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8730" activeTab="1"/>
  </bookViews>
  <sheets>
    <sheet name="User's Guide" sheetId="1" r:id="rId1"/>
    <sheet name="Project Description" sheetId="2" r:id="rId2"/>
    <sheet name="ERR &amp; Sensitivity Analysis" sheetId="3" r:id="rId3"/>
    <sheet name="Income Statements &amp; GDP Impact" sheetId="4" r:id="rId4"/>
    <sheet name="Operating Costs" sheetId="5" r:id="rId5"/>
  </sheets>
  <externalReferences>
    <externalReference r:id="rId8"/>
  </externalReferences>
  <definedNames>
    <definedName name="Agg">'ERR &amp; Sensitivity Analysis'!$C$9:$F$10</definedName>
    <definedName name="Class1_wo_expt">#REF!</definedName>
    <definedName name="Class2_wo_expt">#REF!</definedName>
    <definedName name="Class3_wo_expt">#REF!</definedName>
    <definedName name="death_rate_stage_III_T">'[1]Diabetes'!$C$26</definedName>
    <definedName name="death_rate_stage_III_UT">'[1]Diabetes'!$C$25</definedName>
    <definedName name="death_rate_stage_IV_T">'[1]Hypertension'!$C$28</definedName>
    <definedName name="death_rate_stage_IV_UT">'[1]Hypertension'!$C$27</definedName>
    <definedName name="I_to_II_T_W">'[1]Hypertension'!$J$82</definedName>
    <definedName name="I_to_II_T_WO">'[1]Hypertension'!$J$32</definedName>
    <definedName name="I_to_II_UT">'[1]Hypertension'!$E$32</definedName>
    <definedName name="II_t0_III_T_WO">'[1]Hypertension'!$J$33</definedName>
    <definedName name="II_t0_III_UT">'[1]Hypertension'!$E$33</definedName>
    <definedName name="II_to_III_T_W">'[1]Hypertension'!$J$83</definedName>
    <definedName name="II_to_III_UT">'[1]Diabetes'!$E$31</definedName>
    <definedName name="III_to_IV_T_W">'[1]Hypertension'!$J$84</definedName>
    <definedName name="III_to_IV_T_WO">'[1]Hypertension'!$J$34</definedName>
    <definedName name="III_to_IV_UT">'[1]Hypertension'!$E$34</definedName>
    <definedName name="income_p">'[1]Hypertension'!$E$6</definedName>
    <definedName name="Indiv">'ERR &amp; Sensitivity Analysis'!$C$12:$F$13</definedName>
    <definedName name="para">'ERR &amp; Sensitivity Analysis'!#REF!</definedName>
    <definedName name="pop_growth">'[1]Hypertension'!$C$5</definedName>
  </definedNames>
  <calcPr fullCalcOnLoad="1"/>
</workbook>
</file>

<file path=xl/comments4.xml><?xml version="1.0" encoding="utf-8"?>
<comments xmlns="http://schemas.openxmlformats.org/spreadsheetml/2006/main">
  <authors>
    <author>Steve Anderson</author>
  </authors>
  <commentList>
    <comment ref="I398" authorId="0">
      <text>
        <r>
          <rPr>
            <b/>
            <sz val="10"/>
            <rFont val="Tahoma"/>
            <family val="2"/>
          </rPr>
          <t>Steve Anderson:</t>
        </r>
        <r>
          <rPr>
            <sz val="10"/>
            <rFont val="Tahoma"/>
            <family val="2"/>
          </rPr>
          <t xml:space="preserve">
Assume additional 0.4% cost savings from balance of investments.</t>
        </r>
      </text>
    </comment>
    <comment ref="I399" authorId="0">
      <text>
        <r>
          <rPr>
            <b/>
            <sz val="10"/>
            <rFont val="Tahoma"/>
            <family val="2"/>
          </rPr>
          <t>Steve Anderson:</t>
        </r>
        <r>
          <rPr>
            <sz val="10"/>
            <rFont val="Tahoma"/>
            <family val="2"/>
          </rPr>
          <t xml:space="preserve">
Assume additional 0.4% cost savings from balance of investments.</t>
        </r>
      </text>
    </comment>
    <comment ref="I400" authorId="0">
      <text>
        <r>
          <rPr>
            <b/>
            <sz val="10"/>
            <rFont val="Tahoma"/>
            <family val="2"/>
          </rPr>
          <t>Steve Anderson:</t>
        </r>
        <r>
          <rPr>
            <sz val="10"/>
            <rFont val="Tahoma"/>
            <family val="2"/>
          </rPr>
          <t xml:space="preserve">
Assume additional 0.4% cost savings from balance of investments.</t>
        </r>
      </text>
    </comment>
    <comment ref="A459" authorId="0">
      <text>
        <r>
          <rPr>
            <sz val="10"/>
            <rFont val="Tahoma"/>
            <family val="2"/>
          </rPr>
          <t>Through 2011, IMF Art. IV.  2012 and beyond, MCC estimates.</t>
        </r>
      </text>
    </comment>
    <comment ref="C463" authorId="0">
      <text>
        <r>
          <rPr>
            <sz val="10"/>
            <rFont val="Tahoma"/>
            <family val="2"/>
          </rPr>
          <t>2006 GDP figure and growth rate (used to compute 2007 real GDP) IMF SISA (Jan 2007), p. 47, Table 1 - Mongolia: Basic Data</t>
        </r>
      </text>
    </comment>
    <comment ref="C465" authorId="0">
      <text>
        <r>
          <rPr>
            <sz val="10"/>
            <rFont val="Tahoma"/>
            <family val="2"/>
          </rPr>
          <t>2006 GDP figure and growth rate (used to compute 2007 real GDP) IMF SISA (Jan 2007), p. 47, Table 1 - Mongolia: Basic Data</t>
        </r>
      </text>
    </comment>
    <comment ref="C470" authorId="0">
      <text>
        <r>
          <rPr>
            <sz val="10"/>
            <rFont val="Tahoma"/>
            <family val="2"/>
          </rPr>
          <t xml:space="preserve">CIA factbook 2007 estimate 1.486%. </t>
        </r>
      </text>
    </comment>
    <comment ref="C472" authorId="0">
      <text>
        <r>
          <rPr>
            <sz val="10"/>
            <rFont val="Tahoma"/>
            <family val="2"/>
          </rPr>
          <t>MCC fact sheet: 2007 popn = 2500000</t>
        </r>
      </text>
    </comment>
    <comment ref="A488" authorId="0">
      <text>
        <r>
          <rPr>
            <sz val="10"/>
            <rFont val="Tahoma"/>
            <family val="2"/>
          </rPr>
          <t>See Roche DFR, Sec. 7.</t>
        </r>
      </text>
    </comment>
    <comment ref="A489" authorId="0">
      <text>
        <r>
          <rPr>
            <sz val="10"/>
            <rFont val="Tahoma"/>
            <family val="2"/>
          </rPr>
          <t>Figures from Mongolian Statistical Yearbook, 2005.</t>
        </r>
      </text>
    </comment>
    <comment ref="C455" authorId="0">
      <text>
        <r>
          <rPr>
            <sz val="10"/>
            <rFont val="Tahoma"/>
            <family val="2"/>
          </rPr>
          <t xml:space="preserve">Sachs &amp; Radelet. 1998. Shipping Costs, Manufactured Exports, and Economic Growth, Table 9, col. I.  See also discussion on p. 11. </t>
        </r>
      </text>
    </comment>
    <comment ref="A472" authorId="0">
      <text>
        <r>
          <rPr>
            <sz val="10"/>
            <rFont val="Tahoma"/>
            <family val="2"/>
          </rPr>
          <t>Conforms to "Mongolia IM misc computations.xls" forecast.</t>
        </r>
      </text>
    </comment>
    <comment ref="A470" authorId="0">
      <text>
        <r>
          <rPr>
            <sz val="10"/>
            <rFont val="Tahoma"/>
            <family val="2"/>
          </rPr>
          <t>Conforms to "Mongolia IM misc computations.xls" forecast.</t>
        </r>
      </text>
    </comment>
  </commentList>
</comments>
</file>

<file path=xl/sharedStrings.xml><?xml version="1.0" encoding="utf-8"?>
<sst xmlns="http://schemas.openxmlformats.org/spreadsheetml/2006/main" count="888" uniqueCount="366">
  <si>
    <t xml:space="preserve">   The MCC investment will enhance the performance of Mongolia’s rail system by relaxing binding capacity constraints, lowering transport costs, and improving labor productivity through training of MTZ personnel and technical assistance to MTZ and MRA in a variety of critical operational, management, and oversight functions. Upgrading the railway system will accelerate economic growth, particularly in the areas through which the railway passes, as well as in Mongolia generally.</t>
  </si>
  <si>
    <r>
      <t xml:space="preserve">   The most immediate economic benefit of the project is reducing transportation costs.  Halving shipping costs is associated with faster annual growth of slightly more than one-half of one percentage point. This finding is based on a model</t>
    </r>
    <r>
      <rPr>
        <vertAlign val="superscript"/>
        <sz val="10"/>
        <rFont val="Arial"/>
        <family val="2"/>
      </rPr>
      <t>1</t>
    </r>
    <r>
      <rPr>
        <sz val="10"/>
        <rFont val="Arial"/>
        <family val="2"/>
      </rPr>
      <t xml:space="preserve"> of the relationship between economic growth and a wide range of variables, including shipping costs, for a group of 64 developing countries over a 25-year period (1965–1990). Such growth, in turn, will result in increased employment and revenues for the labor force and businesses using the improved rail service, including in particular mining, logistics and trade. These benefits, in turn, are generated by the expected significant savings in freight transport cost.</t>
    </r>
  </si>
  <si>
    <t>The Rail Project includes:</t>
  </si>
  <si>
    <t>Unit</t>
  </si>
  <si>
    <t>INCREMENTAL TRAFFIC</t>
  </si>
  <si>
    <t>Local</t>
  </si>
  <si>
    <t xml:space="preserve">    Coal</t>
  </si>
  <si>
    <t xml:space="preserve">    All Other</t>
  </si>
  <si>
    <t>Import</t>
  </si>
  <si>
    <t xml:space="preserve">    Oil Products</t>
  </si>
  <si>
    <t xml:space="preserve">    Equipment (Autos)</t>
  </si>
  <si>
    <t xml:space="preserve">    Food</t>
  </si>
  <si>
    <t>Export</t>
  </si>
  <si>
    <t xml:space="preserve">    Other minerals</t>
  </si>
  <si>
    <t>Transit</t>
  </si>
  <si>
    <t xml:space="preserve">    Crude oil</t>
  </si>
  <si>
    <t xml:space="preserve">     Wood</t>
  </si>
  <si>
    <t xml:space="preserve">    China&gt;Russia</t>
  </si>
  <si>
    <t>Total</t>
  </si>
  <si>
    <t>000 Tons</t>
  </si>
  <si>
    <t>Million TKM</t>
  </si>
  <si>
    <t>MTZ FINANCIAL ANALYSIS - WITHOUT PROJECT CONDITIONS</t>
  </si>
  <si>
    <t>Assumptions:</t>
  </si>
  <si>
    <t>Freight Tariff</t>
  </si>
  <si>
    <t>Tugrug/$ Exchange Rate</t>
  </si>
  <si>
    <t>$/TKM</t>
  </si>
  <si>
    <t>Financial data expressed in nominal 2006 values</t>
  </si>
  <si>
    <t>Passenger Tariff</t>
  </si>
  <si>
    <t>FREIGHT</t>
  </si>
  <si>
    <t>PASSENGER</t>
  </si>
  <si>
    <t xml:space="preserve">    Local</t>
  </si>
  <si>
    <t xml:space="preserve">    Transit</t>
  </si>
  <si>
    <t>000 Passenger</t>
  </si>
  <si>
    <t>$/PKM</t>
  </si>
  <si>
    <t>Million PKM</t>
  </si>
  <si>
    <t xml:space="preserve"> </t>
  </si>
  <si>
    <t>Freight Cost</t>
  </si>
  <si>
    <t>Passenger Cost</t>
  </si>
  <si>
    <t>Unit costs will not change (Ref. Table 5.39) from 2007 to 2012 and increase by 2% thereafter</t>
  </si>
  <si>
    <t>Freight</t>
  </si>
  <si>
    <t>$ Million</t>
  </si>
  <si>
    <t>Revenues</t>
  </si>
  <si>
    <t>Total Expenses</t>
  </si>
  <si>
    <t>Passenger</t>
  </si>
  <si>
    <t>Net Profit (Loss)</t>
  </si>
  <si>
    <t>Special Infrastructure Surcharge</t>
  </si>
  <si>
    <t>To mitigate losses a Special Surcharge of 7% will be assessed by the GOM on railway revenues</t>
  </si>
  <si>
    <t>Net Profit (Loss) After Surcharge</t>
  </si>
  <si>
    <t>Cumulative Net After Surcharge</t>
  </si>
  <si>
    <t>Tariffs will increase to cover total costs (Ref. Table 5.39) from 2007 to 2012. Thereafter tariffs will be adjusted every 3 years to catch up with increasing costs.</t>
  </si>
  <si>
    <r>
      <t xml:space="preserve">Source: </t>
    </r>
    <r>
      <rPr>
        <sz val="10"/>
        <rFont val="Arial"/>
        <family val="2"/>
      </rPr>
      <t>Section 3 and Annexes of Section 3.</t>
    </r>
  </si>
  <si>
    <t>TABLE 5.41: PROFORMA INCOME AND EXPENSE OF MTZ, 2007-2027, WITHOUT PROJECT CASE</t>
  </si>
  <si>
    <t>TABLE 5.40: BASE CASE TRAFFIC (WITHOUT PROJECT)</t>
  </si>
  <si>
    <t>TABLE 5.42: EXPECTED CASE TRAFFIC (WITH PROJECT)</t>
  </si>
  <si>
    <t>No.</t>
  </si>
  <si>
    <t>Share (%)</t>
  </si>
  <si>
    <t>Private Sector/IFI</t>
  </si>
  <si>
    <t>Interest</t>
  </si>
  <si>
    <t>MCC→GOM funds</t>
  </si>
  <si>
    <t>Private Sector</t>
  </si>
  <si>
    <t>Weighted Average Cost of Capital</t>
  </si>
  <si>
    <t>%</t>
  </si>
  <si>
    <t>GOM Taxes</t>
  </si>
  <si>
    <t>Exempt</t>
  </si>
  <si>
    <t>Capitalization and Shareholding:</t>
  </si>
  <si>
    <t>Fuel cost/m</t>
  </si>
  <si>
    <t>Lub. Oil cost/m</t>
  </si>
  <si>
    <t>Maintenance Cost/mth</t>
  </si>
  <si>
    <t>Residual Value</t>
  </si>
  <si>
    <t>New Loco Assumptions</t>
  </si>
  <si>
    <t>Available HP from Existing MTZ Fleet</t>
  </si>
  <si>
    <t>HP Provided by New Locos</t>
  </si>
  <si>
    <t>HP</t>
  </si>
  <si>
    <t>New Loco Lease/Year</t>
  </si>
  <si>
    <t>Total Revenue</t>
  </si>
  <si>
    <t>Depreciation Expense</t>
  </si>
  <si>
    <t>Cumulative Capitalized Cost</t>
  </si>
  <si>
    <t>Total Expense</t>
  </si>
  <si>
    <t>Net Income</t>
  </si>
  <si>
    <t>No of New Wagons</t>
  </si>
  <si>
    <t>Cost/Wagon</t>
  </si>
  <si>
    <t>Total Cost for new wagons</t>
  </si>
  <si>
    <t>Cumulative wagons</t>
  </si>
  <si>
    <t>New Wagon Lease/Year</t>
  </si>
  <si>
    <t>Loco/wagon Econ. Life (Yrs)</t>
  </si>
  <si>
    <t>Total Cost for equipment</t>
  </si>
  <si>
    <t>Maintenance Cost/Year</t>
  </si>
  <si>
    <t>Equipment Lease/Year</t>
  </si>
  <si>
    <t>UB Intermodal Terminal</t>
  </si>
  <si>
    <t>Cost of Infrastructure</t>
  </si>
  <si>
    <t>No of TEU Lifts/year</t>
  </si>
  <si>
    <t>Thousand Lifts</t>
  </si>
  <si>
    <t>% Loaded</t>
  </si>
  <si>
    <t>Loaded Lift Charge/TEU</t>
  </si>
  <si>
    <t>Empty Lift Charge/TEU</t>
  </si>
  <si>
    <t>Project Net Cash flow for financial evaluation</t>
  </si>
  <si>
    <t>NPV@WACC</t>
  </si>
  <si>
    <t>FIRR</t>
  </si>
  <si>
    <t>Tons/Year</t>
  </si>
  <si>
    <t>Million Tons</t>
  </si>
  <si>
    <t>Handling Charge/Ton</t>
  </si>
  <si>
    <t>Storage Charge/Ton</t>
  </si>
  <si>
    <r>
      <t xml:space="preserve">Source: </t>
    </r>
    <r>
      <rPr>
        <sz val="10"/>
        <rFont val="Arial"/>
        <family val="2"/>
      </rPr>
      <t>Consultant</t>
    </r>
  </si>
  <si>
    <t>TABLE 5.43: WITH PROJECT FINANCIAL EVALUATION</t>
  </si>
  <si>
    <t>TABLE 5.43: WITH PROJECT FINANCIAL EVALUATION, CONTINUED</t>
  </si>
  <si>
    <t>TABLE 5.44 INCREMENTAL TRAFFIC ATTRIBUTABLE TO THE PROJECT</t>
  </si>
  <si>
    <t>Incremental</t>
  </si>
  <si>
    <t>Base Case ("Without Project")</t>
  </si>
  <si>
    <t>Expected Case ("With Project")</t>
  </si>
  <si>
    <t>Billion TKM</t>
  </si>
  <si>
    <t>Incremental Traffic</t>
  </si>
  <si>
    <t>TABLE 5.45: PROJECT RESOURCE STATEMENT ($ THOUSAND)</t>
  </si>
  <si>
    <t>PART A: INITIAL INVESTMENT SCHEDULE</t>
  </si>
  <si>
    <t>A.1.1 UB Intermodal Terminal</t>
  </si>
  <si>
    <t>A.1.2 ZU Bulk Cargo Logistics Center</t>
  </si>
  <si>
    <t>A.2.1 Project Environmental Control Costs</t>
  </si>
  <si>
    <t>A.2.2 Environmental Monitoring Costs</t>
  </si>
  <si>
    <t>A.3 Initial Civil Works and Equipment Costs:</t>
  </si>
  <si>
    <t>Item</t>
  </si>
  <si>
    <t>Total Export Value ($ Billion)</t>
  </si>
  <si>
    <t>Total Tons Exported (Million)</t>
  </si>
  <si>
    <t>FOB Value per ton (CNY)</t>
  </si>
  <si>
    <t>Transport Cost/Ton-km (CNY)</t>
  </si>
  <si>
    <t>Modal Share (%)</t>
  </si>
  <si>
    <t>Total Transport Cost (CNY/ton)</t>
  </si>
  <si>
    <t>Net Production Taxes (%)</t>
  </si>
  <si>
    <t>Total Taxes (CNY/ton)</t>
  </si>
  <si>
    <t>Total Adjustments (CNY/ton)</t>
  </si>
  <si>
    <t>Conversion Factor</t>
  </si>
  <si>
    <t>(1)</t>
  </si>
  <si>
    <t>(2)</t>
  </si>
  <si>
    <t>(3)=[(1)/(2)]* 8.0</t>
  </si>
  <si>
    <t>(4)</t>
  </si>
  <si>
    <t>(5)</t>
  </si>
  <si>
    <t>(6)</t>
  </si>
  <si>
    <t>(7)</t>
  </si>
  <si>
    <t>(8)=(5)*(6)*(7)</t>
  </si>
  <si>
    <t>(9)</t>
  </si>
  <si>
    <t>(10)=(3)*   (9)</t>
  </si>
  <si>
    <t>(11)=(8)+  (10)</t>
  </si>
  <si>
    <t>(12)=[(3)-(11)]/(3)</t>
  </si>
  <si>
    <t>Steel</t>
  </si>
  <si>
    <t>Rail</t>
  </si>
  <si>
    <t>Road</t>
  </si>
  <si>
    <t>Cement</t>
  </si>
  <si>
    <t xml:space="preserve"> Total</t>
  </si>
  <si>
    <t>Table 5.46: Computation of Conversion Factors for Steel and Cement from PRC</t>
  </si>
  <si>
    <t>Transport Mode to PRC Border</t>
  </si>
  <si>
    <t>Average Distance in PRC (km)</t>
  </si>
  <si>
    <r>
      <t>Sources:</t>
    </r>
    <r>
      <rPr>
        <sz val="8"/>
        <rFont val="Arial"/>
        <family val="2"/>
      </rPr>
      <t xml:space="preserve"> Export value and weight data are for 2005 taken from </t>
    </r>
    <r>
      <rPr>
        <b/>
        <i/>
        <sz val="8"/>
        <rFont val="Arial"/>
        <family val="2"/>
      </rPr>
      <t>China Statistical Yearbook 2006 (CNY 2006)</t>
    </r>
    <r>
      <rPr>
        <sz val="8"/>
        <rFont val="Arial"/>
        <family val="2"/>
      </rPr>
      <t xml:space="preserve">, Table 18-9. Taxes computed from intermediate use input-output table for 2002 reported in </t>
    </r>
    <r>
      <rPr>
        <b/>
        <i/>
        <sz val="8"/>
        <rFont val="Arial"/>
        <family val="2"/>
      </rPr>
      <t>CSY 2006</t>
    </r>
    <r>
      <rPr>
        <sz val="8"/>
        <rFont val="Arial"/>
        <family val="2"/>
      </rPr>
      <t xml:space="preserve">, Table 3-22 for metal products (steel) and building materials and non-metallic minerals (cement). Modal split and road average length of haul data for 2005 from CSY 2006. Modal split is normalized to 100. Average length of haul for rail from </t>
    </r>
    <r>
      <rPr>
        <b/>
        <i/>
        <sz val="8"/>
        <rFont val="Arial"/>
        <family val="2"/>
      </rPr>
      <t>CSY 2006</t>
    </r>
    <r>
      <rPr>
        <sz val="8"/>
        <rFont val="Arial"/>
        <family val="2"/>
      </rPr>
      <t>, Tables 16-11 and 16-20. Costs per ton-km are Consultant estimates based on published data.</t>
    </r>
  </si>
  <si>
    <t>Import Duty</t>
  </si>
  <si>
    <r>
      <t xml:space="preserve">Percent of tariff revenue to total tax revenue of PRC in 2003 as reported in http://www.mof.gov.cn (World Bank's </t>
    </r>
    <r>
      <rPr>
        <b/>
        <i/>
        <sz val="8"/>
        <rFont val="Arial"/>
        <family val="2"/>
      </rPr>
      <t>World Development Indicators 2004</t>
    </r>
    <r>
      <rPr>
        <sz val="8"/>
        <rFont val="Arial"/>
        <family val="2"/>
      </rPr>
      <t xml:space="preserve"> reports 6.55% for 1999, the most recent year for which data is reported in WDI). Handling cost represents port, customs clearance, and freight forwarder handling charges estimated by Consultant.</t>
    </r>
  </si>
  <si>
    <t>Handling Cost</t>
  </si>
  <si>
    <t>Transport Cost</t>
  </si>
  <si>
    <t>Total value added in transport sector (702 billion Yuan) divided by total intermediate inputs (21.7 trillion Yuan) in the intermediate use part of the 2002 input-output table reported in China Statistical Yearbook 2006, Table 3-20</t>
  </si>
  <si>
    <t>Table 5.47: Non-Tax Elements of Traded Materials in PRC</t>
  </si>
  <si>
    <t>PART B: ADDITIONAL INVESTMENT SCHEDULE:</t>
  </si>
  <si>
    <t>B.1 Track Improvements</t>
  </si>
  <si>
    <t>B.2 Bridges and Culverts</t>
  </si>
  <si>
    <t>B.4 Wagons</t>
  </si>
  <si>
    <t>B.5 UB Intermodal Terminal</t>
  </si>
  <si>
    <t>B.6 ZU Bulk Cargo Logistics Center</t>
  </si>
  <si>
    <t>PART C: ANNUAL COSTS</t>
  </si>
  <si>
    <t>TOTAL COSTS</t>
  </si>
  <si>
    <t>COSTS</t>
  </si>
  <si>
    <t>BENEFITS</t>
  </si>
  <si>
    <t>PART D: FREIGHT TRANSPORT COST SAVINGS</t>
  </si>
  <si>
    <t>Base Year cost share of locomotive Dept (%) 2005</t>
  </si>
  <si>
    <t>Number Retired</t>
  </si>
  <si>
    <t>2M62M                               Hp</t>
  </si>
  <si>
    <t>2M62Mm                            Hp</t>
  </si>
  <si>
    <t>Retired Hp total</t>
  </si>
  <si>
    <t>Share of Ret Hp to Fleet Hp</t>
  </si>
  <si>
    <r>
      <t xml:space="preserve">Source: </t>
    </r>
    <r>
      <rPr>
        <sz val="10"/>
        <rFont val="Arial"/>
        <family val="2"/>
      </rPr>
      <t>Tables 5.11, 5.38</t>
    </r>
  </si>
  <si>
    <t>Table 5.48: Reduction in MTZ Operating Costs as a Result of Locomotive Retirement and Replacement</t>
  </si>
  <si>
    <t>Reduction in Operating Cost due to retirement</t>
  </si>
  <si>
    <t>D.1 Base Traffic Cost Savings:</t>
  </si>
  <si>
    <t>D.2 Incremental Traffic Cost Savings:</t>
  </si>
  <si>
    <t>Cost Savings</t>
  </si>
  <si>
    <t>NPV@9%</t>
  </si>
  <si>
    <r>
      <t xml:space="preserve">Source: </t>
    </r>
    <r>
      <rPr>
        <sz val="9"/>
        <rFont val="Arial"/>
        <family val="2"/>
      </rPr>
      <t>Consultant</t>
    </r>
  </si>
  <si>
    <t>Maintenance Cost all New Locos/Year (1st year under manufacturer warranty)</t>
  </si>
  <si>
    <t>Depreciation Expense (straight line)</t>
  </si>
  <si>
    <t>Commercial Bank Lending</t>
  </si>
  <si>
    <t>Commercial Bank Borrowing</t>
  </si>
  <si>
    <t>Payment for New Locos from Capital Reserve</t>
  </si>
  <si>
    <t>Capital Reserve Interest</t>
  </si>
  <si>
    <t>Interest on Bank Loan</t>
  </si>
  <si>
    <t>Bank Loan Term (Yr)</t>
  </si>
  <si>
    <t>Bank Loan Payments/Yr</t>
  </si>
  <si>
    <t>Principal Payment on Bank Loan</t>
  </si>
  <si>
    <t>Bank Loan Balance</t>
  </si>
  <si>
    <t>Administraive OH (@5% of loco lease income)</t>
  </si>
  <si>
    <t>Administraive OH (@5% of wagon lease income)</t>
  </si>
  <si>
    <t>Maintenance Cost all New wagons/Year (1st year under manufacturer warranty)</t>
  </si>
  <si>
    <t>Maint Cost of wagons/yr</t>
  </si>
  <si>
    <t>Payment for New Wagons from Capital Reserve</t>
  </si>
  <si>
    <t>Administraive OH (@5% of lease income)</t>
  </si>
  <si>
    <t>Cost of Infrastructure and Equipment</t>
  </si>
  <si>
    <t>Administraive OH  (@5% of capital recovery charge)</t>
  </si>
  <si>
    <t>A.1 Land Acquisition Costs:</t>
  </si>
  <si>
    <t>PART E: NET BENEFITS</t>
  </si>
  <si>
    <t>A.2 Environmental Control and Monitoring Costs:</t>
  </si>
  <si>
    <t>Unit/Total</t>
  </si>
  <si>
    <t>Freight Revenue (tugrug per TKM)</t>
  </si>
  <si>
    <r>
      <t>Local</t>
    </r>
    <r>
      <rPr>
        <vertAlign val="superscript"/>
        <sz val="10"/>
        <rFont val="Arial"/>
        <family val="2"/>
      </rPr>
      <t>a</t>
    </r>
  </si>
  <si>
    <t>% increase 2005-2007</t>
  </si>
  <si>
    <t>% increase 2005-2006</t>
  </si>
  <si>
    <t>% increase 2006-2007</t>
  </si>
  <si>
    <r>
      <t>Import</t>
    </r>
    <r>
      <rPr>
        <vertAlign val="superscript"/>
        <sz val="10"/>
        <rFont val="Arial"/>
        <family val="2"/>
      </rPr>
      <t>b</t>
    </r>
  </si>
  <si>
    <r>
      <t>Export</t>
    </r>
    <r>
      <rPr>
        <vertAlign val="superscript"/>
        <sz val="10"/>
        <rFont val="Arial"/>
        <family val="2"/>
      </rPr>
      <t>b</t>
    </r>
  </si>
  <si>
    <r>
      <t xml:space="preserve">a </t>
    </r>
    <r>
      <rPr>
        <sz val="10"/>
        <rFont val="Arial"/>
        <family val="2"/>
      </rPr>
      <t xml:space="preserve">On 20 April 2007, MTZ increased the local tariff by an average of 31%. </t>
    </r>
    <r>
      <rPr>
        <vertAlign val="superscript"/>
        <sz val="10"/>
        <rFont val="Arial"/>
        <family val="2"/>
      </rPr>
      <t xml:space="preserve">b </t>
    </r>
    <r>
      <rPr>
        <sz val="10"/>
        <rFont val="Arial"/>
        <family val="2"/>
      </rPr>
      <t>2006-07 increase estimated by Consultant.</t>
    </r>
  </si>
  <si>
    <t>Rail Tariff increase 2005 to 2007</t>
  </si>
  <si>
    <t>Interest expense on commercial bank loans</t>
  </si>
  <si>
    <t>(a) Administrative OH</t>
  </si>
  <si>
    <t>(b) Interest expense</t>
  </si>
  <si>
    <t>C.2  Operating Costs (fixed and variable)</t>
  </si>
  <si>
    <t>(a) Locomotive maintenance, fuel, lubricants, crew</t>
  </si>
  <si>
    <t>(b) Wagons maintenance</t>
  </si>
  <si>
    <t>(c) Track machinery maintenance &amp; operation</t>
  </si>
  <si>
    <t xml:space="preserve">(d) Signaling and communications maintenance </t>
  </si>
  <si>
    <t>(e) UB Intermodal Terminal maintenance, operations</t>
  </si>
  <si>
    <t>(f)  ZU BCLC maintenance, operations</t>
  </si>
  <si>
    <t>Labor and Crew cost as % of Fuel, lube, and Maint</t>
  </si>
  <si>
    <t>8% of initial cost</t>
  </si>
  <si>
    <t>3% of initial cost</t>
  </si>
  <si>
    <t>% savings of base traffic cost</t>
  </si>
  <si>
    <t>Tariff difference between rail and road with 5% reduction in cost due to improved efficiency ($/TKM)</t>
  </si>
  <si>
    <t>Administrative OH of all SCs</t>
  </si>
  <si>
    <t>2007 rate Tug/TKM</t>
  </si>
  <si>
    <t>Annual Capital Recovery Reserve for all New Locos</t>
  </si>
  <si>
    <t>Cumulative Bank Borrowing</t>
  </si>
  <si>
    <t>Lease Interest Income</t>
  </si>
  <si>
    <t>Interest Income on Capital Reserve</t>
  </si>
  <si>
    <t>Annual Capital Recovery Reserve for all New Wagons</t>
  </si>
  <si>
    <t>Annual Capital Recovery Reserve for Equipment</t>
  </si>
  <si>
    <t xml:space="preserve">Annual Capital Recovery Reserve </t>
  </si>
  <si>
    <t>Cumulative Capital Recovery Reserve Including Interest on Capital Recovery</t>
  </si>
  <si>
    <t>Annual Capital Recovery Reserve</t>
  </si>
  <si>
    <t>Labor and Material Costs</t>
  </si>
  <si>
    <t>Year:</t>
  </si>
  <si>
    <t>Incremental traffic</t>
  </si>
  <si>
    <t>Base traffic costs, wp</t>
  </si>
  <si>
    <t>Base traffic costs, wop</t>
  </si>
  <si>
    <t>Without project costs per TKM</t>
  </si>
  <si>
    <t>Incr. traffic, cost saving per TKM</t>
  </si>
  <si>
    <t>With project costs per TKM</t>
  </si>
  <si>
    <t>Incremental traffic costs, wop</t>
  </si>
  <si>
    <t>Incremental traffic costs, wp</t>
  </si>
  <si>
    <t>Total traffic costs, wop</t>
  </si>
  <si>
    <t>Total traffic costs, wp</t>
  </si>
  <si>
    <t>Base traffic cost saving, %</t>
  </si>
  <si>
    <t>Base traffic cost saving, $ million</t>
  </si>
  <si>
    <t>Total traffic cost saving, $ million</t>
  </si>
  <si>
    <t>Incremental traffic cost saving, $ million</t>
  </si>
  <si>
    <t>Percent total traffic cost savings</t>
  </si>
  <si>
    <t>Increment in GDP growth for every halving of transport costs</t>
  </si>
  <si>
    <t>Halving of total traffic cost corresponds to …</t>
  </si>
  <si>
    <t>Savings relative to a halving of costs</t>
  </si>
  <si>
    <t>Increment in GDP growth based on transport cost savings</t>
  </si>
  <si>
    <t>Real GDP growth rate wop</t>
  </si>
  <si>
    <t>Real GDP growth rate wp</t>
  </si>
  <si>
    <t>Real GDP wop</t>
  </si>
  <si>
    <t>Real GDP wp</t>
  </si>
  <si>
    <t>Real GDP wp - wop</t>
  </si>
  <si>
    <t>$2006 billion</t>
  </si>
  <si>
    <t>#</t>
  </si>
  <si>
    <r>
      <t xml:space="preserve">$2006 </t>
    </r>
    <r>
      <rPr>
        <sz val="10"/>
        <color indexed="10"/>
        <rFont val="Arial"/>
        <family val="2"/>
      </rPr>
      <t>million</t>
    </r>
  </si>
  <si>
    <t>Rate of population growth</t>
  </si>
  <si>
    <t>$2006</t>
  </si>
  <si>
    <t>Population, Mongolia</t>
  </si>
  <si>
    <t>Real per capita GDP wop, Mongolia</t>
  </si>
  <si>
    <t>Real per capita GDP wp, Mongolia</t>
  </si>
  <si>
    <t>Population, Project Impact Area (PIA)</t>
  </si>
  <si>
    <t>Increment in real per capita GDP, Mongolia</t>
  </si>
  <si>
    <t>Increment in real per capita GDP, PIA</t>
  </si>
  <si>
    <t>Averages, 2009-13</t>
  </si>
  <si>
    <t>$2006 million</t>
  </si>
  <si>
    <t>Average PIA population</t>
  </si>
  <si>
    <t>80% of total Mongolia population, 2009-13</t>
  </si>
  <si>
    <t>Real per capita GDP growth rate wop</t>
  </si>
  <si>
    <t>Real per capita GDP growth rate wp</t>
  </si>
  <si>
    <t>-</t>
  </si>
  <si>
    <t>Increment in real per capita GDP growth rate (wp - wop)</t>
  </si>
  <si>
    <t>ERR and sensitivity analysis</t>
  </si>
  <si>
    <t>Description of key parameters</t>
  </si>
  <si>
    <t>Parameter values</t>
  </si>
  <si>
    <t xml:space="preserve">Values used in ERR computation </t>
  </si>
  <si>
    <t xml:space="preserve">Economic rate of return (ERR): </t>
  </si>
  <si>
    <t>60,000 - 120,000</t>
  </si>
  <si>
    <t>0.020 - 0.025</t>
  </si>
  <si>
    <t>Mongolia: Railway</t>
  </si>
  <si>
    <t>Project name</t>
  </si>
  <si>
    <t>Railway</t>
  </si>
  <si>
    <t>Amount of MCC funds</t>
  </si>
  <si>
    <t>Estimated ERR and time horizon</t>
  </si>
  <si>
    <t>Benefit streams included in ERR</t>
  </si>
  <si>
    <t>Costs included in ERR (other than costs borne by MCC)</t>
  </si>
  <si>
    <t>Project description</t>
  </si>
  <si>
    <t>The Rail Project includes</t>
  </si>
  <si>
    <t>Increased operating costs for MTZ and LeaseCo</t>
  </si>
  <si>
    <t>Worksheets in this file</t>
  </si>
  <si>
    <t>1.      The acquisition of certain key rail assets (e.g., locomotives, wagons, signaling equipment and track maintenance equipment) needed to improve efficiency and capacity on the country’s single track rail line</t>
  </si>
  <si>
    <t>3.      Substantial operational training and financial management technical assistance to MTZ</t>
  </si>
  <si>
    <t xml:space="preserve">4.      Technical assistance to the Mongolia Railway Authority, the recently established regulator of the rail sector. </t>
  </si>
  <si>
    <t>ERR &amp; Sensitivity Analysis</t>
  </si>
  <si>
    <t>Spreadsheet version</t>
  </si>
  <si>
    <t>Date</t>
  </si>
  <si>
    <t>Investment memo, final</t>
  </si>
  <si>
    <t>Transport cost savings for the broader economy</t>
  </si>
  <si>
    <t>Income Statement &amp; GDP Impact</t>
  </si>
  <si>
    <t>Operating Costs</t>
  </si>
  <si>
    <t>Monthly fuel costs for MTZ (in US$)</t>
  </si>
  <si>
    <t>MCC→GOM→LeaseCo</t>
  </si>
  <si>
    <t>Total from Table 6.2</t>
  </si>
  <si>
    <t>LEASECO</t>
  </si>
  <si>
    <t>Wagons Leasing:</t>
  </si>
  <si>
    <t>Track Equipment Leasing:</t>
  </si>
  <si>
    <t>Signaling and Communications Equipment Leasing:</t>
  </si>
  <si>
    <t>Zamiin Uud Bulk Cargo Logistics Center:</t>
  </si>
  <si>
    <t>C.1  LeaseCo Costs</t>
  </si>
  <si>
    <t>Cumulative Locos available for lease</t>
  </si>
  <si>
    <t>Cumulative Capital Recovery Reserve Including Interest on Capital Reserve and Lease Interest Income</t>
  </si>
  <si>
    <t>32% over 20 years</t>
  </si>
  <si>
    <t>Reduction in Operating Cost due to replacement</t>
  </si>
  <si>
    <t>EIRR</t>
  </si>
  <si>
    <t>Components</t>
  </si>
  <si>
    <t>Economic Rationale</t>
  </si>
  <si>
    <t>Summary</t>
  </si>
  <si>
    <t>Project Description</t>
  </si>
  <si>
    <t>Cost to export freight for MTZ per ton-km (US$)</t>
  </si>
  <si>
    <t>One should read this sheet first, as it offers a summary of the project, a list of components, and states the economic rationale for the project.</t>
  </si>
  <si>
    <t>1.      The acquisition of certain key rail assets (e.g., locomotives, wagons, signaling equipment and track maintenance equipment) needed to improve efficiency and capacity on the country’s single track rail line.</t>
  </si>
  <si>
    <t>3.      Substantial operational training and financial management technical assistance to MTZ.</t>
  </si>
  <si>
    <r>
      <t>1</t>
    </r>
    <r>
      <rPr>
        <sz val="10"/>
        <rFont val="Arial"/>
        <family val="0"/>
      </rPr>
      <t xml:space="preserve"> Jeffrey Sachs and Steven Radelet (1998). Shipping Costs, Manufactured Exports, and Economic Growth.</t>
    </r>
  </si>
  <si>
    <r>
      <t xml:space="preserve">2.      The establishment of a new, initially government-owned, contractor-operated leasing company (LeaseCo) to lease rail assets on commercial terms to the existing railway company </t>
    </r>
    <r>
      <rPr>
        <i/>
        <sz val="10"/>
        <rFont val="Arial"/>
        <family val="2"/>
      </rPr>
      <t>(MTZ),</t>
    </r>
    <r>
      <rPr>
        <sz val="10"/>
        <rFont val="Arial"/>
        <family val="2"/>
      </rPr>
      <t xml:space="preserve"> which is owned jointly by the Government of Mongolia and the Government of Russia, and independent shippers</t>
    </r>
  </si>
  <si>
    <r>
      <t xml:space="preserve">2.      The establishment of a new, initially government-owned, contractor-operated leasing company (LeaseCo) to lease rail assets on commercial terms to the existing railway company </t>
    </r>
    <r>
      <rPr>
        <i/>
        <sz val="10"/>
        <rFont val="Arial"/>
        <family val="2"/>
      </rPr>
      <t>(MTZ),</t>
    </r>
    <r>
      <rPr>
        <sz val="10"/>
        <rFont val="Arial"/>
        <family val="2"/>
      </rPr>
      <t xml:space="preserve"> which is owned jointly by the Government of Mongolia and the Government of Russia, and independent shippers.</t>
    </r>
  </si>
  <si>
    <r>
      <t xml:space="preserve">4.      Technical assistance to the Mongolia Railway Authority </t>
    </r>
    <r>
      <rPr>
        <i/>
        <sz val="10"/>
        <rFont val="Arial"/>
        <family val="2"/>
      </rPr>
      <t>(MRA),</t>
    </r>
    <r>
      <rPr>
        <sz val="10"/>
        <rFont val="Arial"/>
        <family val="2"/>
      </rPr>
      <t xml:space="preserve"> the recently established regulator of the rail sector. </t>
    </r>
  </si>
  <si>
    <t>MTZ = Mongolian Ulaanbaatar Railway Joint Stock Compact (the existing railway company in Mongolia)</t>
  </si>
  <si>
    <t>LeaseCo = the new government-owned, contractor-operated leasing company to be created by the compact</t>
  </si>
  <si>
    <t>MRA = Mongolian Railway Authority (the regulator of the Mongolian rail sector)</t>
  </si>
  <si>
    <t>This worksheet constructs the pro forma income statement for MTZ based on the additional traffic supported by the investment with the additional costs incorporated.  The net benefits, summarized in a financial internal rate of return, and impact on GDP per capita are calculated.</t>
  </si>
  <si>
    <t>MCC Estimate</t>
  </si>
  <si>
    <t>Actual costs as a percentage of estimated costs</t>
  </si>
  <si>
    <t>Actual benefits as a percentage of estimated benefits</t>
  </si>
  <si>
    <t>80 - 120%</t>
  </si>
  <si>
    <t>BENEFIT SCENARIO</t>
  </si>
  <si>
    <t>COST SCENARIO</t>
  </si>
  <si>
    <t>Actual benefits as a percentage as a percentage of total benefits</t>
  </si>
  <si>
    <t>Select</t>
  </si>
  <si>
    <t>Last updated:</t>
  </si>
  <si>
    <t>parameter type</t>
  </si>
  <si>
    <t>User Input</t>
  </si>
  <si>
    <t>All summary parameters set to initial values?</t>
  </si>
  <si>
    <t>Specific</t>
  </si>
  <si>
    <r>
      <t xml:space="preserve">MCC Estimated ERR </t>
    </r>
    <r>
      <rPr>
        <b/>
        <sz val="9"/>
        <rFont val="Arial"/>
        <family val="2"/>
      </rPr>
      <t>(as of 8/16/2007)</t>
    </r>
    <r>
      <rPr>
        <b/>
        <sz val="10"/>
        <rFont val="Arial"/>
        <family val="2"/>
      </rPr>
      <t>:</t>
    </r>
  </si>
  <si>
    <t>These spreadsheets were created for purposes of estimation of the project's economic benefits and costs and are not intended for use in procurement submissions or decisions.</t>
  </si>
  <si>
    <t>Locomotive Leasing + Technical Assistance</t>
  </si>
  <si>
    <t>Total Costs for new Locos and TA</t>
  </si>
  <si>
    <t>B.3 Locomotives and TA</t>
  </si>
  <si>
    <t>Change the "User Input" cells in the table below to see the effect on the compact's Economic Rate of Return (ERR) and net benefits (see chart below).  Be sure to reset all summary parameters to their original values ("MCC Estimate" values) before changing specific parameters.</t>
  </si>
  <si>
    <t>188.4 million</t>
  </si>
  <si>
    <t>A brief summary of the project's key parameters and ERR calculations. Users can modify the parameters and study their effects on the ERR.</t>
  </si>
  <si>
    <t>This worksheet lists various data used to support the ERR calculation, including freight revenues, based in part on Chinese steel and cement shipments, as well as the reduction in MTZ's operating costs due to the retirement of locomotives.</t>
  </si>
  <si>
    <t xml:space="preserve">   The rail system is the transportation backbone of the Mongolian economy. However, due to its antiquated infrastructure, equipment and practices, and the associated high operating costs, the current system cannot meet demand for rail services. It poses a serious economic bottleneck by contributing to inflation and limiting growth in both domestic and foreign trade. The Rail Project will address this bottleneck through improvements in the efficiency and capacity of the rail system, thereby reducing transportation costs and creating new jobs directly and indirectly through increased economic growth. To ensure sustainability, the Rail Project promotes reformed rail operations and management practices, transparency of rail finances and commercialization of the rail system.</t>
  </si>
  <si>
    <t>Plausible Range</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</si>
</sst>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 numFmtId="167" formatCode="&quot;$&quot;#,##0.00"/>
    <numFmt numFmtId="168" formatCode="0.0%"/>
    <numFmt numFmtId="169" formatCode="#,##0.0"/>
    <numFmt numFmtId="170" formatCode="0.0"/>
    <numFmt numFmtId="171" formatCode="0.0000000"/>
    <numFmt numFmtId="172" formatCode="0.000000"/>
    <numFmt numFmtId="173" formatCode="#,##0.000"/>
    <numFmt numFmtId="174" formatCode="#,##0.0000"/>
    <numFmt numFmtId="175" formatCode="&quot;$&quot;#,##0.000_);[Red]\(&quot;$&quot;#,##0.000\)"/>
    <numFmt numFmtId="176" formatCode="0.00000000"/>
    <numFmt numFmtId="177" formatCode="_(* #,##0.0_);_(* \(#,##0.0\);_(* &quot;-&quot;??_);_(@_)"/>
    <numFmt numFmtId="178" formatCode="_(* #,##0_);_(* \(#,##0\);_(* &quot;-&quot;??_);_(@_)"/>
    <numFmt numFmtId="179" formatCode="0.0E+00"/>
    <numFmt numFmtId="180" formatCode="0.000E+00"/>
    <numFmt numFmtId="181" formatCode="_(* #,##0.0_);_(* \(#,##0.0\);_(* &quot;-&quot;?_);_(@_)"/>
    <numFmt numFmtId="182" formatCode="_(* #,##0_);_(* \(#,##0\);_(* &quot;-&quot;?_);_(@_)"/>
    <numFmt numFmtId="183" formatCode="0.000%"/>
    <numFmt numFmtId="184" formatCode="0.00,,"/>
    <numFmt numFmtId="185" formatCode="0.0,,"/>
    <numFmt numFmtId="186" formatCode="_(* #,##0.000_);_(* \(#,##0.000\);_(* &quot;-&quot;??_);_(@_)"/>
    <numFmt numFmtId="187" formatCode="_(* #,##0.0000_);_(* \(#,##0.0000\);_(* &quot;-&quot;??_);_(@_)"/>
    <numFmt numFmtId="188" formatCode="&quot;Yes&quot;;&quot;Yes&quot;;&quot;No&quot;"/>
    <numFmt numFmtId="189" formatCode="&quot;True&quot;;&quot;True&quot;;&quot;False&quot;"/>
    <numFmt numFmtId="190" formatCode="&quot;On&quot;;&quot;On&quot;;&quot;Off&quot;"/>
    <numFmt numFmtId="191" formatCode="[$€-2]\ #,##0.00_);[Red]\([$€-2]\ #,##0.00\)"/>
    <numFmt numFmtId="192" formatCode="[$-409]dddd\,\ mmmm\ dd\,\ yyyy"/>
    <numFmt numFmtId="193" formatCode="#,##0.0_);\(#,##0.0\)"/>
    <numFmt numFmtId="194" formatCode="#,##0.000_);\(#,##0.000\)"/>
    <numFmt numFmtId="195" formatCode="#,##0.0000_);\(#,##0.0000\)"/>
  </numFmts>
  <fonts count="33">
    <font>
      <sz val="10"/>
      <name val="Arial"/>
      <family val="0"/>
    </font>
    <font>
      <b/>
      <sz val="10"/>
      <name val="Arial"/>
      <family val="2"/>
    </font>
    <font>
      <b/>
      <sz val="11"/>
      <name val="Arial"/>
      <family val="2"/>
    </font>
    <font>
      <sz val="8.25"/>
      <name val="Arial"/>
      <family val="2"/>
    </font>
    <font>
      <b/>
      <sz val="9.25"/>
      <name val="Arial"/>
      <family val="0"/>
    </font>
    <font>
      <u val="single"/>
      <sz val="10"/>
      <color indexed="12"/>
      <name val="Arial"/>
      <family val="0"/>
    </font>
    <font>
      <u val="single"/>
      <sz val="10"/>
      <color indexed="36"/>
      <name val="Arial"/>
      <family val="0"/>
    </font>
    <font>
      <sz val="9.25"/>
      <name val="Arial"/>
      <family val="0"/>
    </font>
    <font>
      <sz val="8"/>
      <name val="Arial"/>
      <family val="2"/>
    </font>
    <font>
      <b/>
      <sz val="8"/>
      <name val="Arial"/>
      <family val="2"/>
    </font>
    <font>
      <b/>
      <i/>
      <sz val="8"/>
      <name val="Arial"/>
      <family val="2"/>
    </font>
    <font>
      <sz val="9"/>
      <name val="Arial"/>
      <family val="2"/>
    </font>
    <font>
      <b/>
      <sz val="9"/>
      <name val="Arial"/>
      <family val="2"/>
    </font>
    <font>
      <vertAlign val="superscript"/>
      <sz val="10"/>
      <name val="Arial"/>
      <family val="2"/>
    </font>
    <font>
      <b/>
      <sz val="10"/>
      <name val="Tahoma"/>
      <family val="2"/>
    </font>
    <font>
      <sz val="10"/>
      <name val="Tahoma"/>
      <family val="2"/>
    </font>
    <font>
      <sz val="10"/>
      <color indexed="10"/>
      <name val="Arial"/>
      <family val="2"/>
    </font>
    <font>
      <b/>
      <sz val="12"/>
      <name val="Arial"/>
      <family val="0"/>
    </font>
    <font>
      <b/>
      <sz val="10"/>
      <color indexed="9"/>
      <name val="Arial"/>
      <family val="2"/>
    </font>
    <font>
      <sz val="10"/>
      <color indexed="9"/>
      <name val="Arial"/>
      <family val="2"/>
    </font>
    <font>
      <sz val="12"/>
      <name val="Arial"/>
      <family val="0"/>
    </font>
    <font>
      <b/>
      <sz val="16"/>
      <name val="Arial"/>
      <family val="2"/>
    </font>
    <font>
      <sz val="14"/>
      <name val="Arial"/>
      <family val="2"/>
    </font>
    <font>
      <b/>
      <sz val="10"/>
      <color indexed="12"/>
      <name val="Arial"/>
      <family val="2"/>
    </font>
    <font>
      <i/>
      <sz val="10"/>
      <name val="Arial"/>
      <family val="2"/>
    </font>
    <font>
      <sz val="8"/>
      <color indexed="17"/>
      <name val="Arial"/>
      <family val="0"/>
    </font>
    <font>
      <sz val="11"/>
      <name val="Arial"/>
      <family val="0"/>
    </font>
    <font>
      <sz val="7.75"/>
      <name val="Arial"/>
      <family val="2"/>
    </font>
    <font>
      <sz val="10"/>
      <color indexed="23"/>
      <name val="Arial"/>
      <family val="2"/>
    </font>
    <font>
      <b/>
      <sz val="10"/>
      <color indexed="55"/>
      <name val="Arial"/>
      <family val="2"/>
    </font>
    <font>
      <sz val="9"/>
      <color indexed="55"/>
      <name val="Arial"/>
      <family val="0"/>
    </font>
    <font>
      <sz val="9"/>
      <color indexed="23"/>
      <name val="Arial"/>
      <family val="2"/>
    </font>
    <font>
      <sz val="10"/>
      <color indexed="12"/>
      <name val="Arial"/>
      <family val="2"/>
    </font>
  </fonts>
  <fills count="9">
    <fill>
      <patternFill/>
    </fill>
    <fill>
      <patternFill patternType="gray125"/>
    </fill>
    <fill>
      <patternFill patternType="solid">
        <fgColor indexed="9"/>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46"/>
        <bgColor indexed="64"/>
      </patternFill>
    </fill>
    <fill>
      <patternFill patternType="solid">
        <fgColor indexed="10"/>
        <bgColor indexed="64"/>
      </patternFill>
    </fill>
  </fills>
  <borders count="53">
    <border>
      <left/>
      <right/>
      <top/>
      <bottom/>
      <diagonal/>
    </border>
    <border>
      <left style="medium"/>
      <right style="thin"/>
      <top style="thin"/>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ck"/>
      <bottom style="thin"/>
    </border>
    <border>
      <left style="thin"/>
      <right style="thick"/>
      <top style="thick"/>
      <bottom style="thin"/>
    </border>
    <border>
      <left>
        <color indexed="63"/>
      </left>
      <right>
        <color indexed="63"/>
      </right>
      <top style="thin"/>
      <bottom>
        <color indexed="63"/>
      </bottom>
    </border>
    <border>
      <left style="medium"/>
      <right>
        <color indexed="63"/>
      </right>
      <top style="thin"/>
      <bottom style="thin"/>
    </border>
    <border>
      <left style="thin"/>
      <right>
        <color indexed="63"/>
      </right>
      <top>
        <color indexed="63"/>
      </top>
      <bottom>
        <color indexed="63"/>
      </bottom>
    </border>
    <border>
      <left style="thin"/>
      <right style="double"/>
      <top>
        <color indexed="63"/>
      </top>
      <bottom>
        <color indexed="63"/>
      </bottom>
    </border>
    <border>
      <left style="double"/>
      <right>
        <color indexed="63"/>
      </right>
      <top>
        <color indexed="63"/>
      </top>
      <bottom>
        <color indexed="63"/>
      </bottom>
    </border>
    <border>
      <left style="double"/>
      <right>
        <color indexed="63"/>
      </right>
      <top style="thin"/>
      <bottom style="thin"/>
    </border>
    <border>
      <left style="thin"/>
      <right style="double"/>
      <top style="thin"/>
      <bottom style="thin"/>
    </border>
    <border>
      <left style="thin"/>
      <right style="double"/>
      <top style="thin"/>
      <bottom>
        <color indexed="63"/>
      </bottom>
    </border>
    <border>
      <left style="double"/>
      <right>
        <color indexed="63"/>
      </right>
      <top>
        <color indexed="63"/>
      </top>
      <bottom style="thin"/>
    </border>
    <border>
      <left style="thin"/>
      <right style="double"/>
      <top>
        <color indexed="63"/>
      </top>
      <bottom style="thin"/>
    </border>
    <border>
      <left style="double"/>
      <right>
        <color indexed="63"/>
      </right>
      <top style="double"/>
      <bottom style="double"/>
    </border>
    <border>
      <left style="thin"/>
      <right style="double"/>
      <top style="double"/>
      <bottom style="double"/>
    </border>
    <border>
      <left style="thin"/>
      <right style="double"/>
      <top>
        <color indexed="63"/>
      </top>
      <bottom style="double"/>
    </border>
    <border>
      <left style="medium"/>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color indexed="63"/>
      </top>
      <bottom style="thin"/>
    </border>
    <border>
      <left>
        <color indexed="63"/>
      </left>
      <right>
        <color indexed="63"/>
      </right>
      <top>
        <color indexed="63"/>
      </top>
      <bottom style="thin"/>
    </border>
    <border>
      <left>
        <color indexed="63"/>
      </left>
      <right style="thin"/>
      <top style="thin"/>
      <bottom style="mediu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color indexed="63"/>
      </top>
      <bottom style="medium"/>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style="thin"/>
      <right>
        <color indexed="63"/>
      </right>
      <top style="thin"/>
      <bottom style="medium"/>
    </border>
    <border>
      <left style="thin"/>
      <right>
        <color indexed="63"/>
      </right>
      <top style="thin"/>
      <bottom style="thin"/>
    </border>
    <border>
      <left style="double"/>
      <right>
        <color indexed="63"/>
      </right>
      <top style="thin"/>
      <bottom>
        <color indexed="63"/>
      </bottom>
    </border>
    <border>
      <left style="double"/>
      <right style="thin"/>
      <top style="thin"/>
      <bottom>
        <color indexed="63"/>
      </bottom>
    </border>
    <border>
      <left style="double"/>
      <right style="thin"/>
      <top>
        <color indexed="63"/>
      </top>
      <bottom>
        <color indexed="63"/>
      </bottom>
    </border>
    <border>
      <left style="double"/>
      <right style="thin"/>
      <top>
        <color indexed="63"/>
      </top>
      <bottom style="double"/>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style="thin"/>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71">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0" xfId="0" applyFont="1" applyAlignment="1">
      <alignment horizontal="center"/>
    </xf>
    <xf numFmtId="3" fontId="0" fillId="0" borderId="0" xfId="0" applyNumberFormat="1" applyFont="1" applyAlignment="1">
      <alignment horizontal="center"/>
    </xf>
    <xf numFmtId="0" fontId="0" fillId="0" borderId="1" xfId="0" applyFont="1" applyFill="1" applyBorder="1" applyAlignment="1">
      <alignment/>
    </xf>
    <xf numFmtId="0" fontId="1" fillId="0" borderId="0" xfId="0" applyFont="1" applyFill="1" applyBorder="1" applyAlignment="1">
      <alignment/>
    </xf>
    <xf numFmtId="0" fontId="1" fillId="0" borderId="1" xfId="0" applyFont="1" applyFill="1" applyBorder="1" applyAlignment="1">
      <alignment/>
    </xf>
    <xf numFmtId="0" fontId="0" fillId="0" borderId="0" xfId="0" applyFont="1" applyFill="1" applyBorder="1" applyAlignment="1">
      <alignment/>
    </xf>
    <xf numFmtId="0" fontId="0" fillId="0" borderId="1" xfId="0" applyFont="1" applyFill="1" applyBorder="1" applyAlignment="1">
      <alignment horizontal="right"/>
    </xf>
    <xf numFmtId="0" fontId="0" fillId="0" borderId="1" xfId="0" applyFont="1" applyFill="1" applyBorder="1" applyAlignment="1">
      <alignment horizontal="right"/>
    </xf>
    <xf numFmtId="3" fontId="0" fillId="0" borderId="2" xfId="0" applyNumberFormat="1" applyFont="1" applyFill="1" applyBorder="1" applyAlignment="1">
      <alignment horizontal="center"/>
    </xf>
    <xf numFmtId="0" fontId="0" fillId="0" borderId="2" xfId="0" applyFont="1" applyBorder="1" applyAlignment="1">
      <alignment horizontal="center"/>
    </xf>
    <xf numFmtId="3" fontId="0" fillId="0" borderId="2" xfId="0" applyNumberFormat="1" applyFont="1" applyBorder="1" applyAlignment="1">
      <alignment horizontal="center"/>
    </xf>
    <xf numFmtId="0" fontId="1" fillId="0" borderId="2" xfId="0" applyFont="1" applyBorder="1" applyAlignment="1">
      <alignment horizontal="center"/>
    </xf>
    <xf numFmtId="3" fontId="1" fillId="0" borderId="2" xfId="0" applyNumberFormat="1" applyFont="1" applyBorder="1" applyAlignment="1">
      <alignment horizontal="center"/>
    </xf>
    <xf numFmtId="3" fontId="0" fillId="0" borderId="0" xfId="0" applyNumberFormat="1" applyFont="1" applyAlignment="1">
      <alignment horizontal="left"/>
    </xf>
    <xf numFmtId="9" fontId="0" fillId="0" borderId="0" xfId="0" applyNumberFormat="1" applyFont="1" applyAlignment="1">
      <alignment horizontal="center"/>
    </xf>
    <xf numFmtId="0" fontId="1" fillId="0" borderId="3" xfId="0" applyFont="1" applyBorder="1" applyAlignment="1">
      <alignment/>
    </xf>
    <xf numFmtId="0" fontId="1" fillId="0" borderId="4" xfId="0" applyFont="1" applyBorder="1" applyAlignment="1">
      <alignment horizontal="center"/>
    </xf>
    <xf numFmtId="0" fontId="1" fillId="0" borderId="5" xfId="0" applyFont="1" applyBorder="1" applyAlignment="1">
      <alignment horizontal="center"/>
    </xf>
    <xf numFmtId="3" fontId="0" fillId="0" borderId="6" xfId="0" applyNumberFormat="1" applyFont="1" applyBorder="1" applyAlignment="1">
      <alignment horizontal="center"/>
    </xf>
    <xf numFmtId="3" fontId="1" fillId="0" borderId="6" xfId="0" applyNumberFormat="1" applyFont="1" applyBorder="1" applyAlignment="1">
      <alignment horizontal="center"/>
    </xf>
    <xf numFmtId="0" fontId="1" fillId="0" borderId="0" xfId="0" applyFont="1" applyBorder="1" applyAlignment="1">
      <alignment horizontal="center"/>
    </xf>
    <xf numFmtId="0" fontId="0" fillId="0" borderId="2" xfId="0" applyFont="1" applyFill="1" applyBorder="1" applyAlignment="1">
      <alignment horizontal="left"/>
    </xf>
    <xf numFmtId="165" fontId="0" fillId="0" borderId="2" xfId="0" applyNumberFormat="1" applyFont="1" applyBorder="1" applyAlignment="1">
      <alignment horizontal="center"/>
    </xf>
    <xf numFmtId="0" fontId="0" fillId="0" borderId="2" xfId="0" applyFont="1" applyFill="1" applyBorder="1" applyAlignment="1">
      <alignment horizontal="center"/>
    </xf>
    <xf numFmtId="2" fontId="1" fillId="0" borderId="2" xfId="0" applyNumberFormat="1" applyFont="1" applyBorder="1" applyAlignment="1">
      <alignment horizontal="center"/>
    </xf>
    <xf numFmtId="2" fontId="0" fillId="0" borderId="2" xfId="0" applyNumberFormat="1" applyFont="1" applyBorder="1" applyAlignment="1">
      <alignment horizontal="center"/>
    </xf>
    <xf numFmtId="0" fontId="0" fillId="0" borderId="1" xfId="0" applyFont="1" applyBorder="1" applyAlignment="1">
      <alignment/>
    </xf>
    <xf numFmtId="0" fontId="1" fillId="0" borderId="6" xfId="0" applyFont="1" applyBorder="1" applyAlignment="1">
      <alignment horizontal="center"/>
    </xf>
    <xf numFmtId="0" fontId="0" fillId="0" borderId="1" xfId="0" applyFont="1" applyFill="1" applyBorder="1" applyAlignment="1">
      <alignment horizontal="left"/>
    </xf>
    <xf numFmtId="165" fontId="0" fillId="0" borderId="6" xfId="0" applyNumberFormat="1" applyFont="1" applyBorder="1" applyAlignment="1">
      <alignment horizontal="center"/>
    </xf>
    <xf numFmtId="0" fontId="1" fillId="0" borderId="1" xfId="0" applyFont="1" applyFill="1" applyBorder="1" applyAlignment="1">
      <alignment horizontal="left"/>
    </xf>
    <xf numFmtId="2" fontId="1" fillId="0" borderId="6" xfId="0" applyNumberFormat="1" applyFont="1" applyBorder="1" applyAlignment="1">
      <alignment horizontal="center"/>
    </xf>
    <xf numFmtId="2" fontId="0" fillId="0" borderId="6" xfId="0" applyNumberFormat="1" applyFont="1" applyBorder="1" applyAlignment="1">
      <alignment horizontal="center"/>
    </xf>
    <xf numFmtId="0" fontId="0" fillId="0" borderId="1" xfId="0" applyFont="1" applyBorder="1" applyAlignment="1">
      <alignment horizontal="right"/>
    </xf>
    <xf numFmtId="0" fontId="1" fillId="0" borderId="1" xfId="0" applyFont="1" applyBorder="1" applyAlignment="1">
      <alignment/>
    </xf>
    <xf numFmtId="0" fontId="1" fillId="0" borderId="7" xfId="0" applyFont="1" applyBorder="1" applyAlignment="1">
      <alignment/>
    </xf>
    <xf numFmtId="0" fontId="1" fillId="0" borderId="8" xfId="0" applyFont="1" applyBorder="1" applyAlignment="1">
      <alignment horizontal="center"/>
    </xf>
    <xf numFmtId="2" fontId="1" fillId="0" borderId="8" xfId="0" applyNumberFormat="1" applyFont="1" applyBorder="1" applyAlignment="1">
      <alignment horizontal="center"/>
    </xf>
    <xf numFmtId="2" fontId="1" fillId="0" borderId="9" xfId="0" applyNumberFormat="1" applyFont="1" applyBorder="1" applyAlignment="1">
      <alignment horizontal="center"/>
    </xf>
    <xf numFmtId="0" fontId="1" fillId="0" borderId="0" xfId="0" applyFont="1" applyFill="1" applyBorder="1" applyAlignment="1">
      <alignment horizontal="left"/>
    </xf>
    <xf numFmtId="0" fontId="1" fillId="0" borderId="2" xfId="0" applyFont="1" applyBorder="1" applyAlignment="1">
      <alignment/>
    </xf>
    <xf numFmtId="0" fontId="1" fillId="0" borderId="2" xfId="0" applyFont="1" applyFill="1" applyBorder="1" applyAlignment="1">
      <alignment/>
    </xf>
    <xf numFmtId="0" fontId="0" fillId="0" borderId="2" xfId="0" applyFont="1" applyFill="1" applyBorder="1" applyAlignment="1">
      <alignment/>
    </xf>
    <xf numFmtId="0" fontId="0" fillId="0" borderId="2" xfId="0" applyFont="1" applyBorder="1" applyAlignment="1">
      <alignment/>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1" fillId="0" borderId="0" xfId="0" applyFont="1" applyBorder="1" applyAlignment="1">
      <alignment/>
    </xf>
    <xf numFmtId="2" fontId="1" fillId="0" borderId="0" xfId="0" applyNumberFormat="1" applyFont="1" applyBorder="1" applyAlignment="1">
      <alignment horizontal="center"/>
    </xf>
    <xf numFmtId="3" fontId="0" fillId="0" borderId="0" xfId="0" applyNumberFormat="1" applyFont="1" applyAlignment="1">
      <alignment/>
    </xf>
    <xf numFmtId="0" fontId="0" fillId="0" borderId="0" xfId="0" applyFont="1" applyAlignment="1">
      <alignment horizontal="center" vertical="center"/>
    </xf>
    <xf numFmtId="39" fontId="0" fillId="0" borderId="0" xfId="0" applyNumberFormat="1" applyFont="1" applyAlignment="1">
      <alignment/>
    </xf>
    <xf numFmtId="0" fontId="0" fillId="0" borderId="2" xfId="0" applyFont="1" applyFill="1" applyBorder="1" applyAlignment="1">
      <alignment/>
    </xf>
    <xf numFmtId="0" fontId="0" fillId="0" borderId="2" xfId="0" applyFont="1" applyBorder="1" applyAlignment="1">
      <alignment horizontal="right"/>
    </xf>
    <xf numFmtId="10" fontId="0" fillId="0" borderId="2" xfId="0" applyNumberFormat="1" applyFont="1" applyBorder="1" applyAlignment="1">
      <alignment horizontal="center"/>
    </xf>
    <xf numFmtId="0" fontId="0" fillId="0" borderId="2" xfId="0" applyFont="1" applyFill="1" applyBorder="1" applyAlignment="1">
      <alignment horizontal="right"/>
    </xf>
    <xf numFmtId="8" fontId="0" fillId="0" borderId="2" xfId="0" applyNumberFormat="1" applyFont="1" applyBorder="1" applyAlignment="1">
      <alignment horizontal="center"/>
    </xf>
    <xf numFmtId="0" fontId="0" fillId="0" borderId="12" xfId="0" applyFont="1" applyBorder="1" applyAlignment="1">
      <alignment/>
    </xf>
    <xf numFmtId="0" fontId="1" fillId="0" borderId="12" xfId="0" applyFont="1" applyBorder="1" applyAlignment="1">
      <alignment horizontal="center"/>
    </xf>
    <xf numFmtId="167" fontId="0" fillId="0" borderId="2" xfId="0" applyNumberFormat="1" applyFont="1" applyBorder="1" applyAlignment="1">
      <alignment horizontal="center"/>
    </xf>
    <xf numFmtId="4" fontId="0" fillId="0" borderId="0" xfId="0" applyNumberFormat="1" applyFont="1" applyAlignment="1">
      <alignment horizontal="center"/>
    </xf>
    <xf numFmtId="4" fontId="0" fillId="0" borderId="0" xfId="0" applyNumberFormat="1" applyFont="1" applyAlignment="1">
      <alignment/>
    </xf>
    <xf numFmtId="2" fontId="0" fillId="0" borderId="0" xfId="0" applyNumberFormat="1" applyFont="1" applyAlignment="1">
      <alignment horizontal="center"/>
    </xf>
    <xf numFmtId="0" fontId="8" fillId="0" borderId="2" xfId="0" applyFont="1" applyBorder="1" applyAlignment="1">
      <alignment horizontal="center" vertical="center" wrapText="1"/>
    </xf>
    <xf numFmtId="49" fontId="8" fillId="0" borderId="2" xfId="0" applyNumberFormat="1" applyFont="1" applyBorder="1" applyAlignment="1">
      <alignment horizontal="center" vertical="center" wrapText="1"/>
    </xf>
    <xf numFmtId="10" fontId="8" fillId="2" borderId="2" xfId="0" applyNumberFormat="1" applyFont="1" applyFill="1" applyBorder="1" applyAlignment="1">
      <alignment horizontal="center" vertical="center"/>
    </xf>
    <xf numFmtId="0" fontId="8" fillId="0" borderId="2" xfId="0" applyFont="1" applyBorder="1" applyAlignment="1">
      <alignment horizontal="center" vertical="center"/>
    </xf>
    <xf numFmtId="0" fontId="8" fillId="2" borderId="2" xfId="0" applyFont="1" applyFill="1" applyBorder="1" applyAlignment="1">
      <alignment vertical="center"/>
    </xf>
    <xf numFmtId="2" fontId="8" fillId="2" borderId="2" xfId="0" applyNumberFormat="1" applyFont="1" applyFill="1" applyBorder="1" applyAlignment="1">
      <alignment horizontal="center" vertical="center"/>
    </xf>
    <xf numFmtId="4" fontId="8" fillId="2" borderId="2" xfId="0" applyNumberFormat="1" applyFont="1" applyFill="1" applyBorder="1" applyAlignment="1">
      <alignment horizontal="center" vertical="center"/>
    </xf>
    <xf numFmtId="3" fontId="8" fillId="0" borderId="2" xfId="0" applyNumberFormat="1" applyFont="1" applyBorder="1" applyAlignment="1">
      <alignment horizontal="center" vertical="center"/>
    </xf>
    <xf numFmtId="165" fontId="8" fillId="0" borderId="2" xfId="0" applyNumberFormat="1" applyFont="1" applyBorder="1" applyAlignment="1">
      <alignment horizontal="center" vertical="center"/>
    </xf>
    <xf numFmtId="2" fontId="8" fillId="0" borderId="2" xfId="0" applyNumberFormat="1" applyFont="1" applyBorder="1" applyAlignment="1">
      <alignment horizontal="center" vertical="center"/>
    </xf>
    <xf numFmtId="166" fontId="8" fillId="0" borderId="2" xfId="0" applyNumberFormat="1" applyFont="1" applyBorder="1" applyAlignment="1">
      <alignment horizontal="center" vertical="center"/>
    </xf>
    <xf numFmtId="2" fontId="8" fillId="0" borderId="2" xfId="0" applyNumberFormat="1" applyFont="1" applyBorder="1" applyAlignment="1">
      <alignment horizontal="center" vertical="center" wrapText="1"/>
    </xf>
    <xf numFmtId="10" fontId="8" fillId="0" borderId="2" xfId="0" applyNumberFormat="1" applyFont="1" applyBorder="1" applyAlignment="1">
      <alignment horizontal="center"/>
    </xf>
    <xf numFmtId="4" fontId="1" fillId="0" borderId="0" xfId="0" applyNumberFormat="1" applyFont="1" applyAlignment="1">
      <alignment/>
    </xf>
    <xf numFmtId="0" fontId="0" fillId="0" borderId="0" xfId="0" applyAlignment="1">
      <alignment horizontal="center"/>
    </xf>
    <xf numFmtId="0" fontId="0" fillId="0" borderId="0" xfId="0" applyAlignment="1">
      <alignment vertical="center" wrapText="1"/>
    </xf>
    <xf numFmtId="0" fontId="0" fillId="0" borderId="0" xfId="0" applyAlignment="1">
      <alignment horizontal="center" vertical="center" wrapText="1"/>
    </xf>
    <xf numFmtId="10" fontId="0" fillId="0" borderId="2" xfId="0" applyNumberFormat="1" applyBorder="1" applyAlignment="1">
      <alignment horizontal="center" vertical="center" wrapText="1"/>
    </xf>
    <xf numFmtId="0" fontId="0" fillId="0" borderId="2" xfId="0" applyBorder="1" applyAlignment="1">
      <alignment horizontal="center" vertical="center" wrapText="1"/>
    </xf>
    <xf numFmtId="166" fontId="0" fillId="0" borderId="2" xfId="0" applyNumberFormat="1" applyBorder="1" applyAlignment="1">
      <alignment horizontal="center" vertical="center" wrapText="1"/>
    </xf>
    <xf numFmtId="166" fontId="0" fillId="0" borderId="6" xfId="0" applyNumberFormat="1" applyBorder="1" applyAlignment="1">
      <alignment horizontal="center" vertical="center" wrapText="1"/>
    </xf>
    <xf numFmtId="0" fontId="0" fillId="0" borderId="8" xfId="0" applyBorder="1" applyAlignment="1">
      <alignment horizontal="center" vertical="center" wrapText="1"/>
    </xf>
    <xf numFmtId="166" fontId="0" fillId="0" borderId="8" xfId="0" applyNumberFormat="1" applyBorder="1" applyAlignment="1">
      <alignment horizontal="center" vertical="center" wrapText="1"/>
    </xf>
    <xf numFmtId="166" fontId="0" fillId="0" borderId="9" xfId="0" applyNumberFormat="1" applyBorder="1" applyAlignment="1">
      <alignment horizontal="center" vertical="center" wrapText="1"/>
    </xf>
    <xf numFmtId="39" fontId="1" fillId="0" borderId="0" xfId="0" applyNumberFormat="1" applyFont="1" applyAlignment="1">
      <alignment/>
    </xf>
    <xf numFmtId="4" fontId="0" fillId="0" borderId="2" xfId="0" applyNumberFormat="1" applyFont="1" applyBorder="1" applyAlignment="1">
      <alignment horizontal="center"/>
    </xf>
    <xf numFmtId="0" fontId="0" fillId="0" borderId="3" xfId="0" applyFont="1" applyBorder="1" applyAlignment="1">
      <alignment/>
    </xf>
    <xf numFmtId="0" fontId="1" fillId="0" borderId="7" xfId="0" applyFont="1" applyFill="1" applyBorder="1" applyAlignment="1">
      <alignment/>
    </xf>
    <xf numFmtId="3" fontId="1" fillId="0" borderId="8" xfId="0" applyNumberFormat="1" applyFont="1" applyFill="1" applyBorder="1" applyAlignment="1">
      <alignment horizontal="center"/>
    </xf>
    <xf numFmtId="3" fontId="1" fillId="0" borderId="8" xfId="0" applyNumberFormat="1" applyFont="1" applyBorder="1" applyAlignment="1">
      <alignment horizontal="center"/>
    </xf>
    <xf numFmtId="3" fontId="1" fillId="0" borderId="9" xfId="0" applyNumberFormat="1" applyFont="1" applyBorder="1" applyAlignment="1">
      <alignment horizontal="center"/>
    </xf>
    <xf numFmtId="0" fontId="0" fillId="0" borderId="0" xfId="0" applyFont="1" applyAlignment="1">
      <alignment vertical="center" wrapText="1"/>
    </xf>
    <xf numFmtId="0" fontId="0" fillId="0" borderId="2" xfId="0" applyFont="1" applyFill="1" applyBorder="1" applyAlignment="1">
      <alignment vertical="center" wrapText="1"/>
    </xf>
    <xf numFmtId="0" fontId="0" fillId="0" borderId="2" xfId="0" applyFont="1" applyBorder="1" applyAlignment="1">
      <alignment horizontal="center" vertical="center" wrapText="1"/>
    </xf>
    <xf numFmtId="1" fontId="0" fillId="0" borderId="2" xfId="0" applyNumberFormat="1" applyFont="1" applyBorder="1" applyAlignment="1">
      <alignment horizontal="center" vertical="center" wrapText="1"/>
    </xf>
    <xf numFmtId="0" fontId="0" fillId="0" borderId="2" xfId="0" applyFont="1" applyBorder="1" applyAlignment="1">
      <alignment horizontal="right" vertical="center" wrapText="1"/>
    </xf>
    <xf numFmtId="10" fontId="0" fillId="0" borderId="2" xfId="0" applyNumberFormat="1" applyFont="1" applyBorder="1" applyAlignment="1">
      <alignment horizontal="center" vertical="center" wrapText="1"/>
    </xf>
    <xf numFmtId="0" fontId="0" fillId="0" borderId="2" xfId="0" applyFont="1" applyFill="1" applyBorder="1" applyAlignment="1">
      <alignment horizontal="right" vertical="center" wrapText="1"/>
    </xf>
    <xf numFmtId="2" fontId="0" fillId="0" borderId="2" xfId="0" applyNumberFormat="1" applyFont="1" applyBorder="1" applyAlignment="1">
      <alignment horizontal="center" vertical="center" wrapText="1"/>
    </xf>
    <xf numFmtId="3" fontId="0" fillId="0" borderId="2" xfId="0" applyNumberFormat="1" applyFont="1" applyBorder="1" applyAlignment="1">
      <alignment horizontal="center" vertical="center" wrapText="1"/>
    </xf>
    <xf numFmtId="8" fontId="0" fillId="0" borderId="2" xfId="0" applyNumberFormat="1" applyFont="1" applyBorder="1" applyAlignment="1">
      <alignment horizontal="center" vertical="center" wrapText="1"/>
    </xf>
    <xf numFmtId="0" fontId="0" fillId="0" borderId="2" xfId="0" applyFont="1" applyFill="1" applyBorder="1" applyAlignment="1">
      <alignment horizontal="left" vertical="center" wrapText="1"/>
    </xf>
    <xf numFmtId="175" fontId="0" fillId="0" borderId="0" xfId="0" applyNumberFormat="1" applyFont="1" applyAlignment="1">
      <alignment/>
    </xf>
    <xf numFmtId="0" fontId="0" fillId="0" borderId="2" xfId="0" applyFont="1" applyBorder="1" applyAlignment="1">
      <alignment horizontal="center" vertical="center"/>
    </xf>
    <xf numFmtId="2" fontId="0" fillId="0" borderId="2" xfId="0" applyNumberFormat="1" applyFont="1" applyBorder="1" applyAlignment="1">
      <alignment horizontal="center" vertical="center"/>
    </xf>
    <xf numFmtId="0" fontId="0" fillId="0" borderId="0" xfId="0" applyFont="1" applyAlignment="1">
      <alignment vertical="center"/>
    </xf>
    <xf numFmtId="2" fontId="0" fillId="0" borderId="2" xfId="0" applyNumberFormat="1" applyFont="1" applyBorder="1" applyAlignment="1">
      <alignment/>
    </xf>
    <xf numFmtId="2" fontId="0" fillId="0" borderId="2" xfId="0" applyNumberFormat="1" applyFont="1" applyFill="1" applyBorder="1" applyAlignment="1">
      <alignment/>
    </xf>
    <xf numFmtId="2" fontId="0" fillId="0" borderId="0" xfId="0" applyNumberFormat="1" applyFont="1" applyAlignment="1">
      <alignment/>
    </xf>
    <xf numFmtId="2" fontId="0" fillId="0" borderId="2" xfId="0" applyNumberFormat="1" applyFont="1" applyFill="1" applyBorder="1" applyAlignment="1">
      <alignment horizontal="left"/>
    </xf>
    <xf numFmtId="2" fontId="0" fillId="0" borderId="2" xfId="0" applyNumberFormat="1" applyFont="1" applyFill="1" applyBorder="1" applyAlignment="1">
      <alignment vertical="center" wrapText="1"/>
    </xf>
    <xf numFmtId="2" fontId="0" fillId="0" borderId="0" xfId="0" applyNumberFormat="1" applyFont="1" applyAlignment="1">
      <alignment vertical="center" wrapText="1"/>
    </xf>
    <xf numFmtId="2" fontId="0" fillId="0" borderId="2" xfId="0" applyNumberFormat="1" applyFont="1" applyFill="1" applyBorder="1" applyAlignment="1">
      <alignment horizontal="left" vertical="center" wrapText="1"/>
    </xf>
    <xf numFmtId="0" fontId="1" fillId="0" borderId="1" xfId="0" applyFont="1" applyBorder="1" applyAlignment="1">
      <alignment vertical="center" wrapText="1"/>
    </xf>
    <xf numFmtId="0" fontId="0" fillId="0" borderId="2" xfId="0" applyFont="1" applyBorder="1" applyAlignment="1">
      <alignment vertical="center" wrapText="1"/>
    </xf>
    <xf numFmtId="0" fontId="0" fillId="0" borderId="1" xfId="0" applyFont="1" applyBorder="1" applyAlignment="1">
      <alignment horizontal="right" vertical="center" wrapText="1"/>
    </xf>
    <xf numFmtId="0" fontId="0" fillId="0" borderId="1" xfId="0" applyFont="1" applyFill="1" applyBorder="1" applyAlignment="1">
      <alignment horizontal="righ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left" vertical="center" wrapText="1"/>
    </xf>
    <xf numFmtId="0" fontId="0" fillId="0" borderId="1" xfId="0" applyFont="1" applyBorder="1" applyAlignment="1">
      <alignment vertical="center" wrapText="1"/>
    </xf>
    <xf numFmtId="4" fontId="1" fillId="0" borderId="1" xfId="0" applyNumberFormat="1" applyFont="1" applyBorder="1" applyAlignment="1">
      <alignment vertical="center" wrapText="1"/>
    </xf>
    <xf numFmtId="0" fontId="0" fillId="0" borderId="1" xfId="0" applyFont="1" applyFill="1" applyBorder="1" applyAlignment="1">
      <alignment horizontal="right" vertical="center" wrapText="1"/>
    </xf>
    <xf numFmtId="4" fontId="0" fillId="0" borderId="1" xfId="0" applyNumberFormat="1" applyFont="1" applyBorder="1" applyAlignment="1">
      <alignment vertical="center" wrapText="1"/>
    </xf>
    <xf numFmtId="39" fontId="1" fillId="0" borderId="1" xfId="0" applyNumberFormat="1" applyFont="1" applyBorder="1" applyAlignment="1">
      <alignment vertical="center" wrapText="1"/>
    </xf>
    <xf numFmtId="4" fontId="1" fillId="0" borderId="1" xfId="0" applyNumberFormat="1" applyFont="1" applyBorder="1" applyAlignment="1">
      <alignment horizontal="right" vertical="center" wrapText="1"/>
    </xf>
    <xf numFmtId="4" fontId="1" fillId="0" borderId="7" xfId="0" applyNumberFormat="1" applyFont="1" applyBorder="1" applyAlignment="1">
      <alignment horizontal="right" vertical="center" wrapText="1"/>
    </xf>
    <xf numFmtId="4" fontId="0" fillId="0" borderId="0" xfId="0" applyNumberFormat="1" applyFont="1" applyAlignment="1">
      <alignment vertical="center" wrapText="1"/>
    </xf>
    <xf numFmtId="1" fontId="0" fillId="0" borderId="2" xfId="0" applyNumberFormat="1" applyBorder="1" applyAlignment="1">
      <alignment horizontal="center" vertical="center" wrapText="1"/>
    </xf>
    <xf numFmtId="3" fontId="0" fillId="0" borderId="2" xfId="0" applyNumberFormat="1" applyBorder="1" applyAlignment="1">
      <alignment horizontal="center" vertical="center" wrapText="1"/>
    </xf>
    <xf numFmtId="3" fontId="0" fillId="0" borderId="6" xfId="0" applyNumberFormat="1" applyBorder="1" applyAlignment="1">
      <alignment horizontal="center" vertical="center" wrapText="1"/>
    </xf>
    <xf numFmtId="4" fontId="1" fillId="0" borderId="13" xfId="0" applyNumberFormat="1" applyFont="1" applyBorder="1" applyAlignment="1">
      <alignment vertical="center" wrapText="1"/>
    </xf>
    <xf numFmtId="0" fontId="0" fillId="0" borderId="1" xfId="0" applyFont="1" applyBorder="1" applyAlignment="1">
      <alignment horizontal="left" vertical="center" wrapText="1"/>
    </xf>
    <xf numFmtId="4" fontId="0" fillId="0" borderId="13" xfId="0" applyNumberFormat="1" applyFont="1" applyBorder="1" applyAlignment="1">
      <alignment vertical="center" wrapText="1"/>
    </xf>
    <xf numFmtId="3" fontId="1" fillId="0" borderId="2" xfId="0" applyNumberFormat="1" applyFont="1" applyBorder="1" applyAlignment="1">
      <alignment horizontal="center" vertical="center" wrapText="1"/>
    </xf>
    <xf numFmtId="3" fontId="0" fillId="0" borderId="6" xfId="0" applyNumberFormat="1" applyFont="1" applyBorder="1" applyAlignment="1">
      <alignment horizontal="center" vertical="center" wrapText="1"/>
    </xf>
    <xf numFmtId="3" fontId="1" fillId="0" borderId="6" xfId="0" applyNumberFormat="1" applyFont="1" applyBorder="1" applyAlignment="1">
      <alignment horizontal="center" vertical="center" wrapText="1"/>
    </xf>
    <xf numFmtId="2" fontId="0" fillId="0" borderId="0" xfId="0" applyNumberFormat="1" applyAlignment="1">
      <alignment horizontal="center" vertical="center" wrapText="1"/>
    </xf>
    <xf numFmtId="170" fontId="0" fillId="0" borderId="0" xfId="0" applyNumberFormat="1" applyFont="1" applyAlignment="1">
      <alignment horizontal="center" vertical="center" wrapText="1"/>
    </xf>
    <xf numFmtId="0" fontId="1" fillId="0" borderId="0" xfId="0" applyFont="1" applyAlignment="1">
      <alignment horizontal="center" vertical="center" wrapText="1"/>
    </xf>
    <xf numFmtId="10" fontId="0" fillId="0" borderId="0" xfId="0" applyNumberFormat="1" applyAlignment="1">
      <alignment horizontal="center" vertical="center" wrapText="1"/>
    </xf>
    <xf numFmtId="4" fontId="0" fillId="0" borderId="0" xfId="0" applyNumberFormat="1" applyFont="1" applyAlignment="1">
      <alignment horizontal="center" vertical="center" wrapText="1"/>
    </xf>
    <xf numFmtId="0" fontId="1" fillId="0" borderId="0" xfId="0" applyFont="1" applyAlignment="1">
      <alignment horizontal="right"/>
    </xf>
    <xf numFmtId="3" fontId="1" fillId="0" borderId="2" xfId="0" applyNumberFormat="1" applyFont="1" applyBorder="1" applyAlignment="1">
      <alignment horizontal="right" vertical="center" wrapText="1"/>
    </xf>
    <xf numFmtId="3" fontId="1" fillId="0" borderId="2" xfId="0" applyNumberFormat="1" applyFont="1" applyBorder="1" applyAlignment="1">
      <alignment vertical="center" wrapText="1"/>
    </xf>
    <xf numFmtId="3" fontId="1" fillId="0" borderId="6" xfId="0" applyNumberFormat="1" applyFont="1" applyBorder="1" applyAlignment="1">
      <alignment vertical="center" wrapText="1"/>
    </xf>
    <xf numFmtId="3" fontId="0" fillId="0" borderId="2" xfId="0" applyNumberFormat="1" applyFont="1" applyBorder="1" applyAlignment="1">
      <alignment vertical="center" wrapText="1"/>
    </xf>
    <xf numFmtId="3" fontId="0" fillId="0" borderId="6" xfId="0" applyNumberFormat="1" applyFont="1" applyBorder="1" applyAlignment="1">
      <alignment vertical="center" wrapText="1"/>
    </xf>
    <xf numFmtId="173" fontId="0" fillId="0" borderId="2" xfId="0" applyNumberFormat="1" applyFont="1" applyBorder="1" applyAlignment="1">
      <alignment horizontal="center" vertical="center" wrapText="1"/>
    </xf>
    <xf numFmtId="10" fontId="0" fillId="0" borderId="2" xfId="22" applyNumberFormat="1" applyFont="1" applyBorder="1" applyAlignment="1">
      <alignment horizontal="center" vertical="center" wrapText="1"/>
    </xf>
    <xf numFmtId="173" fontId="0" fillId="0" borderId="6" xfId="0" applyNumberFormat="1" applyFont="1" applyBorder="1" applyAlignment="1">
      <alignment horizontal="center" vertical="center" wrapText="1"/>
    </xf>
    <xf numFmtId="3" fontId="1" fillId="0" borderId="8" xfId="0" applyNumberFormat="1" applyFont="1" applyBorder="1" applyAlignment="1">
      <alignment horizontal="center" vertical="center" wrapText="1"/>
    </xf>
    <xf numFmtId="3" fontId="1" fillId="0" borderId="0" xfId="0" applyNumberFormat="1" applyFont="1" applyBorder="1" applyAlignment="1">
      <alignment horizontal="center" vertical="center" wrapText="1"/>
    </xf>
    <xf numFmtId="4" fontId="12" fillId="0" borderId="0" xfId="0" applyNumberFormat="1" applyFont="1" applyBorder="1" applyAlignment="1">
      <alignment horizontal="left" vertical="center" wrapText="1"/>
    </xf>
    <xf numFmtId="2" fontId="0" fillId="0" borderId="2" xfId="0" applyNumberFormat="1" applyFont="1" applyFill="1" applyBorder="1" applyAlignment="1">
      <alignment horizontal="center"/>
    </xf>
    <xf numFmtId="2" fontId="0" fillId="0" borderId="0" xfId="0" applyNumberFormat="1" applyFont="1" applyFill="1" applyAlignment="1">
      <alignment/>
    </xf>
    <xf numFmtId="2" fontId="0" fillId="0" borderId="2" xfId="0" applyNumberFormat="1" applyFont="1" applyFill="1" applyBorder="1" applyAlignment="1">
      <alignment horizontal="center" vertical="center"/>
    </xf>
    <xf numFmtId="2" fontId="0" fillId="0" borderId="2" xfId="0" applyNumberFormat="1" applyFont="1" applyFill="1" applyBorder="1" applyAlignment="1">
      <alignment horizontal="center" vertical="center" wrapText="1"/>
    </xf>
    <xf numFmtId="2" fontId="0" fillId="0" borderId="0" xfId="0" applyNumberFormat="1" applyFont="1" applyFill="1" applyAlignment="1">
      <alignment vertical="center"/>
    </xf>
    <xf numFmtId="0" fontId="0" fillId="0" borderId="2" xfId="0" applyFont="1" applyFill="1" applyBorder="1" applyAlignment="1">
      <alignment horizontal="center" vertical="center"/>
    </xf>
    <xf numFmtId="0" fontId="0" fillId="0" borderId="0" xfId="0" applyFont="1" applyFill="1" applyAlignment="1">
      <alignment vertical="center"/>
    </xf>
    <xf numFmtId="0" fontId="0" fillId="0" borderId="2" xfId="0" applyFont="1" applyFill="1" applyBorder="1" applyAlignment="1">
      <alignment horizontal="center" vertical="center" wrapText="1"/>
    </xf>
    <xf numFmtId="0" fontId="0" fillId="0" borderId="0" xfId="0" applyFont="1" applyFill="1" applyAlignment="1">
      <alignment vertical="center" wrapText="1"/>
    </xf>
    <xf numFmtId="2" fontId="0" fillId="0" borderId="0" xfId="0" applyNumberFormat="1" applyFont="1" applyFill="1" applyAlignment="1">
      <alignment vertical="center" wrapText="1"/>
    </xf>
    <xf numFmtId="0" fontId="0" fillId="0" borderId="0" xfId="0" applyFont="1" applyAlignment="1">
      <alignment horizontal="center" vertical="center" wrapText="1"/>
    </xf>
    <xf numFmtId="0" fontId="1" fillId="3" borderId="0" xfId="0" applyFont="1" applyFill="1" applyAlignment="1">
      <alignment vertical="center" wrapText="1"/>
    </xf>
    <xf numFmtId="0" fontId="0" fillId="3" borderId="0" xfId="0" applyFont="1" applyFill="1" applyAlignment="1">
      <alignment/>
    </xf>
    <xf numFmtId="0" fontId="0" fillId="3" borderId="1" xfId="0" applyFont="1" applyFill="1" applyBorder="1" applyAlignment="1">
      <alignment horizontal="right" vertical="center" wrapText="1"/>
    </xf>
    <xf numFmtId="0" fontId="0" fillId="3" borderId="0" xfId="0" applyFont="1" applyFill="1" applyAlignment="1">
      <alignment horizontal="center"/>
    </xf>
    <xf numFmtId="2" fontId="0" fillId="3" borderId="0" xfId="0" applyNumberFormat="1" applyFont="1" applyFill="1" applyAlignment="1">
      <alignment vertical="center" wrapText="1"/>
    </xf>
    <xf numFmtId="0" fontId="1" fillId="3" borderId="0" xfId="0" applyFont="1" applyFill="1" applyBorder="1" applyAlignment="1">
      <alignment horizontal="left" vertical="center" wrapText="1"/>
    </xf>
    <xf numFmtId="9" fontId="0" fillId="3" borderId="0" xfId="0" applyNumberFormat="1" applyFont="1" applyFill="1" applyAlignment="1">
      <alignment/>
    </xf>
    <xf numFmtId="168" fontId="0" fillId="3" borderId="0" xfId="22" applyNumberFormat="1" applyFont="1" applyFill="1" applyAlignment="1">
      <alignment vertical="center" wrapText="1"/>
    </xf>
    <xf numFmtId="9" fontId="0" fillId="3" borderId="0" xfId="22" applyFont="1" applyFill="1" applyAlignment="1">
      <alignment vertical="center" wrapText="1"/>
    </xf>
    <xf numFmtId="2" fontId="0" fillId="3" borderId="0" xfId="22" applyNumberFormat="1" applyFont="1" applyFill="1" applyAlignment="1">
      <alignment vertical="center" wrapText="1"/>
    </xf>
    <xf numFmtId="0" fontId="1" fillId="4" borderId="0" xfId="0" applyFont="1" applyFill="1" applyAlignment="1">
      <alignment vertical="center" wrapText="1"/>
    </xf>
    <xf numFmtId="0" fontId="0" fillId="4" borderId="0" xfId="0" applyFont="1" applyFill="1" applyAlignment="1">
      <alignment horizontal="center" vertical="center" wrapText="1"/>
    </xf>
    <xf numFmtId="0" fontId="0" fillId="4" borderId="0" xfId="0" applyFont="1" applyFill="1" applyAlignment="1">
      <alignment vertical="center" wrapText="1"/>
    </xf>
    <xf numFmtId="0" fontId="0" fillId="4" borderId="0" xfId="0" applyFont="1" applyFill="1" applyAlignment="1">
      <alignment/>
    </xf>
    <xf numFmtId="0" fontId="0" fillId="4" borderId="1" xfId="0" applyFont="1" applyFill="1" applyBorder="1" applyAlignment="1">
      <alignment horizontal="right" vertical="center" wrapText="1"/>
    </xf>
    <xf numFmtId="3" fontId="0" fillId="4" borderId="0" xfId="0" applyNumberFormat="1" applyFont="1" applyFill="1" applyAlignment="1">
      <alignment vertical="center" wrapText="1"/>
    </xf>
    <xf numFmtId="165" fontId="0" fillId="4" borderId="0" xfId="0" applyNumberFormat="1" applyFont="1" applyFill="1" applyAlignment="1">
      <alignment vertical="center" wrapText="1"/>
    </xf>
    <xf numFmtId="0" fontId="1" fillId="4" borderId="0" xfId="0" applyFont="1" applyFill="1" applyBorder="1" applyAlignment="1">
      <alignment horizontal="left" vertical="center" wrapText="1"/>
    </xf>
    <xf numFmtId="0" fontId="0" fillId="4" borderId="0" xfId="0" applyFont="1" applyFill="1" applyAlignment="1">
      <alignment horizontal="center"/>
    </xf>
    <xf numFmtId="2" fontId="0" fillId="4" borderId="0" xfId="0" applyNumberFormat="1" applyFont="1" applyFill="1" applyAlignment="1">
      <alignment vertical="center" wrapText="1"/>
    </xf>
    <xf numFmtId="0" fontId="1" fillId="5" borderId="0" xfId="0" applyFont="1" applyFill="1" applyAlignment="1">
      <alignment vertical="center" wrapText="1"/>
    </xf>
    <xf numFmtId="0" fontId="0" fillId="5" borderId="0" xfId="0" applyFont="1" applyFill="1" applyAlignment="1">
      <alignment vertical="center" wrapText="1"/>
    </xf>
    <xf numFmtId="0" fontId="0" fillId="5" borderId="0" xfId="0" applyFont="1" applyFill="1" applyAlignment="1">
      <alignment/>
    </xf>
    <xf numFmtId="0" fontId="0" fillId="5" borderId="1" xfId="0" applyFont="1" applyFill="1" applyBorder="1" applyAlignment="1">
      <alignment horizontal="right" vertical="center" wrapText="1"/>
    </xf>
    <xf numFmtId="0" fontId="0" fillId="5" borderId="0" xfId="0" applyFont="1" applyFill="1" applyAlignment="1">
      <alignment horizontal="center" vertical="center" wrapText="1"/>
    </xf>
    <xf numFmtId="2" fontId="0" fillId="5" borderId="0" xfId="0" applyNumberFormat="1" applyFont="1" applyFill="1" applyAlignment="1">
      <alignment vertical="center" wrapText="1"/>
    </xf>
    <xf numFmtId="0" fontId="1" fillId="6" borderId="0" xfId="0" applyFont="1" applyFill="1" applyAlignment="1">
      <alignment vertical="center" wrapText="1"/>
    </xf>
    <xf numFmtId="0" fontId="0" fillId="6" borderId="0" xfId="0" applyFont="1" applyFill="1" applyAlignment="1">
      <alignment horizontal="center" vertical="center" wrapText="1"/>
    </xf>
    <xf numFmtId="168" fontId="0" fillId="6" borderId="0" xfId="22" applyNumberFormat="1" applyFont="1" applyFill="1" applyAlignment="1">
      <alignment vertical="center" wrapText="1"/>
    </xf>
    <xf numFmtId="0" fontId="0" fillId="6" borderId="0" xfId="0" applyFont="1" applyFill="1" applyAlignment="1">
      <alignment/>
    </xf>
    <xf numFmtId="10" fontId="0" fillId="6" borderId="0" xfId="0" applyNumberFormat="1" applyFont="1" applyFill="1" applyAlignment="1">
      <alignment vertical="center" wrapText="1"/>
    </xf>
    <xf numFmtId="0" fontId="0" fillId="6" borderId="0" xfId="0" applyFont="1" applyFill="1" applyAlignment="1">
      <alignment vertical="center" wrapText="1"/>
    </xf>
    <xf numFmtId="9" fontId="0" fillId="6" borderId="0" xfId="0" applyNumberFormat="1" applyFont="1" applyFill="1" applyAlignment="1">
      <alignment vertical="center" wrapText="1"/>
    </xf>
    <xf numFmtId="9" fontId="0" fillId="6" borderId="0" xfId="22" applyFont="1" applyFill="1" applyAlignment="1">
      <alignment vertical="center" wrapText="1"/>
    </xf>
    <xf numFmtId="168" fontId="0" fillId="6" borderId="0" xfId="0" applyNumberFormat="1" applyFont="1" applyFill="1" applyAlignment="1">
      <alignment vertical="center" wrapText="1"/>
    </xf>
    <xf numFmtId="0" fontId="1" fillId="0" borderId="0" xfId="0" applyFont="1" applyAlignment="1">
      <alignment vertical="center" wrapText="1"/>
    </xf>
    <xf numFmtId="2" fontId="0" fillId="6" borderId="0" xfId="22" applyNumberFormat="1" applyFont="1" applyFill="1" applyAlignment="1">
      <alignment horizontal="right"/>
    </xf>
    <xf numFmtId="2" fontId="0" fillId="6" borderId="0" xfId="0" applyNumberFormat="1" applyFont="1" applyFill="1" applyAlignment="1">
      <alignment vertical="center" wrapText="1"/>
    </xf>
    <xf numFmtId="170" fontId="0" fillId="6" borderId="0" xfId="0" applyNumberFormat="1" applyFont="1" applyFill="1" applyAlignment="1">
      <alignment vertical="center" wrapText="1"/>
    </xf>
    <xf numFmtId="178" fontId="0" fillId="0" borderId="0" xfId="0" applyNumberFormat="1" applyFont="1" applyAlignment="1">
      <alignment vertical="center" wrapText="1"/>
    </xf>
    <xf numFmtId="168" fontId="0" fillId="0" borderId="0" xfId="22" applyNumberFormat="1" applyFont="1" applyAlignment="1">
      <alignment vertical="center" wrapText="1"/>
    </xf>
    <xf numFmtId="0" fontId="1" fillId="7" borderId="0" xfId="0" applyFont="1" applyFill="1" applyAlignment="1">
      <alignment/>
    </xf>
    <xf numFmtId="0" fontId="0" fillId="7" borderId="0" xfId="0" applyFont="1" applyFill="1" applyAlignment="1">
      <alignment horizontal="center"/>
    </xf>
    <xf numFmtId="168" fontId="0" fillId="7" borderId="0" xfId="0" applyNumberFormat="1" applyFill="1" applyAlignment="1">
      <alignment/>
    </xf>
    <xf numFmtId="0" fontId="0" fillId="7" borderId="0" xfId="0" applyFont="1" applyFill="1" applyAlignment="1">
      <alignment/>
    </xf>
    <xf numFmtId="0" fontId="0" fillId="7" borderId="0" xfId="0" applyFont="1" applyFill="1" applyAlignment="1">
      <alignment vertical="center" wrapText="1"/>
    </xf>
    <xf numFmtId="0" fontId="0" fillId="7" borderId="0" xfId="0" applyFont="1" applyFill="1" applyAlignment="1">
      <alignment horizontal="center" vertical="center" wrapText="1"/>
    </xf>
    <xf numFmtId="0" fontId="1" fillId="7" borderId="0" xfId="0" applyFont="1" applyFill="1" applyAlignment="1">
      <alignment vertical="center" wrapText="1"/>
    </xf>
    <xf numFmtId="178" fontId="0" fillId="7" borderId="0" xfId="15" applyNumberFormat="1" applyFont="1" applyFill="1" applyAlignment="1">
      <alignment horizontal="center"/>
    </xf>
    <xf numFmtId="178" fontId="0" fillId="7" borderId="0" xfId="15" applyNumberFormat="1" applyFont="1" applyFill="1" applyAlignment="1">
      <alignment vertical="center" wrapText="1"/>
    </xf>
    <xf numFmtId="0" fontId="0" fillId="7" borderId="0" xfId="0" applyNumberFormat="1" applyFont="1" applyFill="1" applyAlignment="1" quotePrefix="1">
      <alignment horizontal="center" vertical="center" wrapText="1"/>
    </xf>
    <xf numFmtId="178" fontId="0" fillId="7" borderId="0" xfId="0" applyNumberFormat="1" applyFont="1" applyFill="1" applyAlignment="1">
      <alignment vertical="center" wrapText="1"/>
    </xf>
    <xf numFmtId="168" fontId="0" fillId="7" borderId="0" xfId="22" applyNumberFormat="1" applyFont="1" applyFill="1" applyAlignment="1">
      <alignment vertical="center" wrapText="1"/>
    </xf>
    <xf numFmtId="10" fontId="0" fillId="7" borderId="0" xfId="22" applyNumberFormat="1" applyFont="1" applyFill="1" applyAlignment="1">
      <alignment vertical="center" wrapText="1"/>
    </xf>
    <xf numFmtId="182" fontId="0" fillId="7" borderId="0" xfId="0" applyNumberFormat="1" applyFont="1" applyFill="1" applyAlignment="1">
      <alignment vertical="center" wrapText="1"/>
    </xf>
    <xf numFmtId="0" fontId="0" fillId="0" borderId="0" xfId="0" applyFont="1" applyFill="1" applyBorder="1" applyAlignment="1">
      <alignment horizontal="right" vertical="center" wrapText="1"/>
    </xf>
    <xf numFmtId="0" fontId="0" fillId="0" borderId="0" xfId="0" applyFont="1" applyFill="1" applyAlignment="1">
      <alignment horizontal="center" vertical="center" wrapText="1"/>
    </xf>
    <xf numFmtId="0" fontId="0" fillId="0" borderId="0" xfId="0" applyFont="1" applyFill="1" applyAlignment="1">
      <alignment/>
    </xf>
    <xf numFmtId="1" fontId="0" fillId="0" borderId="0" xfId="0" applyNumberFormat="1" applyFont="1" applyFill="1" applyAlignment="1">
      <alignment vertical="center" wrapText="1"/>
    </xf>
    <xf numFmtId="0" fontId="1" fillId="0" borderId="0" xfId="0" applyFont="1" applyFill="1" applyAlignment="1">
      <alignment vertical="center" wrapText="1"/>
    </xf>
    <xf numFmtId="0" fontId="0" fillId="3" borderId="14" xfId="0" applyFont="1" applyFill="1" applyBorder="1" applyAlignment="1">
      <alignment/>
    </xf>
    <xf numFmtId="2" fontId="0" fillId="3" borderId="14" xfId="0" applyNumberFormat="1" applyFont="1" applyFill="1" applyBorder="1" applyAlignment="1">
      <alignment vertical="center" wrapText="1"/>
    </xf>
    <xf numFmtId="168" fontId="0" fillId="3" borderId="14" xfId="22" applyNumberFormat="1" applyFont="1" applyFill="1" applyBorder="1" applyAlignment="1">
      <alignment vertical="center" wrapText="1"/>
    </xf>
    <xf numFmtId="2" fontId="0" fillId="3" borderId="14" xfId="22" applyNumberFormat="1" applyFont="1" applyFill="1" applyBorder="1" applyAlignment="1">
      <alignment vertical="center" wrapText="1"/>
    </xf>
    <xf numFmtId="0" fontId="0" fillId="4" borderId="14" xfId="0" applyFont="1" applyFill="1" applyBorder="1" applyAlignment="1">
      <alignment vertical="center" wrapText="1"/>
    </xf>
    <xf numFmtId="3" fontId="0" fillId="4" borderId="14" xfId="0" applyNumberFormat="1" applyFont="1" applyFill="1" applyBorder="1" applyAlignment="1">
      <alignment vertical="center" wrapText="1"/>
    </xf>
    <xf numFmtId="165" fontId="0" fillId="4" borderId="14" xfId="0" applyNumberFormat="1" applyFont="1" applyFill="1" applyBorder="1" applyAlignment="1">
      <alignment vertical="center" wrapText="1"/>
    </xf>
    <xf numFmtId="2" fontId="0" fillId="4" borderId="14" xfId="0" applyNumberFormat="1" applyFont="1" applyFill="1" applyBorder="1" applyAlignment="1">
      <alignment vertical="center" wrapText="1"/>
    </xf>
    <xf numFmtId="1" fontId="0" fillId="0" borderId="14" xfId="0" applyNumberFormat="1" applyFont="1" applyFill="1" applyBorder="1" applyAlignment="1">
      <alignment vertical="center" wrapText="1"/>
    </xf>
    <xf numFmtId="0" fontId="0" fillId="5" borderId="14" xfId="0" applyFont="1" applyFill="1" applyBorder="1" applyAlignment="1">
      <alignment vertical="center" wrapText="1"/>
    </xf>
    <xf numFmtId="2" fontId="0" fillId="5" borderId="14" xfId="0" applyNumberFormat="1" applyFont="1" applyFill="1" applyBorder="1" applyAlignment="1">
      <alignment vertical="center" wrapText="1"/>
    </xf>
    <xf numFmtId="168" fontId="0" fillId="6" borderId="14" xfId="22" applyNumberFormat="1" applyFont="1" applyFill="1" applyBorder="1" applyAlignment="1">
      <alignment vertical="center" wrapText="1"/>
    </xf>
    <xf numFmtId="0" fontId="0" fillId="6" borderId="14" xfId="0" applyFont="1" applyFill="1" applyBorder="1" applyAlignment="1">
      <alignment vertical="center" wrapText="1"/>
    </xf>
    <xf numFmtId="10" fontId="0" fillId="6" borderId="14" xfId="0" applyNumberFormat="1" applyFont="1" applyFill="1" applyBorder="1" applyAlignment="1">
      <alignment vertical="center" wrapText="1"/>
    </xf>
    <xf numFmtId="9" fontId="0" fillId="6" borderId="14" xfId="0" applyNumberFormat="1" applyFont="1" applyFill="1" applyBorder="1" applyAlignment="1">
      <alignment vertical="center" wrapText="1"/>
    </xf>
    <xf numFmtId="2" fontId="0" fillId="6" borderId="14" xfId="0" applyNumberFormat="1" applyFont="1" applyFill="1" applyBorder="1" applyAlignment="1">
      <alignment vertical="center" wrapText="1"/>
    </xf>
    <xf numFmtId="170" fontId="0" fillId="6" borderId="14" xfId="0" applyNumberFormat="1" applyFont="1" applyFill="1" applyBorder="1" applyAlignment="1">
      <alignment vertical="center" wrapText="1"/>
    </xf>
    <xf numFmtId="0" fontId="0" fillId="7" borderId="14" xfId="0" applyFont="1" applyFill="1" applyBorder="1" applyAlignment="1">
      <alignment vertical="center" wrapText="1"/>
    </xf>
    <xf numFmtId="178" fontId="0" fillId="7" borderId="14" xfId="15" applyNumberFormat="1" applyFont="1" applyFill="1" applyBorder="1" applyAlignment="1">
      <alignment vertical="center" wrapText="1"/>
    </xf>
    <xf numFmtId="178" fontId="0" fillId="7" borderId="14" xfId="0" applyNumberFormat="1" applyFont="1" applyFill="1" applyBorder="1" applyAlignment="1">
      <alignment vertical="center" wrapText="1"/>
    </xf>
    <xf numFmtId="168" fontId="0" fillId="7" borderId="14" xfId="22" applyNumberFormat="1" applyFont="1" applyFill="1" applyBorder="1" applyAlignment="1">
      <alignment vertical="center" wrapText="1"/>
    </xf>
    <xf numFmtId="182" fontId="0" fillId="7" borderId="14" xfId="0" applyNumberFormat="1" applyFont="1" applyFill="1" applyBorder="1" applyAlignment="1">
      <alignment vertical="center" wrapText="1"/>
    </xf>
    <xf numFmtId="9" fontId="0" fillId="0" borderId="0" xfId="0" applyNumberFormat="1" applyFont="1" applyFill="1" applyAlignment="1">
      <alignment horizontal="center" vertical="center" wrapText="1"/>
    </xf>
    <xf numFmtId="183" fontId="0" fillId="6" borderId="0" xfId="0" applyNumberFormat="1" applyFont="1" applyFill="1" applyAlignment="1">
      <alignment vertical="center" wrapText="1"/>
    </xf>
    <xf numFmtId="0" fontId="0" fillId="7" borderId="0" xfId="0" applyNumberFormat="1" applyFont="1" applyFill="1" applyAlignment="1">
      <alignment horizontal="center" vertical="center" wrapText="1"/>
    </xf>
    <xf numFmtId="178" fontId="0" fillId="7" borderId="0" xfId="0" applyNumberFormat="1" applyFont="1" applyFill="1" applyAlignment="1">
      <alignment horizontal="center" vertical="center" wrapText="1"/>
    </xf>
    <xf numFmtId="0" fontId="18" fillId="7" borderId="0" xfId="0" applyFont="1" applyFill="1" applyAlignment="1">
      <alignment vertical="center" wrapText="1"/>
    </xf>
    <xf numFmtId="0" fontId="19" fillId="7" borderId="0" xfId="0" applyNumberFormat="1" applyFont="1" applyFill="1" applyAlignment="1">
      <alignment horizontal="center" vertical="center" wrapText="1"/>
    </xf>
    <xf numFmtId="178" fontId="19" fillId="7" borderId="0" xfId="0" applyNumberFormat="1" applyFont="1" applyFill="1" applyAlignment="1">
      <alignment horizontal="center" vertical="center" wrapText="1"/>
    </xf>
    <xf numFmtId="10" fontId="19" fillId="7" borderId="0" xfId="22" applyNumberFormat="1" applyFont="1" applyFill="1" applyAlignment="1">
      <alignment vertical="center" wrapText="1"/>
    </xf>
    <xf numFmtId="183" fontId="0" fillId="7" borderId="0" xfId="0" applyNumberFormat="1" applyFont="1" applyFill="1" applyAlignment="1">
      <alignment vertical="center" wrapText="1"/>
    </xf>
    <xf numFmtId="183" fontId="0" fillId="7" borderId="0" xfId="0" applyNumberFormat="1" applyFill="1" applyAlignment="1">
      <alignment/>
    </xf>
    <xf numFmtId="183" fontId="0" fillId="7" borderId="14" xfId="0" applyNumberFormat="1" applyFill="1" applyBorder="1" applyAlignment="1">
      <alignment/>
    </xf>
    <xf numFmtId="0" fontId="17" fillId="0" borderId="0" xfId="0" applyFont="1" applyAlignment="1">
      <alignment/>
    </xf>
    <xf numFmtId="168" fontId="0" fillId="0" borderId="0" xfId="0" applyNumberFormat="1" applyAlignment="1">
      <alignment/>
    </xf>
    <xf numFmtId="0" fontId="0" fillId="0" borderId="0" xfId="0" applyAlignment="1">
      <alignment wrapText="1"/>
    </xf>
    <xf numFmtId="0" fontId="21" fillId="0" borderId="0" xfId="0" applyFont="1" applyAlignment="1">
      <alignment/>
    </xf>
    <xf numFmtId="0" fontId="22" fillId="0" borderId="0" xfId="0" applyFont="1" applyAlignment="1">
      <alignment/>
    </xf>
    <xf numFmtId="0" fontId="0" fillId="0" borderId="15" xfId="0" applyBorder="1" applyAlignment="1">
      <alignment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5" xfId="0" applyFont="1" applyBorder="1" applyAlignment="1">
      <alignment horizontal="left" vertical="top" wrapText="1"/>
    </xf>
    <xf numFmtId="0" fontId="0" fillId="0" borderId="18" xfId="0" applyFont="1" applyBorder="1" applyAlignment="1">
      <alignment vertical="top" wrapText="1"/>
    </xf>
    <xf numFmtId="0" fontId="0" fillId="0" borderId="19" xfId="0" applyFont="1" applyBorder="1" applyAlignment="1">
      <alignment vertical="top" wrapText="1"/>
    </xf>
    <xf numFmtId="0" fontId="0" fillId="0" borderId="20" xfId="0" applyFont="1" applyBorder="1" applyAlignment="1">
      <alignment horizontal="left" vertical="center" wrapText="1"/>
    </xf>
    <xf numFmtId="8" fontId="0" fillId="0" borderId="21" xfId="0" applyNumberFormat="1" applyFont="1" applyBorder="1" applyAlignment="1">
      <alignment horizontal="left" vertical="top" wrapText="1"/>
    </xf>
    <xf numFmtId="0" fontId="0" fillId="0" borderId="22" xfId="0" applyFont="1" applyBorder="1" applyAlignment="1">
      <alignment horizontal="left" vertical="center" wrapText="1"/>
    </xf>
    <xf numFmtId="0" fontId="1" fillId="0" borderId="23" xfId="0" applyFont="1" applyBorder="1" applyAlignment="1">
      <alignment horizontal="center" vertical="top" wrapText="1"/>
    </xf>
    <xf numFmtId="0" fontId="0" fillId="0" borderId="21" xfId="0" applyFont="1" applyBorder="1" applyAlignment="1">
      <alignment horizontal="left" vertical="top" wrapText="1"/>
    </xf>
    <xf numFmtId="0" fontId="0" fillId="0" borderId="15" xfId="0" applyNumberFormat="1" applyBorder="1" applyAlignment="1">
      <alignment wrapText="1"/>
    </xf>
    <xf numFmtId="0" fontId="0" fillId="0" borderId="24" xfId="0" applyBorder="1" applyAlignment="1">
      <alignment wrapText="1"/>
    </xf>
    <xf numFmtId="0" fontId="5" fillId="0" borderId="15" xfId="20" applyFill="1" applyBorder="1" applyAlignment="1">
      <alignment vertical="top" wrapText="1"/>
    </xf>
    <xf numFmtId="14" fontId="0" fillId="0" borderId="18" xfId="0" applyNumberFormat="1" applyFont="1" applyBorder="1" applyAlignment="1">
      <alignment horizontal="left" vertical="top" wrapText="1"/>
    </xf>
    <xf numFmtId="0" fontId="5" fillId="0" borderId="15" xfId="20" applyFont="1" applyFill="1" applyBorder="1" applyAlignment="1">
      <alignment vertical="top" wrapText="1"/>
    </xf>
    <xf numFmtId="0" fontId="5" fillId="0" borderId="15" xfId="20" applyFont="1" applyBorder="1" applyAlignment="1">
      <alignment wrapText="1"/>
    </xf>
    <xf numFmtId="168" fontId="0" fillId="0" borderId="0" xfId="0" applyNumberFormat="1" applyFont="1" applyAlignment="1">
      <alignment horizontal="center"/>
    </xf>
    <xf numFmtId="165" fontId="0" fillId="6" borderId="2" xfId="0" applyNumberFormat="1" applyFont="1" applyFill="1" applyBorder="1" applyAlignment="1">
      <alignment horizontal="center"/>
    </xf>
    <xf numFmtId="3" fontId="0" fillId="6" borderId="0" xfId="0" applyNumberFormat="1" applyFont="1" applyFill="1" applyAlignment="1">
      <alignment horizontal="center"/>
    </xf>
    <xf numFmtId="10" fontId="1" fillId="8" borderId="2" xfId="0" applyNumberFormat="1" applyFont="1" applyFill="1" applyBorder="1" applyAlignment="1">
      <alignment horizontal="center" vertical="center" wrapText="1"/>
    </xf>
    <xf numFmtId="0" fontId="0" fillId="0" borderId="0" xfId="0" applyBorder="1" applyAlignment="1">
      <alignment/>
    </xf>
    <xf numFmtId="8" fontId="0" fillId="0" borderId="15" xfId="0" applyNumberFormat="1" applyFont="1" applyBorder="1" applyAlignment="1">
      <alignment horizontal="left" vertical="top" wrapText="1"/>
    </xf>
    <xf numFmtId="0" fontId="5" fillId="0" borderId="15" xfId="20" applyBorder="1" applyAlignment="1">
      <alignment vertical="top" wrapText="1"/>
    </xf>
    <xf numFmtId="0" fontId="0" fillId="0" borderId="15" xfId="0" applyFont="1" applyBorder="1" applyAlignment="1">
      <alignment vertical="top" wrapText="1"/>
    </xf>
    <xf numFmtId="0" fontId="13" fillId="0" borderId="0" xfId="0" applyFont="1" applyAlignment="1">
      <alignment/>
    </xf>
    <xf numFmtId="0" fontId="1" fillId="0" borderId="0" xfId="0" applyFont="1" applyBorder="1" applyAlignment="1">
      <alignment horizontal="left"/>
    </xf>
    <xf numFmtId="9" fontId="23" fillId="4" borderId="9" xfId="0" applyNumberFormat="1" applyFont="1" applyFill="1" applyBorder="1" applyAlignment="1">
      <alignment horizontal="center" vertical="center" wrapText="1"/>
    </xf>
    <xf numFmtId="4" fontId="0" fillId="4" borderId="7" xfId="0" applyNumberFormat="1" applyFont="1" applyFill="1" applyBorder="1" applyAlignment="1">
      <alignment vertical="center" wrapText="1"/>
    </xf>
    <xf numFmtId="4" fontId="0" fillId="0" borderId="0" xfId="0" applyNumberFormat="1" applyFont="1" applyFill="1" applyBorder="1" applyAlignment="1">
      <alignment vertical="center" wrapText="1"/>
    </xf>
    <xf numFmtId="9" fontId="23" fillId="0" borderId="0" xfId="0" applyNumberFormat="1" applyFont="1" applyFill="1" applyBorder="1" applyAlignment="1">
      <alignment horizontal="center" vertical="center" wrapText="1"/>
    </xf>
    <xf numFmtId="4" fontId="1" fillId="0" borderId="0" xfId="0" applyNumberFormat="1" applyFont="1" applyBorder="1" applyAlignment="1">
      <alignment vertical="center" wrapText="1"/>
    </xf>
    <xf numFmtId="4" fontId="1" fillId="0" borderId="25" xfId="0" applyNumberFormat="1" applyFont="1" applyBorder="1" applyAlignment="1">
      <alignment vertical="center" wrapText="1"/>
    </xf>
    <xf numFmtId="4" fontId="1" fillId="0" borderId="26" xfId="0" applyNumberFormat="1" applyFont="1" applyBorder="1" applyAlignment="1">
      <alignment vertical="center" wrapText="1"/>
    </xf>
    <xf numFmtId="3" fontId="1" fillId="0" borderId="27" xfId="0" applyNumberFormat="1" applyFont="1" applyBorder="1" applyAlignment="1">
      <alignment horizontal="center" vertical="center" wrapText="1"/>
    </xf>
    <xf numFmtId="3" fontId="1" fillId="0" borderId="28" xfId="0" applyNumberFormat="1" applyFont="1" applyBorder="1" applyAlignment="1">
      <alignment horizontal="center" vertical="center" wrapText="1"/>
    </xf>
    <xf numFmtId="0" fontId="0" fillId="0" borderId="0" xfId="0" applyBorder="1" applyAlignment="1">
      <alignment vertical="center" wrapText="1"/>
    </xf>
    <xf numFmtId="0" fontId="0" fillId="0" borderId="29" xfId="0" applyBorder="1" applyAlignment="1">
      <alignment vertical="center"/>
    </xf>
    <xf numFmtId="0" fontId="0" fillId="0" borderId="30" xfId="0" applyBorder="1" applyAlignment="1">
      <alignment vertical="center" wrapText="1"/>
    </xf>
    <xf numFmtId="168" fontId="18" fillId="8" borderId="2" xfId="22" applyNumberFormat="1" applyFont="1" applyFill="1" applyBorder="1" applyAlignment="1">
      <alignment horizontal="center"/>
    </xf>
    <xf numFmtId="168" fontId="1" fillId="0" borderId="2" xfId="0" applyNumberFormat="1" applyFont="1" applyBorder="1" applyAlignment="1">
      <alignment horizontal="center"/>
    </xf>
    <xf numFmtId="14" fontId="0" fillId="0" borderId="0" xfId="0" applyNumberFormat="1" applyAlignment="1">
      <alignment horizontal="left"/>
    </xf>
    <xf numFmtId="0" fontId="0" fillId="0" borderId="0" xfId="0" applyAlignment="1">
      <alignment horizontal="right"/>
    </xf>
    <xf numFmtId="0" fontId="8" fillId="0" borderId="0" xfId="0" applyFont="1" applyAlignment="1">
      <alignment/>
    </xf>
    <xf numFmtId="0" fontId="9" fillId="0" borderId="0" xfId="0" applyFont="1" applyBorder="1" applyAlignment="1">
      <alignment horizontal="center"/>
    </xf>
    <xf numFmtId="0" fontId="8" fillId="0" borderId="0" xfId="0" applyFont="1" applyAlignment="1">
      <alignment/>
    </xf>
    <xf numFmtId="0" fontId="25" fillId="0" borderId="0" xfId="0" applyFont="1" applyAlignment="1">
      <alignment horizontal="right"/>
    </xf>
    <xf numFmtId="14" fontId="25" fillId="0" borderId="0" xfId="0" applyNumberFormat="1" applyFont="1" applyAlignment="1">
      <alignment horizontal="left"/>
    </xf>
    <xf numFmtId="0" fontId="25" fillId="0" borderId="0" xfId="0" applyFont="1" applyBorder="1" applyAlignment="1">
      <alignment horizontal="right"/>
    </xf>
    <xf numFmtId="14" fontId="25" fillId="0" borderId="0" xfId="0" applyNumberFormat="1" applyFont="1" applyBorder="1" applyAlignment="1">
      <alignment horizontal="left"/>
    </xf>
    <xf numFmtId="0" fontId="25" fillId="0" borderId="0" xfId="0" applyFont="1" applyAlignment="1">
      <alignment horizontal="right" vertical="top"/>
    </xf>
    <xf numFmtId="14" fontId="25" fillId="0" borderId="0" xfId="0" applyNumberFormat="1" applyFont="1" applyAlignment="1">
      <alignment horizontal="left" vertical="top"/>
    </xf>
    <xf numFmtId="0" fontId="25" fillId="0" borderId="0" xfId="0" applyFont="1" applyAlignment="1">
      <alignment horizontal="right"/>
    </xf>
    <xf numFmtId="14" fontId="25" fillId="0" borderId="0" xfId="0" applyNumberFormat="1" applyFont="1" applyAlignment="1">
      <alignment horizontal="left"/>
    </xf>
    <xf numFmtId="10" fontId="0" fillId="0" borderId="0" xfId="0" applyNumberFormat="1" applyAlignment="1">
      <alignment/>
    </xf>
    <xf numFmtId="0" fontId="0" fillId="0" borderId="8" xfId="0" applyFont="1" applyBorder="1" applyAlignment="1">
      <alignment horizontal="center" vertical="center" wrapText="1"/>
    </xf>
    <xf numFmtId="0" fontId="0" fillId="0" borderId="31" xfId="0" applyFont="1" applyBorder="1" applyAlignment="1">
      <alignment horizontal="center" vertical="center" wrapText="1"/>
    </xf>
    <xf numFmtId="0" fontId="28" fillId="0" borderId="32" xfId="0" applyFont="1" applyBorder="1" applyAlignment="1">
      <alignment horizontal="left" vertical="center" wrapText="1"/>
    </xf>
    <xf numFmtId="0" fontId="0" fillId="0" borderId="33" xfId="0" applyFill="1" applyBorder="1" applyAlignment="1">
      <alignment vertical="center"/>
    </xf>
    <xf numFmtId="9" fontId="0" fillId="0" borderId="33" xfId="0" applyNumberFormat="1" applyBorder="1" applyAlignment="1">
      <alignment horizontal="center" vertical="center"/>
    </xf>
    <xf numFmtId="0" fontId="0" fillId="0" borderId="34" xfId="0" applyBorder="1" applyAlignment="1">
      <alignment horizontal="center" vertical="center"/>
    </xf>
    <xf numFmtId="0" fontId="29" fillId="0" borderId="29" xfId="0" applyFont="1" applyFill="1" applyBorder="1" applyAlignment="1">
      <alignment horizontal="center" vertical="center" wrapText="1"/>
    </xf>
    <xf numFmtId="0" fontId="0" fillId="0" borderId="29" xfId="0" applyFill="1" applyBorder="1" applyAlignment="1">
      <alignment vertical="center"/>
    </xf>
    <xf numFmtId="9" fontId="0" fillId="0" borderId="29" xfId="0" applyNumberFormat="1" applyBorder="1" applyAlignment="1">
      <alignment horizontal="center" vertical="center"/>
    </xf>
    <xf numFmtId="0" fontId="0" fillId="0" borderId="35" xfId="0" applyBorder="1" applyAlignment="1">
      <alignment horizontal="center" vertical="center"/>
    </xf>
    <xf numFmtId="0" fontId="19" fillId="0" borderId="0" xfId="0" applyFont="1" applyAlignment="1">
      <alignment horizontal="center" vertical="center"/>
    </xf>
    <xf numFmtId="0" fontId="0" fillId="0" borderId="32" xfId="0" applyBorder="1" applyAlignment="1">
      <alignment vertical="center"/>
    </xf>
    <xf numFmtId="0" fontId="0" fillId="0" borderId="12" xfId="21" applyFont="1" applyBorder="1" applyAlignment="1">
      <alignment vertical="center" wrapText="1"/>
      <protection/>
    </xf>
    <xf numFmtId="0" fontId="0" fillId="0" borderId="36" xfId="21" applyFont="1" applyBorder="1" applyAlignment="1">
      <alignment horizontal="center" vertical="center"/>
      <protection/>
    </xf>
    <xf numFmtId="0" fontId="1" fillId="0" borderId="32" xfId="0" applyFont="1" applyFill="1" applyBorder="1" applyAlignment="1">
      <alignment horizontal="left" vertical="center"/>
    </xf>
    <xf numFmtId="0" fontId="1" fillId="0" borderId="37" xfId="0" applyFont="1" applyFill="1" applyBorder="1" applyAlignment="1">
      <alignment vertical="center"/>
    </xf>
    <xf numFmtId="0" fontId="1" fillId="0" borderId="12" xfId="0" applyFont="1" applyFill="1" applyBorder="1" applyAlignment="1">
      <alignment vertical="center" wrapText="1"/>
    </xf>
    <xf numFmtId="0" fontId="0" fillId="0" borderId="30" xfId="21" applyFont="1" applyBorder="1" applyAlignment="1">
      <alignment vertical="center" wrapText="1"/>
      <protection/>
    </xf>
    <xf numFmtId="0" fontId="0" fillId="0" borderId="35" xfId="21" applyFont="1" applyBorder="1" applyAlignment="1">
      <alignment horizontal="center" vertical="center"/>
      <protection/>
    </xf>
    <xf numFmtId="0" fontId="0" fillId="0" borderId="0" xfId="0" applyFill="1" applyAlignment="1">
      <alignment/>
    </xf>
    <xf numFmtId="165" fontId="0" fillId="0" borderId="29" xfId="15" applyNumberFormat="1" applyBorder="1" applyAlignment="1">
      <alignment horizontal="center" vertical="center"/>
    </xf>
    <xf numFmtId="0" fontId="1" fillId="0" borderId="0" xfId="0" applyFont="1" applyFill="1" applyAlignment="1">
      <alignment horizontal="left" vertical="center" wrapText="1"/>
    </xf>
    <xf numFmtId="0" fontId="30" fillId="0" borderId="0" xfId="0" applyFont="1" applyBorder="1" applyAlignment="1">
      <alignment vertical="center" wrapText="1"/>
    </xf>
    <xf numFmtId="3" fontId="0" fillId="0" borderId="32" xfId="15" applyNumberFormat="1" applyBorder="1" applyAlignment="1">
      <alignment horizontal="center" vertical="center"/>
    </xf>
    <xf numFmtId="9" fontId="32" fillId="4" borderId="33" xfId="0" applyNumberFormat="1" applyFont="1" applyFill="1" applyBorder="1" applyAlignment="1">
      <alignment horizontal="center" vertical="center"/>
    </xf>
    <xf numFmtId="9" fontId="32" fillId="4" borderId="29" xfId="0" applyNumberFormat="1" applyFont="1" applyFill="1" applyBorder="1" applyAlignment="1">
      <alignment horizontal="center" vertical="center"/>
    </xf>
    <xf numFmtId="37" fontId="32" fillId="4" borderId="32" xfId="15" applyNumberFormat="1" applyFont="1" applyFill="1" applyBorder="1" applyAlignment="1">
      <alignment horizontal="center" vertical="center"/>
    </xf>
    <xf numFmtId="195" fontId="32" fillId="4" borderId="29" xfId="15" applyNumberFormat="1" applyFont="1" applyFill="1" applyBorder="1" applyAlignment="1">
      <alignment horizontal="center" vertical="center"/>
    </xf>
    <xf numFmtId="9" fontId="23" fillId="5" borderId="33" xfId="0" applyNumberFormat="1" applyFont="1" applyFill="1" applyBorder="1" applyAlignment="1">
      <alignment horizontal="center" vertical="center"/>
    </xf>
    <xf numFmtId="9" fontId="23" fillId="5" borderId="29" xfId="0" applyNumberFormat="1" applyFont="1" applyFill="1" applyBorder="1" applyAlignment="1">
      <alignment horizontal="center" vertical="center"/>
    </xf>
    <xf numFmtId="3" fontId="23" fillId="5" borderId="32" xfId="15" applyNumberFormat="1" applyFont="1" applyFill="1" applyBorder="1" applyAlignment="1">
      <alignment horizontal="center" vertical="center"/>
    </xf>
    <xf numFmtId="165" fontId="23" fillId="5" borderId="29" xfId="15" applyNumberFormat="1" applyFont="1" applyFill="1" applyBorder="1" applyAlignment="1">
      <alignment horizontal="center" vertical="center"/>
    </xf>
    <xf numFmtId="9" fontId="0" fillId="0" borderId="0" xfId="0" applyNumberFormat="1" applyAlignment="1">
      <alignment/>
    </xf>
    <xf numFmtId="0" fontId="0" fillId="0" borderId="38" xfId="0" applyFont="1" applyBorder="1" applyAlignment="1">
      <alignment horizontal="left" vertical="center" wrapText="1"/>
    </xf>
    <xf numFmtId="170" fontId="0" fillId="0" borderId="2" xfId="0" applyNumberFormat="1" applyFont="1" applyBorder="1" applyAlignment="1">
      <alignment horizontal="center" vertical="center" wrapText="1"/>
    </xf>
    <xf numFmtId="9" fontId="0" fillId="0" borderId="0" xfId="0" applyNumberFormat="1" applyBorder="1" applyAlignment="1">
      <alignment/>
    </xf>
    <xf numFmtId="4" fontId="0" fillId="0" borderId="39" xfId="0" applyNumberFormat="1" applyFont="1" applyBorder="1" applyAlignment="1">
      <alignment horizontal="center" vertical="center" wrapText="1"/>
    </xf>
    <xf numFmtId="4" fontId="0" fillId="0" borderId="40" xfId="0" applyNumberFormat="1" applyFont="1" applyBorder="1" applyAlignment="1">
      <alignment horizontal="center" vertical="center" wrapText="1"/>
    </xf>
    <xf numFmtId="4" fontId="12" fillId="0" borderId="41" xfId="0" applyNumberFormat="1" applyFont="1" applyBorder="1" applyAlignment="1">
      <alignment horizontal="left" vertical="center" wrapText="1"/>
    </xf>
    <xf numFmtId="4" fontId="0" fillId="0" borderId="42" xfId="0" applyNumberFormat="1" applyFont="1" applyBorder="1" applyAlignment="1">
      <alignment horizontal="center" vertical="center" wrapText="1"/>
    </xf>
    <xf numFmtId="4" fontId="0" fillId="0" borderId="27" xfId="0" applyNumberFormat="1" applyFont="1" applyBorder="1" applyAlignment="1">
      <alignment horizontal="center" vertical="center" wrapText="1"/>
    </xf>
    <xf numFmtId="4" fontId="0" fillId="0" borderId="28" xfId="0" applyNumberFormat="1" applyFont="1" applyBorder="1" applyAlignment="1">
      <alignment horizontal="center" vertical="center" wrapText="1"/>
    </xf>
    <xf numFmtId="0" fontId="0" fillId="0" borderId="12" xfId="0" applyFont="1" applyBorder="1" applyAlignment="1">
      <alignment horizontal="left"/>
    </xf>
    <xf numFmtId="4" fontId="0" fillId="0" borderId="43" xfId="0" applyNumberFormat="1" applyFont="1" applyBorder="1" applyAlignment="1">
      <alignment horizontal="center" vertical="center" wrapText="1"/>
    </xf>
    <xf numFmtId="0" fontId="0" fillId="0" borderId="39" xfId="0" applyFont="1" applyBorder="1" applyAlignment="1">
      <alignment horizontal="center" vertical="center" wrapText="1"/>
    </xf>
    <xf numFmtId="0" fontId="0" fillId="0" borderId="38" xfId="0" applyFont="1" applyBorder="1" applyAlignment="1">
      <alignment horizontal="center" vertical="center" wrapText="1"/>
    </xf>
    <xf numFmtId="0" fontId="1" fillId="0" borderId="2" xfId="0" applyFont="1" applyBorder="1" applyAlignment="1">
      <alignment horizontal="left"/>
    </xf>
    <xf numFmtId="0" fontId="1" fillId="0" borderId="0" xfId="0" applyFont="1" applyBorder="1" applyAlignment="1">
      <alignment horizontal="left"/>
    </xf>
    <xf numFmtId="0" fontId="0" fillId="0" borderId="2" xfId="0" applyFont="1" applyBorder="1" applyAlignment="1">
      <alignment horizontal="center"/>
    </xf>
    <xf numFmtId="0" fontId="22" fillId="0" borderId="0" xfId="0" applyFont="1" applyBorder="1" applyAlignment="1">
      <alignment/>
    </xf>
    <xf numFmtId="0" fontId="0" fillId="0" borderId="0" xfId="0" applyBorder="1" applyAlignment="1">
      <alignment horizontal="left" vertical="top"/>
    </xf>
    <xf numFmtId="0" fontId="0" fillId="0" borderId="0" xfId="0" applyNumberFormat="1" applyFont="1" applyBorder="1" applyAlignment="1">
      <alignment wrapText="1"/>
    </xf>
    <xf numFmtId="0" fontId="0" fillId="0" borderId="0" xfId="0" applyFont="1" applyBorder="1" applyAlignment="1">
      <alignment vertical="top" wrapText="1"/>
    </xf>
    <xf numFmtId="0" fontId="0" fillId="0" borderId="0" xfId="0" applyFont="1" applyBorder="1" applyAlignment="1">
      <alignment horizontal="left" vertical="top" wrapText="1"/>
    </xf>
    <xf numFmtId="0" fontId="0" fillId="0" borderId="44" xfId="0" applyFont="1" applyBorder="1" applyAlignment="1">
      <alignment horizontal="left" vertical="center" wrapText="1"/>
    </xf>
    <xf numFmtId="0" fontId="0" fillId="0" borderId="16" xfId="0" applyFont="1" applyBorder="1" applyAlignment="1">
      <alignment horizontal="left" vertical="center" wrapText="1"/>
    </xf>
    <xf numFmtId="0" fontId="0" fillId="0" borderId="20" xfId="0" applyFont="1" applyBorder="1" applyAlignment="1">
      <alignment horizontal="left" vertical="center" wrapText="1"/>
    </xf>
    <xf numFmtId="0" fontId="21" fillId="0" borderId="0" xfId="0" applyFont="1" applyAlignment="1">
      <alignment horizontal="center" vertical="center"/>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31" fillId="0" borderId="0" xfId="0" applyFont="1" applyAlignment="1">
      <alignment horizontal="left" vertical="center" wrapText="1"/>
    </xf>
    <xf numFmtId="0" fontId="0" fillId="0" borderId="0" xfId="0" applyAlignment="1">
      <alignment horizontal="left" vertical="center" wrapText="1"/>
    </xf>
    <xf numFmtId="0" fontId="0" fillId="0" borderId="0" xfId="0" applyBorder="1" applyAlignment="1">
      <alignment horizontal="left" vertical="top"/>
    </xf>
    <xf numFmtId="0" fontId="1" fillId="0" borderId="0" xfId="0" applyFont="1" applyFill="1" applyAlignment="1">
      <alignment horizontal="left" vertical="center" wrapText="1"/>
    </xf>
    <xf numFmtId="0" fontId="0" fillId="0" borderId="0" xfId="0" applyAlignment="1">
      <alignment horizontal="left" wrapText="1"/>
    </xf>
    <xf numFmtId="0" fontId="30" fillId="0" borderId="14" xfId="0" applyFont="1" applyBorder="1" applyAlignment="1">
      <alignment horizontal="center" vertical="center" wrapText="1"/>
    </xf>
    <xf numFmtId="0" fontId="17" fillId="0" borderId="36" xfId="0" applyFont="1" applyBorder="1" applyAlignment="1">
      <alignment vertical="center"/>
    </xf>
    <xf numFmtId="0" fontId="17" fillId="0" borderId="48" xfId="0" applyFont="1" applyBorder="1" applyAlignment="1">
      <alignment vertical="center"/>
    </xf>
    <xf numFmtId="0" fontId="17" fillId="0" borderId="43" xfId="0" applyFont="1" applyBorder="1" applyAlignment="1">
      <alignment horizontal="center"/>
    </xf>
    <xf numFmtId="0" fontId="17" fillId="0" borderId="39" xfId="0" applyFont="1" applyBorder="1" applyAlignment="1">
      <alignment horizontal="center"/>
    </xf>
    <xf numFmtId="0" fontId="17" fillId="0" borderId="38" xfId="0" applyFont="1" applyBorder="1" applyAlignment="1">
      <alignment horizontal="center"/>
    </xf>
    <xf numFmtId="2" fontId="0" fillId="0" borderId="2" xfId="0" applyNumberFormat="1" applyFont="1" applyBorder="1" applyAlignment="1">
      <alignment horizontal="center"/>
    </xf>
    <xf numFmtId="0" fontId="0" fillId="0" borderId="2" xfId="0" applyFont="1" applyBorder="1" applyAlignment="1">
      <alignment horizontal="left"/>
    </xf>
    <xf numFmtId="0" fontId="0" fillId="0" borderId="43" xfId="0" applyFont="1" applyBorder="1" applyAlignment="1">
      <alignment horizontal="center" vertical="center" wrapText="1"/>
    </xf>
    <xf numFmtId="0" fontId="1" fillId="0" borderId="0" xfId="0" applyFont="1" applyBorder="1" applyAlignment="1">
      <alignment horizontal="center"/>
    </xf>
    <xf numFmtId="3" fontId="1" fillId="0" borderId="49" xfId="0" applyNumberFormat="1" applyFont="1" applyBorder="1" applyAlignment="1">
      <alignment horizontal="center" vertical="center" wrapText="1"/>
    </xf>
    <xf numFmtId="3" fontId="1" fillId="0" borderId="50" xfId="0" applyNumberFormat="1" applyFont="1" applyBorder="1" applyAlignment="1">
      <alignment horizontal="center" vertical="center" wrapText="1"/>
    </xf>
    <xf numFmtId="3" fontId="1" fillId="0" borderId="39" xfId="0" applyNumberFormat="1" applyFont="1" applyBorder="1" applyAlignment="1">
      <alignment horizontal="center" vertical="center" wrapText="1"/>
    </xf>
    <xf numFmtId="3" fontId="1" fillId="0" borderId="40" xfId="0" applyNumberFormat="1" applyFont="1" applyBorder="1" applyAlignment="1">
      <alignment horizontal="center" vertical="center" wrapText="1"/>
    </xf>
    <xf numFmtId="3" fontId="0" fillId="0" borderId="39" xfId="0" applyNumberFormat="1" applyFont="1" applyBorder="1" applyAlignment="1">
      <alignment horizontal="center" vertical="center" wrapText="1"/>
    </xf>
    <xf numFmtId="3" fontId="0" fillId="0" borderId="40" xfId="0" applyNumberFormat="1" applyFont="1" applyBorder="1" applyAlignment="1">
      <alignment horizontal="center" vertical="center" wrapText="1"/>
    </xf>
    <xf numFmtId="0" fontId="1" fillId="0" borderId="12" xfId="0" applyFont="1" applyBorder="1" applyAlignment="1">
      <alignment horizontal="left"/>
    </xf>
    <xf numFmtId="0" fontId="1" fillId="0" borderId="0" xfId="0" applyFont="1" applyAlignment="1">
      <alignment horizontal="center"/>
    </xf>
    <xf numFmtId="0" fontId="1" fillId="0" borderId="1" xfId="0" applyFont="1" applyBorder="1" applyAlignment="1">
      <alignment horizontal="left"/>
    </xf>
    <xf numFmtId="0" fontId="1" fillId="0" borderId="6" xfId="0" applyFont="1" applyBorder="1" applyAlignment="1">
      <alignment horizontal="left"/>
    </xf>
    <xf numFmtId="0" fontId="0" fillId="0" borderId="0" xfId="0" applyFont="1" applyAlignment="1">
      <alignment horizontal="left" vertical="center" wrapText="1"/>
    </xf>
    <xf numFmtId="0" fontId="2" fillId="0" borderId="30" xfId="0" applyFont="1" applyBorder="1" applyAlignment="1">
      <alignment horizontal="center"/>
    </xf>
    <xf numFmtId="0" fontId="0" fillId="0" borderId="1" xfId="0" applyFont="1" applyFill="1" applyBorder="1" applyAlignment="1">
      <alignment horizontal="left"/>
    </xf>
    <xf numFmtId="0" fontId="0" fillId="0" borderId="2" xfId="0" applyFont="1" applyFill="1" applyBorder="1" applyAlignment="1">
      <alignment horizontal="left"/>
    </xf>
    <xf numFmtId="0" fontId="0" fillId="0" borderId="6" xfId="0" applyFont="1" applyFill="1" applyBorder="1" applyAlignment="1">
      <alignment horizontal="left"/>
    </xf>
    <xf numFmtId="0" fontId="1" fillId="0" borderId="36" xfId="0" applyFont="1" applyFill="1" applyBorder="1" applyAlignment="1">
      <alignment horizontal="left"/>
    </xf>
    <xf numFmtId="0" fontId="1" fillId="0" borderId="32" xfId="0" applyFont="1" applyFill="1" applyBorder="1" applyAlignment="1">
      <alignment horizontal="left"/>
    </xf>
    <xf numFmtId="0" fontId="1" fillId="0" borderId="51" xfId="0" applyFont="1" applyFill="1" applyBorder="1" applyAlignment="1">
      <alignment horizontal="left"/>
    </xf>
    <xf numFmtId="0" fontId="1" fillId="0" borderId="35" xfId="0" applyFont="1" applyFill="1" applyBorder="1" applyAlignment="1">
      <alignment horizontal="center"/>
    </xf>
    <xf numFmtId="0" fontId="1" fillId="0" borderId="29" xfId="0" applyFont="1" applyFill="1" applyBorder="1" applyAlignment="1">
      <alignment horizontal="center"/>
    </xf>
    <xf numFmtId="0" fontId="1" fillId="0" borderId="52" xfId="0" applyFont="1" applyFill="1" applyBorder="1" applyAlignment="1">
      <alignment horizontal="center"/>
    </xf>
    <xf numFmtId="0" fontId="0" fillId="0" borderId="43" xfId="0" applyFont="1" applyBorder="1" applyAlignment="1">
      <alignment horizontal="center"/>
    </xf>
    <xf numFmtId="0" fontId="0" fillId="0" borderId="39" xfId="0" applyFont="1" applyBorder="1" applyAlignment="1">
      <alignment horizontal="center"/>
    </xf>
    <xf numFmtId="0" fontId="0" fillId="0" borderId="38" xfId="0" applyFont="1" applyBorder="1" applyAlignment="1">
      <alignment horizontal="center"/>
    </xf>
    <xf numFmtId="0" fontId="2" fillId="0" borderId="0" xfId="0" applyFont="1" applyFill="1" applyBorder="1" applyAlignment="1">
      <alignment horizontal="left"/>
    </xf>
    <xf numFmtId="0" fontId="1" fillId="0" borderId="1" xfId="0" applyFont="1" applyFill="1" applyBorder="1" applyAlignment="1">
      <alignment horizontal="center"/>
    </xf>
    <xf numFmtId="0" fontId="1" fillId="0" borderId="2" xfId="0" applyFont="1" applyFill="1" applyBorder="1" applyAlignment="1">
      <alignment horizontal="center"/>
    </xf>
    <xf numFmtId="0" fontId="1" fillId="0" borderId="6" xfId="0" applyFont="1" applyFill="1" applyBorder="1" applyAlignment="1">
      <alignment horizontal="center"/>
    </xf>
    <xf numFmtId="0" fontId="1" fillId="0" borderId="1" xfId="0" applyFont="1" applyFill="1" applyBorder="1" applyAlignment="1">
      <alignment horizontal="left"/>
    </xf>
    <xf numFmtId="0" fontId="1" fillId="0" borderId="2" xfId="0" applyFont="1" applyFill="1" applyBorder="1" applyAlignment="1">
      <alignment horizontal="left"/>
    </xf>
    <xf numFmtId="0" fontId="1" fillId="0" borderId="6" xfId="0" applyFont="1" applyFill="1" applyBorder="1" applyAlignment="1">
      <alignment horizontal="left"/>
    </xf>
    <xf numFmtId="0" fontId="1" fillId="0" borderId="34" xfId="0" applyFont="1" applyFill="1" applyBorder="1" applyAlignment="1">
      <alignment horizontal="left"/>
    </xf>
    <xf numFmtId="0" fontId="1" fillId="0" borderId="33" xfId="0" applyFont="1" applyFill="1" applyBorder="1" applyAlignment="1">
      <alignment horizontal="left"/>
    </xf>
    <xf numFmtId="0" fontId="1" fillId="0" borderId="14" xfId="0" applyFont="1" applyFill="1" applyBorder="1" applyAlignment="1">
      <alignment horizontal="left"/>
    </xf>
    <xf numFmtId="4" fontId="1" fillId="4" borderId="3" xfId="0" applyNumberFormat="1" applyFont="1" applyFill="1" applyBorder="1" applyAlignment="1">
      <alignment horizontal="left" vertical="center" wrapText="1"/>
    </xf>
    <xf numFmtId="4" fontId="1" fillId="4" borderId="5" xfId="0" applyNumberFormat="1" applyFont="1" applyFill="1" applyBorder="1" applyAlignment="1">
      <alignment horizontal="left" vertical="center" wrapText="1"/>
    </xf>
    <xf numFmtId="0" fontId="1" fillId="0" borderId="2" xfId="0" applyFont="1" applyBorder="1" applyAlignment="1">
      <alignment horizontal="left" vertical="center" wrapText="1"/>
    </xf>
    <xf numFmtId="0" fontId="0" fillId="0" borderId="43" xfId="0" applyFont="1" applyBorder="1" applyAlignment="1">
      <alignment horizontal="left" vertical="center" wrapText="1"/>
    </xf>
    <xf numFmtId="0" fontId="0" fillId="0" borderId="39" xfId="0" applyFont="1" applyBorder="1" applyAlignment="1">
      <alignment horizontal="left" vertical="center" wrapText="1"/>
    </xf>
    <xf numFmtId="0" fontId="0" fillId="0" borderId="38" xfId="0" applyFont="1" applyBorder="1" applyAlignment="1">
      <alignment horizontal="left" vertical="center" wrapText="1"/>
    </xf>
    <xf numFmtId="0" fontId="0" fillId="0" borderId="0" xfId="0" applyFont="1" applyAlignment="1">
      <alignment horizontal="center"/>
    </xf>
    <xf numFmtId="0" fontId="0" fillId="0" borderId="1" xfId="0" applyFont="1" applyBorder="1" applyAlignment="1">
      <alignment horizontal="left"/>
    </xf>
    <xf numFmtId="0" fontId="0" fillId="0" borderId="3" xfId="0" applyBorder="1" applyAlignment="1">
      <alignment horizontal="center"/>
    </xf>
    <xf numFmtId="0" fontId="0" fillId="0" borderId="4" xfId="0" applyBorder="1" applyAlignment="1">
      <alignment horizontal="center"/>
    </xf>
    <xf numFmtId="0" fontId="1" fillId="0" borderId="0" xfId="0" applyFont="1" applyBorder="1" applyAlignment="1">
      <alignment horizontal="left" vertical="center" wrapText="1"/>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9" fillId="2" borderId="0" xfId="0" applyFont="1" applyFill="1" applyBorder="1" applyAlignment="1">
      <alignment horizontal="center"/>
    </xf>
    <xf numFmtId="0" fontId="8" fillId="0" borderId="43" xfId="0" applyFont="1" applyBorder="1" applyAlignment="1">
      <alignment horizontal="left"/>
    </xf>
    <xf numFmtId="0" fontId="8" fillId="0" borderId="39" xfId="0" applyFont="1" applyBorder="1" applyAlignment="1">
      <alignment horizontal="left"/>
    </xf>
    <xf numFmtId="0" fontId="8" fillId="0" borderId="38" xfId="0" applyFont="1" applyBorder="1" applyAlignment="1">
      <alignment horizontal="left"/>
    </xf>
    <xf numFmtId="0" fontId="0" fillId="0" borderId="43" xfId="0" applyBorder="1" applyAlignment="1">
      <alignment horizontal="center"/>
    </xf>
    <xf numFmtId="0" fontId="0" fillId="0" borderId="39" xfId="0" applyBorder="1" applyAlignment="1">
      <alignment horizontal="center"/>
    </xf>
    <xf numFmtId="0" fontId="0" fillId="0" borderId="38" xfId="0" applyBorder="1" applyAlignment="1">
      <alignment horizontal="center"/>
    </xf>
    <xf numFmtId="0" fontId="0" fillId="0" borderId="1" xfId="0" applyBorder="1" applyAlignment="1">
      <alignment horizontal="left" vertical="center" wrapText="1"/>
    </xf>
    <xf numFmtId="0" fontId="0" fillId="0" borderId="2" xfId="0" applyBorder="1" applyAlignment="1">
      <alignment horizontal="left" vertical="center" wrapText="1"/>
    </xf>
    <xf numFmtId="0" fontId="8" fillId="0" borderId="0" xfId="0" applyNumberFormat="1" applyFont="1" applyBorder="1" applyAlignment="1">
      <alignment horizontal="left"/>
    </xf>
    <xf numFmtId="0" fontId="8" fillId="0" borderId="0" xfId="0" applyFont="1" applyAlignment="1">
      <alignment horizontal="left"/>
    </xf>
    <xf numFmtId="0" fontId="8" fillId="2" borderId="2" xfId="0" applyFont="1" applyFill="1" applyBorder="1" applyAlignment="1">
      <alignment horizontal="left" vertical="center"/>
    </xf>
    <xf numFmtId="0" fontId="8" fillId="0" borderId="2" xfId="0" applyFont="1" applyBorder="1" applyAlignment="1">
      <alignment horizontal="center" vertical="center"/>
    </xf>
    <xf numFmtId="0" fontId="9" fillId="0" borderId="0" xfId="0" applyFont="1" applyBorder="1" applyAlignment="1">
      <alignment horizontal="justify" vertical="center" wrapText="1"/>
    </xf>
    <xf numFmtId="0" fontId="0" fillId="0" borderId="0" xfId="0" applyBorder="1" applyAlignment="1">
      <alignment horizontal="justify" vertical="center" wrapText="1"/>
    </xf>
    <xf numFmtId="0" fontId="8" fillId="2" borderId="2" xfId="0" applyFont="1" applyFill="1" applyBorder="1" applyAlignment="1">
      <alignment vertical="center" wrapText="1"/>
    </xf>
    <xf numFmtId="0" fontId="0" fillId="2" borderId="2" xfId="0" applyFill="1" applyBorder="1" applyAlignment="1">
      <alignment vertical="center" wrapText="1"/>
    </xf>
    <xf numFmtId="0" fontId="0" fillId="0" borderId="1" xfId="0" applyFont="1" applyBorder="1" applyAlignment="1">
      <alignment/>
    </xf>
    <xf numFmtId="0" fontId="0" fillId="0" borderId="2" xfId="0" applyFont="1" applyBorder="1" applyAlignment="1">
      <alignment/>
    </xf>
    <xf numFmtId="0" fontId="13" fillId="0" borderId="0" xfId="0" applyFont="1" applyBorder="1" applyAlignment="1">
      <alignment horizontal="left" vertical="center" wrapText="1"/>
    </xf>
    <xf numFmtId="0" fontId="0" fillId="0" borderId="2" xfId="0" applyBorder="1" applyAlignment="1">
      <alignment horizontal="center" vertical="center"/>
    </xf>
    <xf numFmtId="0" fontId="8" fillId="2" borderId="2" xfId="0" applyFont="1" applyFill="1" applyBorder="1" applyAlignment="1">
      <alignment horizontal="center" vertical="center"/>
    </xf>
    <xf numFmtId="0" fontId="1" fillId="0" borderId="25" xfId="0" applyFont="1" applyBorder="1" applyAlignment="1">
      <alignment horizontal="left"/>
    </xf>
    <xf numFmtId="0" fontId="1" fillId="0" borderId="49" xfId="0" applyFont="1" applyBorder="1" applyAlignment="1">
      <alignment horizontal="left"/>
    </xf>
  </cellXfs>
  <cellStyles count="9">
    <cellStyle name="Normal" xfId="0"/>
    <cellStyle name="Comma" xfId="15"/>
    <cellStyle name="Comma [0]" xfId="16"/>
    <cellStyle name="Currency" xfId="17"/>
    <cellStyle name="Currency [0]" xfId="18"/>
    <cellStyle name="Followed Hyperlink" xfId="19"/>
    <cellStyle name="Hyperlink" xfId="20"/>
    <cellStyle name="Normal_Mongolia Rail ERR.IM Cleaned" xfId="21"/>
    <cellStyle name="Percent" xfId="22"/>
  </cellStyles>
  <dxfs count="2">
    <dxf>
      <font>
        <color rgb="FFFFFFFF"/>
      </font>
      <fill>
        <patternFill patternType="none">
          <bgColor indexed="65"/>
        </patternFill>
      </fill>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Undiscounted Net Annual Benefits of Mongolia Rail Project</a:t>
            </a:r>
          </a:p>
        </c:rich>
      </c:tx>
      <c:layout/>
      <c:spPr>
        <a:noFill/>
        <a:ln>
          <a:noFill/>
        </a:ln>
      </c:spPr>
    </c:title>
    <c:plotArea>
      <c:layout/>
      <c:areaChart>
        <c:grouping val="standard"/>
        <c:varyColors val="0"/>
        <c:ser>
          <c:idx val="0"/>
          <c:order val="0"/>
          <c:spPr>
            <a:solidFill>
              <a:srgbClr val="0066CC"/>
            </a:solidFill>
            <a:ln w="3175">
              <a:noFill/>
            </a:ln>
          </c:spPr>
          <c:extLst>
            <c:ext xmlns:c14="http://schemas.microsoft.com/office/drawing/2007/8/2/chart" uri="{6F2FDCE9-48DA-4B69-8628-5D25D57E5C99}">
              <c14:invertSolidFillFmt>
                <c14:spPr>
                  <a:solidFill>
                    <a:srgbClr val="FFFFFF"/>
                  </a:solidFill>
                </c14:spPr>
              </c14:invertSolidFillFmt>
            </c:ext>
          </c:extLst>
          <c:val>
            <c:numRef>
              <c:f>'Income Statements &amp; GDP Impact'!$C$382:$W$382</c:f>
              <c:numCache>
                <c:ptCount val="21"/>
                <c:pt idx="0">
                  <c:v>0</c:v>
                </c:pt>
                <c:pt idx="1">
                  <c:v>-29417.67877116451</c:v>
                </c:pt>
                <c:pt idx="2">
                  <c:v>-34101.69188920953</c:v>
                </c:pt>
                <c:pt idx="3">
                  <c:v>-109745.03939179987</c:v>
                </c:pt>
                <c:pt idx="4">
                  <c:v>-21301.206644896985</c:v>
                </c:pt>
                <c:pt idx="5">
                  <c:v>68342.12406249333</c:v>
                </c:pt>
                <c:pt idx="6">
                  <c:v>84116.85348984195</c:v>
                </c:pt>
                <c:pt idx="7">
                  <c:v>97514.32779346016</c:v>
                </c:pt>
                <c:pt idx="8">
                  <c:v>88629.99485405283</c:v>
                </c:pt>
                <c:pt idx="9">
                  <c:v>105718.2547938167</c:v>
                </c:pt>
                <c:pt idx="10">
                  <c:v>97124.12906633818</c:v>
                </c:pt>
                <c:pt idx="11">
                  <c:v>100466.92547894872</c:v>
                </c:pt>
                <c:pt idx="12">
                  <c:v>137604.96945251833</c:v>
                </c:pt>
                <c:pt idx="13">
                  <c:v>108631.71523849992</c:v>
                </c:pt>
                <c:pt idx="14">
                  <c:v>143753.95713262135</c:v>
                </c:pt>
                <c:pt idx="15">
                  <c:v>189874.01423963104</c:v>
                </c:pt>
                <c:pt idx="16">
                  <c:v>200986.0026005916</c:v>
                </c:pt>
                <c:pt idx="17">
                  <c:v>210767.5877467714</c:v>
                </c:pt>
                <c:pt idx="18">
                  <c:v>199309.7590554059</c:v>
                </c:pt>
                <c:pt idx="19">
                  <c:v>224350.2460871502</c:v>
                </c:pt>
                <c:pt idx="20">
                  <c:v>229087.25730489154</c:v>
                </c:pt>
              </c:numCache>
            </c:numRef>
          </c:val>
        </c:ser>
        <c:axId val="9849891"/>
        <c:axId val="21540156"/>
      </c:areaChart>
      <c:catAx>
        <c:axId val="9849891"/>
        <c:scaling>
          <c:orientation val="minMax"/>
        </c:scaling>
        <c:axPos val="b"/>
        <c:title>
          <c:tx>
            <c:rich>
              <a:bodyPr vert="horz" rot="0" anchor="ctr"/>
              <a:lstStyle/>
              <a:p>
                <a:pPr algn="ctr">
                  <a:defRPr/>
                </a:pPr>
                <a:r>
                  <a:rPr lang="en-US" cap="none" sz="12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spPr>
          <a:ln w="12700">
            <a:solidFill/>
          </a:ln>
        </c:spPr>
        <c:txPr>
          <a:bodyPr/>
          <a:lstStyle/>
          <a:p>
            <a:pPr>
              <a:defRPr lang="en-US" cap="none" sz="1200" b="1" i="0" u="none" baseline="0">
                <a:latin typeface="Arial"/>
                <a:ea typeface="Arial"/>
                <a:cs typeface="Arial"/>
              </a:defRPr>
            </a:pPr>
          </a:p>
        </c:txPr>
        <c:crossAx val="21540156"/>
        <c:crosses val="autoZero"/>
        <c:auto val="1"/>
        <c:lblOffset val="100"/>
        <c:tickLblSkip val="1"/>
        <c:noMultiLvlLbl val="0"/>
      </c:catAx>
      <c:valAx>
        <c:axId val="21540156"/>
        <c:scaling>
          <c:orientation val="minMax"/>
        </c:scaling>
        <c:axPos val="l"/>
        <c:title>
          <c:tx>
            <c:rich>
              <a:bodyPr vert="horz" rot="-5400000" anchor="ctr"/>
              <a:lstStyle/>
              <a:p>
                <a:pPr algn="ctr">
                  <a:defRPr/>
                </a:pPr>
                <a:r>
                  <a:rPr lang="en-US" cap="none" sz="1200" b="1" i="0" u="none" baseline="0">
                    <a:latin typeface="Arial"/>
                    <a:ea typeface="Arial"/>
                    <a:cs typeface="Arial"/>
                  </a:rPr>
                  <a:t>US$ (millions)</a:t>
                </a:r>
              </a:p>
            </c:rich>
          </c:tx>
          <c:layout/>
          <c:overlay val="0"/>
          <c:spPr>
            <a:noFill/>
            <a:ln>
              <a:noFill/>
            </a:ln>
          </c:spPr>
        </c:title>
        <c:majorGridlines/>
        <c:delete val="0"/>
        <c:numFmt formatCode="#,##0" sourceLinked="0"/>
        <c:majorTickMark val="out"/>
        <c:minorTickMark val="none"/>
        <c:tickLblPos val="nextTo"/>
        <c:crossAx val="9849891"/>
        <c:crossesAt val="1"/>
        <c:crossBetween val="midCat"/>
        <c:dispUnits>
          <c:builtInUnit val="millions"/>
        </c:dispUnits>
      </c:valAx>
      <c:spPr>
        <a:solidFill>
          <a:srgbClr val="C0C0C0"/>
        </a:solidFill>
        <a:ln w="3175">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Distribution of MCC Estimated ERR 
Given Uncertainty in Key Parameter Values
(as of 8/16/2007) 
</a:t>
            </a:r>
          </a:p>
        </c:rich>
      </c:tx>
      <c:layout>
        <c:manualLayout>
          <c:xMode val="factor"/>
          <c:yMode val="factor"/>
          <c:x val="0"/>
          <c:y val="-0.00275"/>
        </c:manualLayout>
      </c:layout>
      <c:spPr>
        <a:noFill/>
        <a:ln>
          <a:noFill/>
        </a:ln>
      </c:spPr>
    </c:title>
    <c:plotArea>
      <c:layout>
        <c:manualLayout>
          <c:xMode val="edge"/>
          <c:yMode val="edge"/>
          <c:x val="0.04675"/>
          <c:y val="0.23425"/>
          <c:w val="0.93975"/>
          <c:h val="0.6835"/>
        </c:manualLayout>
      </c:layout>
      <c:scatterChart>
        <c:scatterStyle val="lineMarker"/>
        <c:varyColors val="0"/>
        <c:ser>
          <c:idx val="0"/>
          <c:order val="0"/>
          <c:tx>
            <c:v>Default1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pt idx="0">
                <c:v>0</c:v>
              </c:pt>
            </c:numLit>
          </c:yVal>
          <c:smooth val="0"/>
        </c:ser>
        <c:ser>
          <c:idx val="1"/>
          <c:order val="1"/>
          <c:tx>
            <c:v>Default2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numLit>
          </c:yVal>
          <c:smooth val="0"/>
        </c:ser>
        <c:ser>
          <c:idx val="2"/>
          <c:order val="2"/>
          <c:spPr>
            <a:ln w="3175">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3107"/>
              <c:pt idx="0">
                <c:v>0.1761763095855713</c:v>
              </c:pt>
              <c:pt idx="1">
                <c:v>0.1761763095855713</c:v>
              </c:pt>
              <c:pt idx="2">
                <c:v>0.1763363457520803</c:v>
              </c:pt>
              <c:pt idx="3">
                <c:v>0.1763363457520803</c:v>
              </c:pt>
              <c:pt idx="4">
                <c:v>0.17649638191858927</c:v>
              </c:pt>
              <c:pt idx="5">
                <c:v>0.17649638191858927</c:v>
              </c:pt>
              <c:pt idx="6">
                <c:v>0.17665641808509827</c:v>
              </c:pt>
              <c:pt idx="7">
                <c:v>0.17665641808509827</c:v>
              </c:pt>
              <c:pt idx="8">
                <c:v>0.17681645425160725</c:v>
              </c:pt>
              <c:pt idx="9">
                <c:v>0.17681645425160725</c:v>
              </c:pt>
              <c:pt idx="10">
                <c:v>0.17697649041811625</c:v>
              </c:pt>
              <c:pt idx="11">
                <c:v>0.17697649041811625</c:v>
              </c:pt>
              <c:pt idx="12">
                <c:v>0.17713652658462525</c:v>
              </c:pt>
              <c:pt idx="13">
                <c:v>0.17713652658462525</c:v>
              </c:pt>
              <c:pt idx="14">
                <c:v>0.17729656275113423</c:v>
              </c:pt>
              <c:pt idx="15">
                <c:v>0.17729656275113423</c:v>
              </c:pt>
              <c:pt idx="16">
                <c:v>0.17745659891764323</c:v>
              </c:pt>
              <c:pt idx="17">
                <c:v>0.17745659891764323</c:v>
              </c:pt>
              <c:pt idx="18">
                <c:v>0.1776166350841522</c:v>
              </c:pt>
              <c:pt idx="19">
                <c:v>0.1776166350841522</c:v>
              </c:pt>
              <c:pt idx="20">
                <c:v>0.1777766712506612</c:v>
              </c:pt>
              <c:pt idx="21">
                <c:v>0.1777766712506612</c:v>
              </c:pt>
              <c:pt idx="22">
                <c:v>0.17793670741717021</c:v>
              </c:pt>
              <c:pt idx="23">
                <c:v>0.17793670741717021</c:v>
              </c:pt>
              <c:pt idx="24">
                <c:v>0.1780967435836792</c:v>
              </c:pt>
              <c:pt idx="25">
                <c:v>0.1780967435836792</c:v>
              </c:pt>
              <c:pt idx="26">
                <c:v>0.1782567797501882</c:v>
              </c:pt>
              <c:pt idx="27">
                <c:v>0.1782567797501882</c:v>
              </c:pt>
              <c:pt idx="28">
                <c:v>0.1784168159166972</c:v>
              </c:pt>
              <c:pt idx="29">
                <c:v>0.1784168159166972</c:v>
              </c:pt>
              <c:pt idx="30">
                <c:v>0.17857685208320617</c:v>
              </c:pt>
              <c:pt idx="31">
                <c:v>0.17857685208320617</c:v>
              </c:pt>
              <c:pt idx="32">
                <c:v>0.17873688824971518</c:v>
              </c:pt>
              <c:pt idx="33">
                <c:v>0.17873688824971518</c:v>
              </c:pt>
              <c:pt idx="34">
                <c:v>0.17889692441622415</c:v>
              </c:pt>
              <c:pt idx="35">
                <c:v>0.17889692441622415</c:v>
              </c:pt>
              <c:pt idx="36">
                <c:v>0.17905696058273315</c:v>
              </c:pt>
              <c:pt idx="37">
                <c:v>0.17905696058273315</c:v>
              </c:pt>
              <c:pt idx="38">
                <c:v>0.17921699674924216</c:v>
              </c:pt>
              <c:pt idx="39">
                <c:v>0.17921699674924216</c:v>
              </c:pt>
              <c:pt idx="40">
                <c:v>0.17937703291575113</c:v>
              </c:pt>
              <c:pt idx="41">
                <c:v>0.17937703291575113</c:v>
              </c:pt>
              <c:pt idx="42">
                <c:v>0.17953706908226014</c:v>
              </c:pt>
              <c:pt idx="43">
                <c:v>0.17953706908226014</c:v>
              </c:pt>
              <c:pt idx="44">
                <c:v>0.1796971052487691</c:v>
              </c:pt>
              <c:pt idx="45">
                <c:v>0.1796971052487691</c:v>
              </c:pt>
              <c:pt idx="46">
                <c:v>0.17985714141527812</c:v>
              </c:pt>
              <c:pt idx="47">
                <c:v>0.17985714141527812</c:v>
              </c:pt>
              <c:pt idx="48">
                <c:v>0.18001717758178712</c:v>
              </c:pt>
              <c:pt idx="49">
                <c:v>0.18001717758178712</c:v>
              </c:pt>
              <c:pt idx="50">
                <c:v>0.1801772137482961</c:v>
              </c:pt>
              <c:pt idx="51">
                <c:v>0.1801772137482961</c:v>
              </c:pt>
              <c:pt idx="52">
                <c:v>0.1803372499148051</c:v>
              </c:pt>
              <c:pt idx="53">
                <c:v>0.1803372499148051</c:v>
              </c:pt>
              <c:pt idx="54">
                <c:v>0.18049728608131407</c:v>
              </c:pt>
              <c:pt idx="55">
                <c:v>0.18049728608131407</c:v>
              </c:pt>
              <c:pt idx="56">
                <c:v>0.18065732224782308</c:v>
              </c:pt>
              <c:pt idx="57">
                <c:v>0.18065732224782308</c:v>
              </c:pt>
              <c:pt idx="58">
                <c:v>0.18081735841433208</c:v>
              </c:pt>
              <c:pt idx="59">
                <c:v>0.18081735841433208</c:v>
              </c:pt>
              <c:pt idx="60">
                <c:v>0.18097739458084106</c:v>
              </c:pt>
              <c:pt idx="61">
                <c:v>0.18097739458084106</c:v>
              </c:pt>
              <c:pt idx="62">
                <c:v>0.18113743074735006</c:v>
              </c:pt>
              <c:pt idx="63">
                <c:v>0.18113743074735006</c:v>
              </c:pt>
              <c:pt idx="64">
                <c:v>0.18129746691385906</c:v>
              </c:pt>
              <c:pt idx="65">
                <c:v>0.18129746691385906</c:v>
              </c:pt>
              <c:pt idx="66">
                <c:v>0.18145750308036804</c:v>
              </c:pt>
              <c:pt idx="67">
                <c:v>0.18145750308036804</c:v>
              </c:pt>
              <c:pt idx="68">
                <c:v>0.18161753924687704</c:v>
              </c:pt>
              <c:pt idx="69">
                <c:v>0.18161753924687704</c:v>
              </c:pt>
              <c:pt idx="70">
                <c:v>0.18177757541338602</c:v>
              </c:pt>
              <c:pt idx="71">
                <c:v>0.18177757541338602</c:v>
              </c:pt>
              <c:pt idx="72">
                <c:v>0.18193761157989502</c:v>
              </c:pt>
              <c:pt idx="73">
                <c:v>0.18193761157989502</c:v>
              </c:pt>
              <c:pt idx="74">
                <c:v>0.18209764774640402</c:v>
              </c:pt>
              <c:pt idx="75">
                <c:v>0.18209764774640402</c:v>
              </c:pt>
              <c:pt idx="76">
                <c:v>0.182257683912913</c:v>
              </c:pt>
              <c:pt idx="77">
                <c:v>0.182257683912913</c:v>
              </c:pt>
              <c:pt idx="78">
                <c:v>0.182417720079422</c:v>
              </c:pt>
              <c:pt idx="79">
                <c:v>0.182417720079422</c:v>
              </c:pt>
              <c:pt idx="80">
                <c:v>0.18257775624593098</c:v>
              </c:pt>
              <c:pt idx="81">
                <c:v>0.18257775624593098</c:v>
              </c:pt>
              <c:pt idx="82">
                <c:v>0.18273779241243998</c:v>
              </c:pt>
              <c:pt idx="83">
                <c:v>0.18273779241243998</c:v>
              </c:pt>
              <c:pt idx="84">
                <c:v>0.18289782857894898</c:v>
              </c:pt>
              <c:pt idx="85">
                <c:v>0.18289782857894898</c:v>
              </c:pt>
              <c:pt idx="86">
                <c:v>0.18305786474545796</c:v>
              </c:pt>
              <c:pt idx="87">
                <c:v>0.18305786474545796</c:v>
              </c:pt>
              <c:pt idx="88">
                <c:v>0.18321790091196696</c:v>
              </c:pt>
              <c:pt idx="89">
                <c:v>0.18321790091196696</c:v>
              </c:pt>
              <c:pt idx="90">
                <c:v>0.18337793707847594</c:v>
              </c:pt>
              <c:pt idx="91">
                <c:v>0.18337793707847594</c:v>
              </c:pt>
              <c:pt idx="92">
                <c:v>0.18353797324498494</c:v>
              </c:pt>
              <c:pt idx="93">
                <c:v>0.18353797324498494</c:v>
              </c:pt>
              <c:pt idx="94">
                <c:v>0.18369800941149395</c:v>
              </c:pt>
              <c:pt idx="95">
                <c:v>0.18369800941149395</c:v>
              </c:pt>
              <c:pt idx="96">
                <c:v>0.18385804557800292</c:v>
              </c:pt>
              <c:pt idx="97">
                <c:v>0.18385804557800292</c:v>
              </c:pt>
              <c:pt idx="98">
                <c:v>0.18401808174451192</c:v>
              </c:pt>
              <c:pt idx="99">
                <c:v>0.18401808174451192</c:v>
              </c:pt>
              <c:pt idx="100">
                <c:v>0.1841781179110209</c:v>
              </c:pt>
              <c:pt idx="101">
                <c:v>0.1841781179110209</c:v>
              </c:pt>
              <c:pt idx="102">
                <c:v>0.1843381540775299</c:v>
              </c:pt>
              <c:pt idx="103">
                <c:v>0.1843381540775299</c:v>
              </c:pt>
              <c:pt idx="104">
                <c:v>0.1844981902440389</c:v>
              </c:pt>
              <c:pt idx="105">
                <c:v>0.1844981902440389</c:v>
              </c:pt>
              <c:pt idx="106">
                <c:v>0.18465822641054788</c:v>
              </c:pt>
              <c:pt idx="107">
                <c:v>0.18465822641054788</c:v>
              </c:pt>
              <c:pt idx="108">
                <c:v>0.18481826257705689</c:v>
              </c:pt>
              <c:pt idx="109">
                <c:v>0.18481826257705689</c:v>
              </c:pt>
              <c:pt idx="110">
                <c:v>0.1849782987435659</c:v>
              </c:pt>
              <c:pt idx="111">
                <c:v>0.1849782987435659</c:v>
              </c:pt>
              <c:pt idx="112">
                <c:v>0.18513833491007486</c:v>
              </c:pt>
              <c:pt idx="113">
                <c:v>0.18513833491007486</c:v>
              </c:pt>
              <c:pt idx="114">
                <c:v>0.18529837107658387</c:v>
              </c:pt>
              <c:pt idx="115">
                <c:v>0.18529837107658387</c:v>
              </c:pt>
              <c:pt idx="116">
                <c:v>0.18545840724309284</c:v>
              </c:pt>
              <c:pt idx="117">
                <c:v>0.18545840724309284</c:v>
              </c:pt>
              <c:pt idx="118">
                <c:v>0.18561844340960185</c:v>
              </c:pt>
              <c:pt idx="119">
                <c:v>0.18561844340960185</c:v>
              </c:pt>
              <c:pt idx="120">
                <c:v>0.18577847957611085</c:v>
              </c:pt>
              <c:pt idx="121">
                <c:v>0.18577847957611085</c:v>
              </c:pt>
              <c:pt idx="122">
                <c:v>0.18593851574261983</c:v>
              </c:pt>
              <c:pt idx="123">
                <c:v>0.18593851574261983</c:v>
              </c:pt>
              <c:pt idx="124">
                <c:v>0.18609855190912883</c:v>
              </c:pt>
              <c:pt idx="125">
                <c:v>0.18609855190912883</c:v>
              </c:pt>
              <c:pt idx="126">
                <c:v>0.1862585880756378</c:v>
              </c:pt>
              <c:pt idx="127">
                <c:v>0.1862585880756378</c:v>
              </c:pt>
              <c:pt idx="128">
                <c:v>0.1864186242421468</c:v>
              </c:pt>
              <c:pt idx="129">
                <c:v>0.1864186242421468</c:v>
              </c:pt>
              <c:pt idx="130">
                <c:v>0.1865786604086558</c:v>
              </c:pt>
              <c:pt idx="131">
                <c:v>0.1865786604086558</c:v>
              </c:pt>
              <c:pt idx="132">
                <c:v>0.1867386965751648</c:v>
              </c:pt>
              <c:pt idx="133">
                <c:v>0.1867386965751648</c:v>
              </c:pt>
              <c:pt idx="134">
                <c:v>0.1868987327416738</c:v>
              </c:pt>
              <c:pt idx="135">
                <c:v>0.1868987327416738</c:v>
              </c:pt>
              <c:pt idx="136">
                <c:v>0.1870587689081828</c:v>
              </c:pt>
              <c:pt idx="137">
                <c:v>0.1870587689081828</c:v>
              </c:pt>
              <c:pt idx="138">
                <c:v>0.18721880507469177</c:v>
              </c:pt>
              <c:pt idx="139">
                <c:v>0.18721880507469177</c:v>
              </c:pt>
              <c:pt idx="140">
                <c:v>0.18737884124120077</c:v>
              </c:pt>
              <c:pt idx="141">
                <c:v>0.18737884124120077</c:v>
              </c:pt>
              <c:pt idx="142">
                <c:v>0.18753887740770975</c:v>
              </c:pt>
              <c:pt idx="143">
                <c:v>0.18753887740770975</c:v>
              </c:pt>
              <c:pt idx="144">
                <c:v>0.18760746433621361</c:v>
              </c:pt>
              <c:pt idx="145">
                <c:v>0.18760746433621361</c:v>
              </c:pt>
              <c:pt idx="146">
                <c:v>0.18760746433621361</c:v>
              </c:pt>
              <c:pt idx="147">
                <c:v>0.18760746433621361</c:v>
              </c:pt>
              <c:pt idx="148">
                <c:v>0.18760746433621361</c:v>
              </c:pt>
              <c:pt idx="149">
                <c:v>0.18760746433621361</c:v>
              </c:pt>
              <c:pt idx="150">
                <c:v>0.18776750050272262</c:v>
              </c:pt>
              <c:pt idx="151">
                <c:v>0.18776750050272262</c:v>
              </c:pt>
              <c:pt idx="152">
                <c:v>0.1879275366692316</c:v>
              </c:pt>
              <c:pt idx="153">
                <c:v>0.1879275366692316</c:v>
              </c:pt>
              <c:pt idx="154">
                <c:v>0.1880875728357406</c:v>
              </c:pt>
              <c:pt idx="155">
                <c:v>0.1880875728357406</c:v>
              </c:pt>
              <c:pt idx="156">
                <c:v>0.18824760900224957</c:v>
              </c:pt>
              <c:pt idx="157">
                <c:v>0.18824760900224957</c:v>
              </c:pt>
              <c:pt idx="158">
                <c:v>0.18840764516875858</c:v>
              </c:pt>
              <c:pt idx="159">
                <c:v>0.18840764516875858</c:v>
              </c:pt>
              <c:pt idx="160">
                <c:v>0.18856768133526758</c:v>
              </c:pt>
              <c:pt idx="161">
                <c:v>0.18856768133526758</c:v>
              </c:pt>
              <c:pt idx="162">
                <c:v>0.18872771750177655</c:v>
              </c:pt>
              <c:pt idx="163">
                <c:v>0.18872771750177655</c:v>
              </c:pt>
              <c:pt idx="164">
                <c:v>0.18888775366828556</c:v>
              </c:pt>
              <c:pt idx="165">
                <c:v>0.18888775366828556</c:v>
              </c:pt>
              <c:pt idx="166">
                <c:v>0.18904778983479453</c:v>
              </c:pt>
              <c:pt idx="167">
                <c:v>0.18904778983479453</c:v>
              </c:pt>
              <c:pt idx="168">
                <c:v>0.18920782600130354</c:v>
              </c:pt>
              <c:pt idx="169">
                <c:v>0.18920782600130354</c:v>
              </c:pt>
              <c:pt idx="170">
                <c:v>0.18936786216781254</c:v>
              </c:pt>
              <c:pt idx="171">
                <c:v>0.18936786216781254</c:v>
              </c:pt>
              <c:pt idx="172">
                <c:v>0.18952789833432152</c:v>
              </c:pt>
              <c:pt idx="173">
                <c:v>0.18952789833432152</c:v>
              </c:pt>
              <c:pt idx="174">
                <c:v>0.18968793450083052</c:v>
              </c:pt>
              <c:pt idx="175">
                <c:v>0.18968793450083052</c:v>
              </c:pt>
              <c:pt idx="176">
                <c:v>0.18984797066733952</c:v>
              </c:pt>
              <c:pt idx="177">
                <c:v>0.18984797066733952</c:v>
              </c:pt>
              <c:pt idx="178">
                <c:v>0.1900080068338485</c:v>
              </c:pt>
              <c:pt idx="179">
                <c:v>0.1900080068338485</c:v>
              </c:pt>
              <c:pt idx="180">
                <c:v>0.1901680430003575</c:v>
              </c:pt>
              <c:pt idx="181">
                <c:v>0.1901680430003575</c:v>
              </c:pt>
              <c:pt idx="182">
                <c:v>0.19032807916686648</c:v>
              </c:pt>
              <c:pt idx="183">
                <c:v>0.19032807916686648</c:v>
              </c:pt>
              <c:pt idx="184">
                <c:v>0.19048811533337548</c:v>
              </c:pt>
              <c:pt idx="185">
                <c:v>0.19048811533337548</c:v>
              </c:pt>
              <c:pt idx="186">
                <c:v>0.19064815149988448</c:v>
              </c:pt>
              <c:pt idx="187">
                <c:v>0.19064815149988448</c:v>
              </c:pt>
              <c:pt idx="188">
                <c:v>0.19080818766639346</c:v>
              </c:pt>
              <c:pt idx="189">
                <c:v>0.19080818766639346</c:v>
              </c:pt>
              <c:pt idx="190">
                <c:v>0.19096822383290246</c:v>
              </c:pt>
              <c:pt idx="191">
                <c:v>0.19096822383290246</c:v>
              </c:pt>
              <c:pt idx="192">
                <c:v>0.19112825999941144</c:v>
              </c:pt>
              <c:pt idx="193">
                <c:v>0.19112825999941144</c:v>
              </c:pt>
              <c:pt idx="194">
                <c:v>0.19128829616592044</c:v>
              </c:pt>
              <c:pt idx="195">
                <c:v>0.19128829616592044</c:v>
              </c:pt>
              <c:pt idx="196">
                <c:v>0.19144833233242944</c:v>
              </c:pt>
              <c:pt idx="197">
                <c:v>0.19144833233242944</c:v>
              </c:pt>
              <c:pt idx="198">
                <c:v>0.19160836849893842</c:v>
              </c:pt>
              <c:pt idx="199">
                <c:v>0.19160836849893842</c:v>
              </c:pt>
              <c:pt idx="200">
                <c:v>0.19176840466544742</c:v>
              </c:pt>
              <c:pt idx="201">
                <c:v>0.19176840466544742</c:v>
              </c:pt>
              <c:pt idx="202">
                <c:v>0.1919284408319564</c:v>
              </c:pt>
              <c:pt idx="203">
                <c:v>0.1919284408319564</c:v>
              </c:pt>
              <c:pt idx="204">
                <c:v>0.1920884769984654</c:v>
              </c:pt>
              <c:pt idx="205">
                <c:v>0.1920884769984654</c:v>
              </c:pt>
              <c:pt idx="206">
                <c:v>0.1922485131649744</c:v>
              </c:pt>
              <c:pt idx="207">
                <c:v>0.1922485131649744</c:v>
              </c:pt>
              <c:pt idx="208">
                <c:v>0.19240854933148338</c:v>
              </c:pt>
              <c:pt idx="209">
                <c:v>0.19240854933148338</c:v>
              </c:pt>
              <c:pt idx="210">
                <c:v>0.19256858549799238</c:v>
              </c:pt>
              <c:pt idx="211">
                <c:v>0.19256858549799238</c:v>
              </c:pt>
              <c:pt idx="212">
                <c:v>0.1927286216645014</c:v>
              </c:pt>
              <c:pt idx="213">
                <c:v>0.1927286216645014</c:v>
              </c:pt>
              <c:pt idx="214">
                <c:v>0.19288865783101036</c:v>
              </c:pt>
              <c:pt idx="215">
                <c:v>0.19288865783101036</c:v>
              </c:pt>
              <c:pt idx="216">
                <c:v>0.19304869399751937</c:v>
              </c:pt>
              <c:pt idx="217">
                <c:v>0.19304869399751937</c:v>
              </c:pt>
              <c:pt idx="218">
                <c:v>0.19320873016402834</c:v>
              </c:pt>
              <c:pt idx="219">
                <c:v>0.19320873016402834</c:v>
              </c:pt>
              <c:pt idx="220">
                <c:v>0.19336876633053734</c:v>
              </c:pt>
              <c:pt idx="221">
                <c:v>0.19336876633053734</c:v>
              </c:pt>
              <c:pt idx="222">
                <c:v>0.19352880249704635</c:v>
              </c:pt>
              <c:pt idx="223">
                <c:v>0.19352880249704635</c:v>
              </c:pt>
              <c:pt idx="224">
                <c:v>0.19368883866355532</c:v>
              </c:pt>
              <c:pt idx="225">
                <c:v>0.19368883866355532</c:v>
              </c:pt>
              <c:pt idx="226">
                <c:v>0.19384887483006433</c:v>
              </c:pt>
              <c:pt idx="227">
                <c:v>0.19384887483006433</c:v>
              </c:pt>
              <c:pt idx="228">
                <c:v>0.1940089109965733</c:v>
              </c:pt>
              <c:pt idx="229">
                <c:v>0.1940089109965733</c:v>
              </c:pt>
              <c:pt idx="230">
                <c:v>0.1941689471630823</c:v>
              </c:pt>
              <c:pt idx="231">
                <c:v>0.1941689471630823</c:v>
              </c:pt>
              <c:pt idx="232">
                <c:v>0.1943289833295913</c:v>
              </c:pt>
              <c:pt idx="233">
                <c:v>0.1943289833295913</c:v>
              </c:pt>
              <c:pt idx="234">
                <c:v>0.19448901949610028</c:v>
              </c:pt>
              <c:pt idx="235">
                <c:v>0.19448901949610028</c:v>
              </c:pt>
              <c:pt idx="236">
                <c:v>0.1946490556626093</c:v>
              </c:pt>
              <c:pt idx="237">
                <c:v>0.1946490556626093</c:v>
              </c:pt>
              <c:pt idx="238">
                <c:v>0.19480909182911826</c:v>
              </c:pt>
              <c:pt idx="239">
                <c:v>0.19480909182911826</c:v>
              </c:pt>
              <c:pt idx="240">
                <c:v>0.19496912799562727</c:v>
              </c:pt>
              <c:pt idx="241">
                <c:v>0.19496912799562727</c:v>
              </c:pt>
              <c:pt idx="242">
                <c:v>0.19512916416213627</c:v>
              </c:pt>
              <c:pt idx="243">
                <c:v>0.19512916416213627</c:v>
              </c:pt>
              <c:pt idx="244">
                <c:v>0.19528920032864525</c:v>
              </c:pt>
              <c:pt idx="245">
                <c:v>0.19528920032864525</c:v>
              </c:pt>
              <c:pt idx="246">
                <c:v>0.19544923649515425</c:v>
              </c:pt>
              <c:pt idx="247">
                <c:v>0.19544923649515425</c:v>
              </c:pt>
              <c:pt idx="248">
                <c:v>0.19560927266166322</c:v>
              </c:pt>
              <c:pt idx="249">
                <c:v>0.19560927266166322</c:v>
              </c:pt>
              <c:pt idx="250">
                <c:v>0.19576930882817223</c:v>
              </c:pt>
              <c:pt idx="251">
                <c:v>0.19576930882817223</c:v>
              </c:pt>
              <c:pt idx="252">
                <c:v>0.19592934499468123</c:v>
              </c:pt>
              <c:pt idx="253">
                <c:v>0.19592934499468123</c:v>
              </c:pt>
              <c:pt idx="254">
                <c:v>0.1960893811611902</c:v>
              </c:pt>
              <c:pt idx="255">
                <c:v>0.1960893811611902</c:v>
              </c:pt>
              <c:pt idx="256">
                <c:v>0.1962494173276992</c:v>
              </c:pt>
              <c:pt idx="257">
                <c:v>0.1962494173276992</c:v>
              </c:pt>
              <c:pt idx="258">
                <c:v>0.1964094534942082</c:v>
              </c:pt>
              <c:pt idx="259">
                <c:v>0.1964094534942082</c:v>
              </c:pt>
              <c:pt idx="260">
                <c:v>0.1965694896607172</c:v>
              </c:pt>
              <c:pt idx="261">
                <c:v>0.1965694896607172</c:v>
              </c:pt>
              <c:pt idx="262">
                <c:v>0.1967295258272262</c:v>
              </c:pt>
              <c:pt idx="263">
                <c:v>0.1967295258272262</c:v>
              </c:pt>
              <c:pt idx="264">
                <c:v>0.19688956199373517</c:v>
              </c:pt>
              <c:pt idx="265">
                <c:v>0.19688956199373517</c:v>
              </c:pt>
              <c:pt idx="266">
                <c:v>0.19704959816024417</c:v>
              </c:pt>
              <c:pt idx="267">
                <c:v>0.19704959816024417</c:v>
              </c:pt>
              <c:pt idx="268">
                <c:v>0.19720963432675317</c:v>
              </c:pt>
              <c:pt idx="269">
                <c:v>0.19720963432675317</c:v>
              </c:pt>
              <c:pt idx="270">
                <c:v>0.19736967049326215</c:v>
              </c:pt>
              <c:pt idx="271">
                <c:v>0.19736967049326215</c:v>
              </c:pt>
              <c:pt idx="272">
                <c:v>0.19752970665977115</c:v>
              </c:pt>
              <c:pt idx="273">
                <c:v>0.19752970665977115</c:v>
              </c:pt>
              <c:pt idx="274">
                <c:v>0.19768974282628013</c:v>
              </c:pt>
              <c:pt idx="275">
                <c:v>0.19768974282628013</c:v>
              </c:pt>
              <c:pt idx="276">
                <c:v>0.19784977899278913</c:v>
              </c:pt>
              <c:pt idx="277">
                <c:v>0.19784977899278913</c:v>
              </c:pt>
              <c:pt idx="278">
                <c:v>0.19800981515929814</c:v>
              </c:pt>
              <c:pt idx="279">
                <c:v>0.19800981515929814</c:v>
              </c:pt>
              <c:pt idx="280">
                <c:v>0.1981698513258071</c:v>
              </c:pt>
              <c:pt idx="281">
                <c:v>0.1981698513258071</c:v>
              </c:pt>
              <c:pt idx="282">
                <c:v>0.19832988749231611</c:v>
              </c:pt>
              <c:pt idx="283">
                <c:v>0.19832988749231611</c:v>
              </c:pt>
              <c:pt idx="284">
                <c:v>0.19848992365882512</c:v>
              </c:pt>
              <c:pt idx="285">
                <c:v>0.19848992365882512</c:v>
              </c:pt>
              <c:pt idx="286">
                <c:v>0.1986499598253341</c:v>
              </c:pt>
              <c:pt idx="287">
                <c:v>0.1986499598253341</c:v>
              </c:pt>
              <c:pt idx="288">
                <c:v>0.1988099959918431</c:v>
              </c:pt>
              <c:pt idx="289">
                <c:v>0.1988099959918431</c:v>
              </c:pt>
              <c:pt idx="290">
                <c:v>0.19897003215835207</c:v>
              </c:pt>
              <c:pt idx="291">
                <c:v>0.19897003215835207</c:v>
              </c:pt>
              <c:pt idx="292">
                <c:v>0.19903861908685594</c:v>
              </c:pt>
              <c:pt idx="293">
                <c:v>0.19903861908685594</c:v>
              </c:pt>
              <c:pt idx="294">
                <c:v>0.19903861908685594</c:v>
              </c:pt>
              <c:pt idx="295">
                <c:v>0.19903861908685594</c:v>
              </c:pt>
              <c:pt idx="296">
                <c:v>0.19903861908685594</c:v>
              </c:pt>
              <c:pt idx="297">
                <c:v>0.19903861908685594</c:v>
              </c:pt>
              <c:pt idx="298">
                <c:v>0.19919865525336494</c:v>
              </c:pt>
              <c:pt idx="299">
                <c:v>0.19919865525336494</c:v>
              </c:pt>
              <c:pt idx="300">
                <c:v>0.19935869141987392</c:v>
              </c:pt>
              <c:pt idx="301">
                <c:v>0.19935869141987392</c:v>
              </c:pt>
              <c:pt idx="302">
                <c:v>0.19951872758638292</c:v>
              </c:pt>
              <c:pt idx="303">
                <c:v>0.19951872758638292</c:v>
              </c:pt>
              <c:pt idx="304">
                <c:v>0.1996787637528919</c:v>
              </c:pt>
              <c:pt idx="305">
                <c:v>0.1996787637528919</c:v>
              </c:pt>
              <c:pt idx="306">
                <c:v>0.1998387999194009</c:v>
              </c:pt>
              <c:pt idx="307">
                <c:v>0.1998387999194009</c:v>
              </c:pt>
              <c:pt idx="308">
                <c:v>0.1999988360859099</c:v>
              </c:pt>
              <c:pt idx="309">
                <c:v>0.1999988360859099</c:v>
              </c:pt>
              <c:pt idx="310">
                <c:v>0.20015887225241888</c:v>
              </c:pt>
              <c:pt idx="311">
                <c:v>0.20015887225241888</c:v>
              </c:pt>
              <c:pt idx="312">
                <c:v>0.20031890841892788</c:v>
              </c:pt>
              <c:pt idx="313">
                <c:v>0.20031890841892788</c:v>
              </c:pt>
              <c:pt idx="314">
                <c:v>0.20047894458543686</c:v>
              </c:pt>
              <c:pt idx="315">
                <c:v>0.20047894458543686</c:v>
              </c:pt>
              <c:pt idx="316">
                <c:v>0.20063898075194586</c:v>
              </c:pt>
              <c:pt idx="317">
                <c:v>0.20063898075194586</c:v>
              </c:pt>
              <c:pt idx="318">
                <c:v>0.20079901691845486</c:v>
              </c:pt>
              <c:pt idx="319">
                <c:v>0.20079901691845486</c:v>
              </c:pt>
              <c:pt idx="320">
                <c:v>0.20095905308496384</c:v>
              </c:pt>
              <c:pt idx="321">
                <c:v>0.20095905308496384</c:v>
              </c:pt>
              <c:pt idx="322">
                <c:v>0.20111908925147284</c:v>
              </c:pt>
              <c:pt idx="323">
                <c:v>0.20111908925147284</c:v>
              </c:pt>
              <c:pt idx="324">
                <c:v>0.20127912541798185</c:v>
              </c:pt>
              <c:pt idx="325">
                <c:v>0.20127912541798185</c:v>
              </c:pt>
              <c:pt idx="326">
                <c:v>0.20143916158449082</c:v>
              </c:pt>
              <c:pt idx="327">
                <c:v>0.20143916158449082</c:v>
              </c:pt>
              <c:pt idx="328">
                <c:v>0.20159919775099983</c:v>
              </c:pt>
              <c:pt idx="329">
                <c:v>0.20159919775099983</c:v>
              </c:pt>
              <c:pt idx="330">
                <c:v>0.2017592339175088</c:v>
              </c:pt>
              <c:pt idx="331">
                <c:v>0.2017592339175088</c:v>
              </c:pt>
              <c:pt idx="332">
                <c:v>0.2019192700840178</c:v>
              </c:pt>
              <c:pt idx="333">
                <c:v>0.2019192700840178</c:v>
              </c:pt>
              <c:pt idx="334">
                <c:v>0.2020793062505268</c:v>
              </c:pt>
              <c:pt idx="335">
                <c:v>0.2020793062505268</c:v>
              </c:pt>
              <c:pt idx="336">
                <c:v>0.20223934241703578</c:v>
              </c:pt>
              <c:pt idx="337">
                <c:v>0.20223934241703578</c:v>
              </c:pt>
              <c:pt idx="338">
                <c:v>0.2023993785835448</c:v>
              </c:pt>
              <c:pt idx="339">
                <c:v>0.2023993785835448</c:v>
              </c:pt>
              <c:pt idx="340">
                <c:v>0.20255941475005376</c:v>
              </c:pt>
              <c:pt idx="341">
                <c:v>0.20255941475005376</c:v>
              </c:pt>
              <c:pt idx="342">
                <c:v>0.20271945091656277</c:v>
              </c:pt>
              <c:pt idx="343">
                <c:v>0.20271945091656277</c:v>
              </c:pt>
              <c:pt idx="344">
                <c:v>0.20287948708307177</c:v>
              </c:pt>
              <c:pt idx="345">
                <c:v>0.20287948708307177</c:v>
              </c:pt>
              <c:pt idx="346">
                <c:v>0.20303952324958074</c:v>
              </c:pt>
              <c:pt idx="347">
                <c:v>0.20303952324958074</c:v>
              </c:pt>
              <c:pt idx="348">
                <c:v>0.20319955941608975</c:v>
              </c:pt>
              <c:pt idx="349">
                <c:v>0.20319955941608975</c:v>
              </c:pt>
              <c:pt idx="350">
                <c:v>0.20335959558259872</c:v>
              </c:pt>
              <c:pt idx="351">
                <c:v>0.20335959558259872</c:v>
              </c:pt>
              <c:pt idx="352">
                <c:v>0.20351963174910773</c:v>
              </c:pt>
              <c:pt idx="353">
                <c:v>0.20351963174910773</c:v>
              </c:pt>
              <c:pt idx="354">
                <c:v>0.20367966791561673</c:v>
              </c:pt>
              <c:pt idx="355">
                <c:v>0.20367966791561673</c:v>
              </c:pt>
              <c:pt idx="356">
                <c:v>0.2038397040821257</c:v>
              </c:pt>
              <c:pt idx="357">
                <c:v>0.2038397040821257</c:v>
              </c:pt>
              <c:pt idx="358">
                <c:v>0.2039997402486347</c:v>
              </c:pt>
              <c:pt idx="359">
                <c:v>0.2039997402486347</c:v>
              </c:pt>
              <c:pt idx="360">
                <c:v>0.2041597764151437</c:v>
              </c:pt>
              <c:pt idx="361">
                <c:v>0.2041597764151437</c:v>
              </c:pt>
              <c:pt idx="362">
                <c:v>0.2043198125816527</c:v>
              </c:pt>
              <c:pt idx="363">
                <c:v>0.2043198125816527</c:v>
              </c:pt>
              <c:pt idx="364">
                <c:v>0.2044798487481617</c:v>
              </c:pt>
              <c:pt idx="365">
                <c:v>0.2044798487481617</c:v>
              </c:pt>
              <c:pt idx="366">
                <c:v>0.20463988491467067</c:v>
              </c:pt>
              <c:pt idx="367">
                <c:v>0.20463988491467067</c:v>
              </c:pt>
              <c:pt idx="368">
                <c:v>0.20479992108117967</c:v>
              </c:pt>
              <c:pt idx="369">
                <c:v>0.20479992108117967</c:v>
              </c:pt>
              <c:pt idx="370">
                <c:v>0.20495995724768867</c:v>
              </c:pt>
              <c:pt idx="371">
                <c:v>0.20495995724768867</c:v>
              </c:pt>
              <c:pt idx="372">
                <c:v>0.20511999341419765</c:v>
              </c:pt>
              <c:pt idx="373">
                <c:v>0.20511999341419765</c:v>
              </c:pt>
              <c:pt idx="374">
                <c:v>0.20528002958070665</c:v>
              </c:pt>
              <c:pt idx="375">
                <c:v>0.20528002958070665</c:v>
              </c:pt>
              <c:pt idx="376">
                <c:v>0.20544006574721563</c:v>
              </c:pt>
              <c:pt idx="377">
                <c:v>0.20544006574721563</c:v>
              </c:pt>
              <c:pt idx="378">
                <c:v>0.20560010191372463</c:v>
              </c:pt>
              <c:pt idx="379">
                <c:v>0.20560010191372463</c:v>
              </c:pt>
              <c:pt idx="380">
                <c:v>0.20576013808023363</c:v>
              </c:pt>
              <c:pt idx="381">
                <c:v>0.20576013808023363</c:v>
              </c:pt>
              <c:pt idx="382">
                <c:v>0.2059201742467426</c:v>
              </c:pt>
              <c:pt idx="383">
                <c:v>0.2059201742467426</c:v>
              </c:pt>
              <c:pt idx="384">
                <c:v>0.2060802104132516</c:v>
              </c:pt>
              <c:pt idx="385">
                <c:v>0.2060802104132516</c:v>
              </c:pt>
              <c:pt idx="386">
                <c:v>0.2062402465797606</c:v>
              </c:pt>
              <c:pt idx="387">
                <c:v>0.2062402465797606</c:v>
              </c:pt>
              <c:pt idx="388">
                <c:v>0.2064002827462696</c:v>
              </c:pt>
              <c:pt idx="389">
                <c:v>0.2064002827462696</c:v>
              </c:pt>
              <c:pt idx="390">
                <c:v>0.2065603189127786</c:v>
              </c:pt>
              <c:pt idx="391">
                <c:v>0.2065603189127786</c:v>
              </c:pt>
              <c:pt idx="392">
                <c:v>0.20672035507928757</c:v>
              </c:pt>
              <c:pt idx="393">
                <c:v>0.20672035507928757</c:v>
              </c:pt>
              <c:pt idx="394">
                <c:v>0.20688039124579657</c:v>
              </c:pt>
              <c:pt idx="395">
                <c:v>0.20688039124579657</c:v>
              </c:pt>
              <c:pt idx="396">
                <c:v>0.20704042741230555</c:v>
              </c:pt>
              <c:pt idx="397">
                <c:v>0.20704042741230555</c:v>
              </c:pt>
              <c:pt idx="398">
                <c:v>0.20720046357881455</c:v>
              </c:pt>
              <c:pt idx="399">
                <c:v>0.20720046357881455</c:v>
              </c:pt>
              <c:pt idx="400">
                <c:v>0.20736049974532356</c:v>
              </c:pt>
              <c:pt idx="401">
                <c:v>0.20736049974532356</c:v>
              </c:pt>
              <c:pt idx="402">
                <c:v>0.20752053591183253</c:v>
              </c:pt>
              <c:pt idx="403">
                <c:v>0.20752053591183253</c:v>
              </c:pt>
              <c:pt idx="404">
                <c:v>0.20768057207834154</c:v>
              </c:pt>
              <c:pt idx="405">
                <c:v>0.20768057207834154</c:v>
              </c:pt>
              <c:pt idx="406">
                <c:v>0.20784060824485054</c:v>
              </c:pt>
              <c:pt idx="407">
                <c:v>0.20784060824485054</c:v>
              </c:pt>
              <c:pt idx="408">
                <c:v>0.20800064441135951</c:v>
              </c:pt>
              <c:pt idx="409">
                <c:v>0.20800064441135951</c:v>
              </c:pt>
              <c:pt idx="410">
                <c:v>0.20816068057786852</c:v>
              </c:pt>
              <c:pt idx="411">
                <c:v>0.20816068057786852</c:v>
              </c:pt>
              <c:pt idx="412">
                <c:v>0.2083207167443775</c:v>
              </c:pt>
              <c:pt idx="413">
                <c:v>0.2083207167443775</c:v>
              </c:pt>
              <c:pt idx="414">
                <c:v>0.2084807529108865</c:v>
              </c:pt>
              <c:pt idx="415">
                <c:v>0.2084807529108865</c:v>
              </c:pt>
              <c:pt idx="416">
                <c:v>0.2086407890773955</c:v>
              </c:pt>
              <c:pt idx="417">
                <c:v>0.2086407890773955</c:v>
              </c:pt>
              <c:pt idx="418">
                <c:v>0.20880082524390448</c:v>
              </c:pt>
              <c:pt idx="419">
                <c:v>0.20880082524390448</c:v>
              </c:pt>
              <c:pt idx="420">
                <c:v>0.20896086141041348</c:v>
              </c:pt>
              <c:pt idx="421">
                <c:v>0.20896086141041348</c:v>
              </c:pt>
              <c:pt idx="422">
                <c:v>0.20912089757692245</c:v>
              </c:pt>
              <c:pt idx="423">
                <c:v>0.20912089757692245</c:v>
              </c:pt>
              <c:pt idx="424">
                <c:v>0.20928093374343146</c:v>
              </c:pt>
              <c:pt idx="425">
                <c:v>0.20928093374343146</c:v>
              </c:pt>
              <c:pt idx="426">
                <c:v>0.20944096990994046</c:v>
              </c:pt>
              <c:pt idx="427">
                <c:v>0.20944096990994046</c:v>
              </c:pt>
              <c:pt idx="428">
                <c:v>0.20960100607644944</c:v>
              </c:pt>
              <c:pt idx="429">
                <c:v>0.20960100607644944</c:v>
              </c:pt>
              <c:pt idx="430">
                <c:v>0.20976104224295844</c:v>
              </c:pt>
              <c:pt idx="431">
                <c:v>0.20976104224295844</c:v>
              </c:pt>
              <c:pt idx="432">
                <c:v>0.20992107840946744</c:v>
              </c:pt>
              <c:pt idx="433">
                <c:v>0.20992107840946744</c:v>
              </c:pt>
              <c:pt idx="434">
                <c:v>0.21008111457597642</c:v>
              </c:pt>
              <c:pt idx="435">
                <c:v>0.21008111457597642</c:v>
              </c:pt>
              <c:pt idx="436">
                <c:v>0.21024115074248542</c:v>
              </c:pt>
              <c:pt idx="437">
                <c:v>0.21024115074248542</c:v>
              </c:pt>
              <c:pt idx="438">
                <c:v>0.2104011869089944</c:v>
              </c:pt>
              <c:pt idx="439">
                <c:v>0.2104011869089944</c:v>
              </c:pt>
              <c:pt idx="440">
                <c:v>0.21046977383749826</c:v>
              </c:pt>
              <c:pt idx="441">
                <c:v>0.21046977383749826</c:v>
              </c:pt>
              <c:pt idx="442">
                <c:v>0.21046977383749826</c:v>
              </c:pt>
              <c:pt idx="443">
                <c:v>0.21046977383749826</c:v>
              </c:pt>
              <c:pt idx="444">
                <c:v>0.21046977383749826</c:v>
              </c:pt>
              <c:pt idx="445">
                <c:v>0.21046977383749826</c:v>
              </c:pt>
              <c:pt idx="446">
                <c:v>0.21062981000400727</c:v>
              </c:pt>
              <c:pt idx="447">
                <c:v>0.21062981000400727</c:v>
              </c:pt>
              <c:pt idx="448">
                <c:v>0.21078984617051624</c:v>
              </c:pt>
              <c:pt idx="449">
                <c:v>0.21078984617051624</c:v>
              </c:pt>
              <c:pt idx="450">
                <c:v>0.21094988233702525</c:v>
              </c:pt>
              <c:pt idx="451">
                <c:v>0.21094988233702525</c:v>
              </c:pt>
              <c:pt idx="452">
                <c:v>0.21110991850353422</c:v>
              </c:pt>
              <c:pt idx="453">
                <c:v>0.21110991850353422</c:v>
              </c:pt>
              <c:pt idx="454">
                <c:v>0.21126995467004323</c:v>
              </c:pt>
              <c:pt idx="455">
                <c:v>0.21126995467004323</c:v>
              </c:pt>
              <c:pt idx="456">
                <c:v>0.21142999083655223</c:v>
              </c:pt>
              <c:pt idx="457">
                <c:v>0.21142999083655223</c:v>
              </c:pt>
              <c:pt idx="458">
                <c:v>0.2115900270030612</c:v>
              </c:pt>
              <c:pt idx="459">
                <c:v>0.2115900270030612</c:v>
              </c:pt>
              <c:pt idx="460">
                <c:v>0.2117500631695702</c:v>
              </c:pt>
              <c:pt idx="461">
                <c:v>0.2117500631695702</c:v>
              </c:pt>
              <c:pt idx="462">
                <c:v>0.21191009933607918</c:v>
              </c:pt>
              <c:pt idx="463">
                <c:v>0.21191009933607918</c:v>
              </c:pt>
              <c:pt idx="464">
                <c:v>0.2120701355025882</c:v>
              </c:pt>
              <c:pt idx="465">
                <c:v>0.2120701355025882</c:v>
              </c:pt>
              <c:pt idx="466">
                <c:v>0.2122301716690972</c:v>
              </c:pt>
              <c:pt idx="467">
                <c:v>0.2122301716690972</c:v>
              </c:pt>
              <c:pt idx="468">
                <c:v>0.21239020783560617</c:v>
              </c:pt>
              <c:pt idx="469">
                <c:v>0.21239020783560617</c:v>
              </c:pt>
              <c:pt idx="470">
                <c:v>0.21255024400211517</c:v>
              </c:pt>
              <c:pt idx="471">
                <c:v>0.21255024400211517</c:v>
              </c:pt>
              <c:pt idx="472">
                <c:v>0.21271028016862417</c:v>
              </c:pt>
              <c:pt idx="473">
                <c:v>0.21271028016862417</c:v>
              </c:pt>
              <c:pt idx="474">
                <c:v>0.21287031633513315</c:v>
              </c:pt>
              <c:pt idx="475">
                <c:v>0.21287031633513315</c:v>
              </c:pt>
              <c:pt idx="476">
                <c:v>0.21303035250164215</c:v>
              </c:pt>
              <c:pt idx="477">
                <c:v>0.21303035250164215</c:v>
              </c:pt>
              <c:pt idx="478">
                <c:v>0.21319038866815113</c:v>
              </c:pt>
              <c:pt idx="479">
                <c:v>0.21319038866815113</c:v>
              </c:pt>
              <c:pt idx="480">
                <c:v>0.21335042483466013</c:v>
              </c:pt>
              <c:pt idx="481">
                <c:v>0.21335042483466013</c:v>
              </c:pt>
              <c:pt idx="482">
                <c:v>0.21351046100116913</c:v>
              </c:pt>
              <c:pt idx="483">
                <c:v>0.21351046100116913</c:v>
              </c:pt>
              <c:pt idx="484">
                <c:v>0.2136704971676781</c:v>
              </c:pt>
              <c:pt idx="485">
                <c:v>0.2136704971676781</c:v>
              </c:pt>
              <c:pt idx="486">
                <c:v>0.2138305333341871</c:v>
              </c:pt>
              <c:pt idx="487">
                <c:v>0.2138305333341871</c:v>
              </c:pt>
              <c:pt idx="488">
                <c:v>0.2139905695006961</c:v>
              </c:pt>
              <c:pt idx="489">
                <c:v>0.2139905695006961</c:v>
              </c:pt>
              <c:pt idx="490">
                <c:v>0.2141506056672051</c:v>
              </c:pt>
              <c:pt idx="491">
                <c:v>0.2141506056672051</c:v>
              </c:pt>
              <c:pt idx="492">
                <c:v>0.2143106418337141</c:v>
              </c:pt>
              <c:pt idx="493">
                <c:v>0.2143106418337141</c:v>
              </c:pt>
              <c:pt idx="494">
                <c:v>0.21447067800022307</c:v>
              </c:pt>
              <c:pt idx="495">
                <c:v>0.21447067800022307</c:v>
              </c:pt>
              <c:pt idx="496">
                <c:v>0.21463071416673207</c:v>
              </c:pt>
              <c:pt idx="497">
                <c:v>0.21463071416673207</c:v>
              </c:pt>
              <c:pt idx="498">
                <c:v>0.21479075033324105</c:v>
              </c:pt>
              <c:pt idx="499">
                <c:v>0.21479075033324105</c:v>
              </c:pt>
              <c:pt idx="500">
                <c:v>0.21495078649975005</c:v>
              </c:pt>
              <c:pt idx="501">
                <c:v>0.21495078649975005</c:v>
              </c:pt>
              <c:pt idx="502">
                <c:v>0.21511082266625906</c:v>
              </c:pt>
              <c:pt idx="503">
                <c:v>0.21511082266625906</c:v>
              </c:pt>
              <c:pt idx="504">
                <c:v>0.21527085883276803</c:v>
              </c:pt>
              <c:pt idx="505">
                <c:v>0.21527085883276803</c:v>
              </c:pt>
              <c:pt idx="506">
                <c:v>0.21543089499927703</c:v>
              </c:pt>
              <c:pt idx="507">
                <c:v>0.21543089499927703</c:v>
              </c:pt>
              <c:pt idx="508">
                <c:v>0.21559093116578604</c:v>
              </c:pt>
              <c:pt idx="509">
                <c:v>0.21559093116578604</c:v>
              </c:pt>
              <c:pt idx="510">
                <c:v>0.215750967332295</c:v>
              </c:pt>
              <c:pt idx="511">
                <c:v>0.215750967332295</c:v>
              </c:pt>
              <c:pt idx="512">
                <c:v>0.21591100349880402</c:v>
              </c:pt>
              <c:pt idx="513">
                <c:v>0.21591100349880402</c:v>
              </c:pt>
              <c:pt idx="514">
                <c:v>0.216071039665313</c:v>
              </c:pt>
              <c:pt idx="515">
                <c:v>0.216071039665313</c:v>
              </c:pt>
              <c:pt idx="516">
                <c:v>0.216231075831822</c:v>
              </c:pt>
              <c:pt idx="517">
                <c:v>0.216231075831822</c:v>
              </c:pt>
              <c:pt idx="518">
                <c:v>0.216391111998331</c:v>
              </c:pt>
              <c:pt idx="519">
                <c:v>0.216391111998331</c:v>
              </c:pt>
              <c:pt idx="520">
                <c:v>0.21655114816483997</c:v>
              </c:pt>
              <c:pt idx="521">
                <c:v>0.21655114816483997</c:v>
              </c:pt>
              <c:pt idx="522">
                <c:v>0.21671118433134898</c:v>
              </c:pt>
              <c:pt idx="523">
                <c:v>0.21671118433134898</c:v>
              </c:pt>
              <c:pt idx="524">
                <c:v>0.21687122049785795</c:v>
              </c:pt>
              <c:pt idx="525">
                <c:v>0.21687122049785795</c:v>
              </c:pt>
              <c:pt idx="526">
                <c:v>0.21703125666436696</c:v>
              </c:pt>
              <c:pt idx="527">
                <c:v>0.21703125666436696</c:v>
              </c:pt>
              <c:pt idx="528">
                <c:v>0.21719129283087596</c:v>
              </c:pt>
              <c:pt idx="529">
                <c:v>0.21719129283087596</c:v>
              </c:pt>
              <c:pt idx="530">
                <c:v>0.21735132899738493</c:v>
              </c:pt>
              <c:pt idx="531">
                <c:v>0.21735132899738493</c:v>
              </c:pt>
              <c:pt idx="532">
                <c:v>0.21751136516389394</c:v>
              </c:pt>
              <c:pt idx="533">
                <c:v>0.21751136516389394</c:v>
              </c:pt>
              <c:pt idx="534">
                <c:v>0.2176714013304029</c:v>
              </c:pt>
              <c:pt idx="535">
                <c:v>0.2176714013304029</c:v>
              </c:pt>
              <c:pt idx="536">
                <c:v>0.21783143749691192</c:v>
              </c:pt>
              <c:pt idx="537">
                <c:v>0.21783143749691192</c:v>
              </c:pt>
              <c:pt idx="538">
                <c:v>0.21799147366342092</c:v>
              </c:pt>
              <c:pt idx="539">
                <c:v>0.21799147366342092</c:v>
              </c:pt>
              <c:pt idx="540">
                <c:v>0.2181515098299299</c:v>
              </c:pt>
              <c:pt idx="541">
                <c:v>0.2181515098299299</c:v>
              </c:pt>
              <c:pt idx="542">
                <c:v>0.2183115459964389</c:v>
              </c:pt>
              <c:pt idx="543">
                <c:v>0.2183115459964389</c:v>
              </c:pt>
              <c:pt idx="544">
                <c:v>0.21847158216294787</c:v>
              </c:pt>
              <c:pt idx="545">
                <c:v>0.21847158216294787</c:v>
              </c:pt>
              <c:pt idx="546">
                <c:v>0.21863161832945688</c:v>
              </c:pt>
              <c:pt idx="547">
                <c:v>0.21863161832945688</c:v>
              </c:pt>
              <c:pt idx="548">
                <c:v>0.21879165449596588</c:v>
              </c:pt>
              <c:pt idx="549">
                <c:v>0.21879165449596588</c:v>
              </c:pt>
              <c:pt idx="550">
                <c:v>0.21895169066247486</c:v>
              </c:pt>
              <c:pt idx="551">
                <c:v>0.21895169066247486</c:v>
              </c:pt>
              <c:pt idx="552">
                <c:v>0.21911172682898386</c:v>
              </c:pt>
              <c:pt idx="553">
                <c:v>0.21911172682898386</c:v>
              </c:pt>
              <c:pt idx="554">
                <c:v>0.21927176299549286</c:v>
              </c:pt>
              <c:pt idx="555">
                <c:v>0.21927176299549286</c:v>
              </c:pt>
              <c:pt idx="556">
                <c:v>0.21943179916200184</c:v>
              </c:pt>
              <c:pt idx="557">
                <c:v>0.21943179916200184</c:v>
              </c:pt>
              <c:pt idx="558">
                <c:v>0.21959183532851084</c:v>
              </c:pt>
              <c:pt idx="559">
                <c:v>0.21959183532851084</c:v>
              </c:pt>
              <c:pt idx="560">
                <c:v>0.21975187149501982</c:v>
              </c:pt>
              <c:pt idx="561">
                <c:v>0.21975187149501982</c:v>
              </c:pt>
              <c:pt idx="562">
                <c:v>0.21991190766152882</c:v>
              </c:pt>
              <c:pt idx="563">
                <c:v>0.21991190766152882</c:v>
              </c:pt>
              <c:pt idx="564">
                <c:v>0.22007194382803782</c:v>
              </c:pt>
              <c:pt idx="565">
                <c:v>0.22007194382803782</c:v>
              </c:pt>
              <c:pt idx="566">
                <c:v>0.2202319799945468</c:v>
              </c:pt>
              <c:pt idx="567">
                <c:v>0.2202319799945468</c:v>
              </c:pt>
              <c:pt idx="568">
                <c:v>0.2203920161610558</c:v>
              </c:pt>
              <c:pt idx="569">
                <c:v>0.2203920161610558</c:v>
              </c:pt>
              <c:pt idx="570">
                <c:v>0.22055205232756478</c:v>
              </c:pt>
              <c:pt idx="571">
                <c:v>0.22055205232756478</c:v>
              </c:pt>
              <c:pt idx="572">
                <c:v>0.22071208849407378</c:v>
              </c:pt>
              <c:pt idx="573">
                <c:v>0.22071208849407378</c:v>
              </c:pt>
              <c:pt idx="574">
                <c:v>0.22087212466058279</c:v>
              </c:pt>
              <c:pt idx="575">
                <c:v>0.22087212466058279</c:v>
              </c:pt>
              <c:pt idx="576">
                <c:v>0.22103216082709176</c:v>
              </c:pt>
              <c:pt idx="577">
                <c:v>0.22103216082709176</c:v>
              </c:pt>
              <c:pt idx="578">
                <c:v>0.22119219699360076</c:v>
              </c:pt>
              <c:pt idx="579">
                <c:v>0.22119219699360076</c:v>
              </c:pt>
              <c:pt idx="580">
                <c:v>0.22135223316010977</c:v>
              </c:pt>
              <c:pt idx="581">
                <c:v>0.22135223316010977</c:v>
              </c:pt>
              <c:pt idx="582">
                <c:v>0.22151226932661874</c:v>
              </c:pt>
              <c:pt idx="583">
                <c:v>0.22151226932661874</c:v>
              </c:pt>
              <c:pt idx="584">
                <c:v>0.22167230549312775</c:v>
              </c:pt>
              <c:pt idx="585">
                <c:v>0.22167230549312775</c:v>
              </c:pt>
              <c:pt idx="586">
                <c:v>0.22183234165963672</c:v>
              </c:pt>
              <c:pt idx="587">
                <c:v>0.22183234165963672</c:v>
              </c:pt>
              <c:pt idx="588">
                <c:v>0.2219009285881406</c:v>
              </c:pt>
              <c:pt idx="589">
                <c:v>0.2219009285881406</c:v>
              </c:pt>
              <c:pt idx="590">
                <c:v>0.2219009285881406</c:v>
              </c:pt>
              <c:pt idx="591">
                <c:v>0.2219009285881406</c:v>
              </c:pt>
              <c:pt idx="592">
                <c:v>0.2219009285881406</c:v>
              </c:pt>
              <c:pt idx="593">
                <c:v>0.2219009285881406</c:v>
              </c:pt>
              <c:pt idx="594">
                <c:v>0.2220609647546496</c:v>
              </c:pt>
              <c:pt idx="595">
                <c:v>0.2220609647546496</c:v>
              </c:pt>
              <c:pt idx="596">
                <c:v>0.22222100092115857</c:v>
              </c:pt>
              <c:pt idx="597">
                <c:v>0.22222100092115857</c:v>
              </c:pt>
              <c:pt idx="598">
                <c:v>0.22238103708766757</c:v>
              </c:pt>
              <c:pt idx="599">
                <c:v>0.22238103708766757</c:v>
              </c:pt>
              <c:pt idx="600">
                <c:v>0.22254107325417655</c:v>
              </c:pt>
              <c:pt idx="601">
                <c:v>0.22254107325417655</c:v>
              </c:pt>
              <c:pt idx="602">
                <c:v>0.22270110942068555</c:v>
              </c:pt>
              <c:pt idx="603">
                <c:v>0.22270110942068555</c:v>
              </c:pt>
              <c:pt idx="604">
                <c:v>0.22286114558719455</c:v>
              </c:pt>
              <c:pt idx="605">
                <c:v>0.22286114558719455</c:v>
              </c:pt>
              <c:pt idx="606">
                <c:v>0.22302118175370353</c:v>
              </c:pt>
              <c:pt idx="607">
                <c:v>0.22302118175370353</c:v>
              </c:pt>
              <c:pt idx="608">
                <c:v>0.22318121792021253</c:v>
              </c:pt>
              <c:pt idx="609">
                <c:v>0.22318121792021253</c:v>
              </c:pt>
              <c:pt idx="610">
                <c:v>0.2233412540867215</c:v>
              </c:pt>
              <c:pt idx="611">
                <c:v>0.2233412540867215</c:v>
              </c:pt>
              <c:pt idx="612">
                <c:v>0.2235012902532305</c:v>
              </c:pt>
              <c:pt idx="613">
                <c:v>0.2235012902532305</c:v>
              </c:pt>
              <c:pt idx="614">
                <c:v>0.22366132641973951</c:v>
              </c:pt>
              <c:pt idx="615">
                <c:v>0.22366132641973951</c:v>
              </c:pt>
              <c:pt idx="616">
                <c:v>0.2238213625862485</c:v>
              </c:pt>
              <c:pt idx="617">
                <c:v>0.2238213625862485</c:v>
              </c:pt>
              <c:pt idx="618">
                <c:v>0.2239813987527575</c:v>
              </c:pt>
              <c:pt idx="619">
                <c:v>0.2239813987527575</c:v>
              </c:pt>
              <c:pt idx="620">
                <c:v>0.2241414349192665</c:v>
              </c:pt>
              <c:pt idx="621">
                <c:v>0.2241414349192665</c:v>
              </c:pt>
              <c:pt idx="622">
                <c:v>0.22430147108577547</c:v>
              </c:pt>
              <c:pt idx="623">
                <c:v>0.22430147108577547</c:v>
              </c:pt>
              <c:pt idx="624">
                <c:v>0.22446150725228448</c:v>
              </c:pt>
              <c:pt idx="625">
                <c:v>0.22446150725228448</c:v>
              </c:pt>
              <c:pt idx="626">
                <c:v>0.22462154341879345</c:v>
              </c:pt>
              <c:pt idx="627">
                <c:v>0.22462154341879345</c:v>
              </c:pt>
              <c:pt idx="628">
                <c:v>0.22478157958530245</c:v>
              </c:pt>
              <c:pt idx="629">
                <c:v>0.22478157958530245</c:v>
              </c:pt>
              <c:pt idx="630">
                <c:v>0.22494161575181146</c:v>
              </c:pt>
              <c:pt idx="631">
                <c:v>0.22494161575181146</c:v>
              </c:pt>
              <c:pt idx="632">
                <c:v>0.22510165191832043</c:v>
              </c:pt>
              <c:pt idx="633">
                <c:v>0.22510165191832043</c:v>
              </c:pt>
              <c:pt idx="634">
                <c:v>0.22526168808482944</c:v>
              </c:pt>
              <c:pt idx="635">
                <c:v>0.22526168808482944</c:v>
              </c:pt>
              <c:pt idx="636">
                <c:v>0.2254217242513384</c:v>
              </c:pt>
              <c:pt idx="637">
                <c:v>0.2254217242513384</c:v>
              </c:pt>
              <c:pt idx="638">
                <c:v>0.22558176041784742</c:v>
              </c:pt>
              <c:pt idx="639">
                <c:v>0.22558176041784742</c:v>
              </c:pt>
              <c:pt idx="640">
                <c:v>0.22574179658435642</c:v>
              </c:pt>
              <c:pt idx="641">
                <c:v>0.22574179658435642</c:v>
              </c:pt>
              <c:pt idx="642">
                <c:v>0.2259018327508654</c:v>
              </c:pt>
              <c:pt idx="643">
                <c:v>0.2259018327508654</c:v>
              </c:pt>
              <c:pt idx="644">
                <c:v>0.2260618689173744</c:v>
              </c:pt>
              <c:pt idx="645">
                <c:v>0.2260618689173744</c:v>
              </c:pt>
              <c:pt idx="646">
                <c:v>0.22622190508388337</c:v>
              </c:pt>
              <c:pt idx="647">
                <c:v>0.22622190508388337</c:v>
              </c:pt>
              <c:pt idx="648">
                <c:v>0.22638194125039238</c:v>
              </c:pt>
              <c:pt idx="649">
                <c:v>0.22638194125039238</c:v>
              </c:pt>
              <c:pt idx="650">
                <c:v>0.22654197741690138</c:v>
              </c:pt>
              <c:pt idx="651">
                <c:v>0.22654197741690138</c:v>
              </c:pt>
              <c:pt idx="652">
                <c:v>0.22670201358341036</c:v>
              </c:pt>
              <c:pt idx="653">
                <c:v>0.22670201358341036</c:v>
              </c:pt>
              <c:pt idx="654">
                <c:v>0.22686204974991936</c:v>
              </c:pt>
              <c:pt idx="655">
                <c:v>0.22686204974991936</c:v>
              </c:pt>
              <c:pt idx="656">
                <c:v>0.22702208591642836</c:v>
              </c:pt>
              <c:pt idx="657">
                <c:v>0.22702208591642836</c:v>
              </c:pt>
              <c:pt idx="658">
                <c:v>0.22718212208293734</c:v>
              </c:pt>
              <c:pt idx="659">
                <c:v>0.22718212208293734</c:v>
              </c:pt>
              <c:pt idx="660">
                <c:v>0.22734215824944634</c:v>
              </c:pt>
              <c:pt idx="661">
                <c:v>0.22734215824944634</c:v>
              </c:pt>
              <c:pt idx="662">
                <c:v>0.22750219441595532</c:v>
              </c:pt>
              <c:pt idx="663">
                <c:v>0.22750219441595532</c:v>
              </c:pt>
              <c:pt idx="664">
                <c:v>0.22766223058246432</c:v>
              </c:pt>
              <c:pt idx="665">
                <c:v>0.22766223058246432</c:v>
              </c:pt>
              <c:pt idx="666">
                <c:v>0.22782226674897332</c:v>
              </c:pt>
              <c:pt idx="667">
                <c:v>0.22782226674897332</c:v>
              </c:pt>
              <c:pt idx="668">
                <c:v>0.2279823029154823</c:v>
              </c:pt>
              <c:pt idx="669">
                <c:v>0.2279823029154823</c:v>
              </c:pt>
              <c:pt idx="670">
                <c:v>0.2281423390819913</c:v>
              </c:pt>
              <c:pt idx="671">
                <c:v>0.2281423390819913</c:v>
              </c:pt>
              <c:pt idx="672">
                <c:v>0.22830237524850028</c:v>
              </c:pt>
              <c:pt idx="673">
                <c:v>0.22830237524850028</c:v>
              </c:pt>
              <c:pt idx="674">
                <c:v>0.22846241141500928</c:v>
              </c:pt>
              <c:pt idx="675">
                <c:v>0.22846241141500928</c:v>
              </c:pt>
              <c:pt idx="676">
                <c:v>0.22862244758151828</c:v>
              </c:pt>
              <c:pt idx="677">
                <c:v>0.22862244758151828</c:v>
              </c:pt>
              <c:pt idx="678">
                <c:v>0.22878248374802726</c:v>
              </c:pt>
              <c:pt idx="679">
                <c:v>0.22878248374802726</c:v>
              </c:pt>
              <c:pt idx="680">
                <c:v>0.22894251991453626</c:v>
              </c:pt>
              <c:pt idx="681">
                <c:v>0.22894251991453626</c:v>
              </c:pt>
              <c:pt idx="682">
                <c:v>0.22910255608104524</c:v>
              </c:pt>
              <c:pt idx="683">
                <c:v>0.22910255608104524</c:v>
              </c:pt>
              <c:pt idx="684">
                <c:v>0.22926259224755424</c:v>
              </c:pt>
              <c:pt idx="685">
                <c:v>0.22926259224755424</c:v>
              </c:pt>
              <c:pt idx="686">
                <c:v>0.22942262841406325</c:v>
              </c:pt>
              <c:pt idx="687">
                <c:v>0.22942262841406325</c:v>
              </c:pt>
              <c:pt idx="688">
                <c:v>0.22958266458057222</c:v>
              </c:pt>
              <c:pt idx="689">
                <c:v>0.22958266458057222</c:v>
              </c:pt>
              <c:pt idx="690">
                <c:v>0.22974270074708122</c:v>
              </c:pt>
              <c:pt idx="691">
                <c:v>0.22974270074708122</c:v>
              </c:pt>
              <c:pt idx="692">
                <c:v>0.2299027369135902</c:v>
              </c:pt>
              <c:pt idx="693">
                <c:v>0.2299027369135902</c:v>
              </c:pt>
              <c:pt idx="694">
                <c:v>0.2300627730800992</c:v>
              </c:pt>
              <c:pt idx="695">
                <c:v>0.2300627730800992</c:v>
              </c:pt>
              <c:pt idx="696">
                <c:v>0.2302228092466082</c:v>
              </c:pt>
              <c:pt idx="697">
                <c:v>0.2302228092466082</c:v>
              </c:pt>
              <c:pt idx="698">
                <c:v>0.23038284541311718</c:v>
              </c:pt>
              <c:pt idx="699">
                <c:v>0.23038284541311718</c:v>
              </c:pt>
              <c:pt idx="700">
                <c:v>0.23054288157962619</c:v>
              </c:pt>
              <c:pt idx="701">
                <c:v>0.23054288157962619</c:v>
              </c:pt>
              <c:pt idx="702">
                <c:v>0.2307029177461352</c:v>
              </c:pt>
              <c:pt idx="703">
                <c:v>0.2307029177461352</c:v>
              </c:pt>
              <c:pt idx="704">
                <c:v>0.23086295391264416</c:v>
              </c:pt>
              <c:pt idx="705">
                <c:v>0.23086295391264416</c:v>
              </c:pt>
              <c:pt idx="706">
                <c:v>0.23102299007915317</c:v>
              </c:pt>
              <c:pt idx="707">
                <c:v>0.23102299007915317</c:v>
              </c:pt>
              <c:pt idx="708">
                <c:v>0.23118302624566214</c:v>
              </c:pt>
              <c:pt idx="709">
                <c:v>0.23118302624566214</c:v>
              </c:pt>
              <c:pt idx="710">
                <c:v>0.23134306241217115</c:v>
              </c:pt>
              <c:pt idx="711">
                <c:v>0.23134306241217115</c:v>
              </c:pt>
              <c:pt idx="712">
                <c:v>0.23150309857868015</c:v>
              </c:pt>
              <c:pt idx="713">
                <c:v>0.23150309857868015</c:v>
              </c:pt>
              <c:pt idx="714">
                <c:v>0.23166313474518913</c:v>
              </c:pt>
              <c:pt idx="715">
                <c:v>0.23166313474518913</c:v>
              </c:pt>
              <c:pt idx="716">
                <c:v>0.23182317091169813</c:v>
              </c:pt>
              <c:pt idx="717">
                <c:v>0.23182317091169813</c:v>
              </c:pt>
              <c:pt idx="718">
                <c:v>0.2319832070782071</c:v>
              </c:pt>
              <c:pt idx="719">
                <c:v>0.2319832070782071</c:v>
              </c:pt>
              <c:pt idx="720">
                <c:v>0.2321432432447161</c:v>
              </c:pt>
              <c:pt idx="721">
                <c:v>0.2321432432447161</c:v>
              </c:pt>
              <c:pt idx="722">
                <c:v>0.2323032794112251</c:v>
              </c:pt>
              <c:pt idx="723">
                <c:v>0.2323032794112251</c:v>
              </c:pt>
              <c:pt idx="724">
                <c:v>0.2324633155777341</c:v>
              </c:pt>
              <c:pt idx="725">
                <c:v>0.2324633155777341</c:v>
              </c:pt>
              <c:pt idx="726">
                <c:v>0.2326233517442431</c:v>
              </c:pt>
              <c:pt idx="727">
                <c:v>0.2326233517442431</c:v>
              </c:pt>
              <c:pt idx="728">
                <c:v>0.2327833879107521</c:v>
              </c:pt>
              <c:pt idx="729">
                <c:v>0.2327833879107521</c:v>
              </c:pt>
              <c:pt idx="730">
                <c:v>0.23294342407726107</c:v>
              </c:pt>
              <c:pt idx="731">
                <c:v>0.23294342407726107</c:v>
              </c:pt>
              <c:pt idx="732">
                <c:v>0.23310346024377007</c:v>
              </c:pt>
              <c:pt idx="733">
                <c:v>0.23310346024377007</c:v>
              </c:pt>
              <c:pt idx="734">
                <c:v>0.23326349641027905</c:v>
              </c:pt>
              <c:pt idx="735">
                <c:v>0.23326349641027905</c:v>
              </c:pt>
              <c:pt idx="736">
                <c:v>0.23333208333878291</c:v>
              </c:pt>
              <c:pt idx="737">
                <c:v>0.23333208333878291</c:v>
              </c:pt>
              <c:pt idx="738">
                <c:v>0.23333208333878291</c:v>
              </c:pt>
              <c:pt idx="739">
                <c:v>0.23333208333878291</c:v>
              </c:pt>
              <c:pt idx="740">
                <c:v>0.23333208333878291</c:v>
              </c:pt>
              <c:pt idx="741">
                <c:v>0.23333208333878291</c:v>
              </c:pt>
              <c:pt idx="742">
                <c:v>0.23349211950529192</c:v>
              </c:pt>
              <c:pt idx="743">
                <c:v>0.23349211950529192</c:v>
              </c:pt>
              <c:pt idx="744">
                <c:v>0.2336521556718009</c:v>
              </c:pt>
              <c:pt idx="745">
                <c:v>0.2336521556718009</c:v>
              </c:pt>
              <c:pt idx="746">
                <c:v>0.2338121918383099</c:v>
              </c:pt>
              <c:pt idx="747">
                <c:v>0.2338121918383099</c:v>
              </c:pt>
              <c:pt idx="748">
                <c:v>0.23397222800481887</c:v>
              </c:pt>
              <c:pt idx="749">
                <c:v>0.23397222800481887</c:v>
              </c:pt>
              <c:pt idx="750">
                <c:v>0.23413226417132788</c:v>
              </c:pt>
              <c:pt idx="751">
                <c:v>0.23413226417132788</c:v>
              </c:pt>
              <c:pt idx="752">
                <c:v>0.23429230033783688</c:v>
              </c:pt>
              <c:pt idx="753">
                <c:v>0.23429230033783688</c:v>
              </c:pt>
              <c:pt idx="754">
                <c:v>0.23445233650434585</c:v>
              </c:pt>
              <c:pt idx="755">
                <c:v>0.23445233650434585</c:v>
              </c:pt>
              <c:pt idx="756">
                <c:v>0.23461237267085486</c:v>
              </c:pt>
              <c:pt idx="757">
                <c:v>0.23461237267085486</c:v>
              </c:pt>
              <c:pt idx="758">
                <c:v>0.23477240883736383</c:v>
              </c:pt>
              <c:pt idx="759">
                <c:v>0.23477240883736383</c:v>
              </c:pt>
              <c:pt idx="760">
                <c:v>0.23493244500387284</c:v>
              </c:pt>
              <c:pt idx="761">
                <c:v>0.23493244500387284</c:v>
              </c:pt>
              <c:pt idx="762">
                <c:v>0.23509248117038184</c:v>
              </c:pt>
              <c:pt idx="763">
                <c:v>0.23509248117038184</c:v>
              </c:pt>
              <c:pt idx="764">
                <c:v>0.23525251733689082</c:v>
              </c:pt>
              <c:pt idx="765">
                <c:v>0.23525251733689082</c:v>
              </c:pt>
              <c:pt idx="766">
                <c:v>0.23541255350339982</c:v>
              </c:pt>
              <c:pt idx="767">
                <c:v>0.23541255350339982</c:v>
              </c:pt>
              <c:pt idx="768">
                <c:v>0.23557258966990882</c:v>
              </c:pt>
              <c:pt idx="769">
                <c:v>0.23557258966990882</c:v>
              </c:pt>
              <c:pt idx="770">
                <c:v>0.2357326258364178</c:v>
              </c:pt>
              <c:pt idx="771">
                <c:v>0.2357326258364178</c:v>
              </c:pt>
              <c:pt idx="772">
                <c:v>0.2358926620029268</c:v>
              </c:pt>
              <c:pt idx="773">
                <c:v>0.2358926620029268</c:v>
              </c:pt>
              <c:pt idx="774">
                <c:v>0.23605269816943578</c:v>
              </c:pt>
              <c:pt idx="775">
                <c:v>0.23605269816943578</c:v>
              </c:pt>
              <c:pt idx="776">
                <c:v>0.23621273433594478</c:v>
              </c:pt>
              <c:pt idx="777">
                <c:v>0.23621273433594478</c:v>
              </c:pt>
              <c:pt idx="778">
                <c:v>0.23637277050245378</c:v>
              </c:pt>
              <c:pt idx="779">
                <c:v>0.23637277050245378</c:v>
              </c:pt>
              <c:pt idx="780">
                <c:v>0.23653280666896276</c:v>
              </c:pt>
              <c:pt idx="781">
                <c:v>0.23653280666896276</c:v>
              </c:pt>
              <c:pt idx="782">
                <c:v>0.23669284283547176</c:v>
              </c:pt>
              <c:pt idx="783">
                <c:v>0.23669284283547176</c:v>
              </c:pt>
              <c:pt idx="784">
                <c:v>0.23685287900198074</c:v>
              </c:pt>
              <c:pt idx="785">
                <c:v>0.23685287900198074</c:v>
              </c:pt>
              <c:pt idx="786">
                <c:v>0.23701291516848974</c:v>
              </c:pt>
              <c:pt idx="787">
                <c:v>0.23701291516848974</c:v>
              </c:pt>
              <c:pt idx="788">
                <c:v>0.23717295133499874</c:v>
              </c:pt>
              <c:pt idx="789">
                <c:v>0.23717295133499874</c:v>
              </c:pt>
              <c:pt idx="790">
                <c:v>0.23733298750150772</c:v>
              </c:pt>
              <c:pt idx="791">
                <c:v>0.23733298750150772</c:v>
              </c:pt>
              <c:pt idx="792">
                <c:v>0.23749302366801672</c:v>
              </c:pt>
              <c:pt idx="793">
                <c:v>0.23749302366801672</c:v>
              </c:pt>
              <c:pt idx="794">
                <c:v>0.2376530598345257</c:v>
              </c:pt>
              <c:pt idx="795">
                <c:v>0.2376530598345257</c:v>
              </c:pt>
              <c:pt idx="796">
                <c:v>0.2378130960010347</c:v>
              </c:pt>
              <c:pt idx="797">
                <c:v>0.2378130960010347</c:v>
              </c:pt>
              <c:pt idx="798">
                <c:v>0.2379731321675437</c:v>
              </c:pt>
              <c:pt idx="799">
                <c:v>0.2379731321675437</c:v>
              </c:pt>
              <c:pt idx="800">
                <c:v>0.23813316833405268</c:v>
              </c:pt>
              <c:pt idx="801">
                <c:v>0.23813316833405268</c:v>
              </c:pt>
              <c:pt idx="802">
                <c:v>0.23829320450056168</c:v>
              </c:pt>
              <c:pt idx="803">
                <c:v>0.23829320450056168</c:v>
              </c:pt>
              <c:pt idx="804">
                <c:v>0.2384532406670707</c:v>
              </c:pt>
              <c:pt idx="805">
                <c:v>0.2384532406670707</c:v>
              </c:pt>
              <c:pt idx="806">
                <c:v>0.23861327683357966</c:v>
              </c:pt>
              <c:pt idx="807">
                <c:v>0.23861327683357966</c:v>
              </c:pt>
              <c:pt idx="808">
                <c:v>0.23877331300008867</c:v>
              </c:pt>
              <c:pt idx="809">
                <c:v>0.23877331300008867</c:v>
              </c:pt>
              <c:pt idx="810">
                <c:v>0.23893334916659764</c:v>
              </c:pt>
              <c:pt idx="811">
                <c:v>0.23893334916659764</c:v>
              </c:pt>
              <c:pt idx="812">
                <c:v>0.23909338533310664</c:v>
              </c:pt>
              <c:pt idx="813">
                <c:v>0.23909338533310664</c:v>
              </c:pt>
              <c:pt idx="814">
                <c:v>0.23925342149961565</c:v>
              </c:pt>
              <c:pt idx="815">
                <c:v>0.23925342149961565</c:v>
              </c:pt>
              <c:pt idx="816">
                <c:v>0.23941345766612462</c:v>
              </c:pt>
              <c:pt idx="817">
                <c:v>0.23941345766612462</c:v>
              </c:pt>
              <c:pt idx="818">
                <c:v>0.23957349383263363</c:v>
              </c:pt>
              <c:pt idx="819">
                <c:v>0.23957349383263363</c:v>
              </c:pt>
              <c:pt idx="820">
                <c:v>0.2397335299991426</c:v>
              </c:pt>
              <c:pt idx="821">
                <c:v>0.2397335299991426</c:v>
              </c:pt>
              <c:pt idx="822">
                <c:v>0.2398935661656516</c:v>
              </c:pt>
              <c:pt idx="823">
                <c:v>0.2398935661656516</c:v>
              </c:pt>
              <c:pt idx="824">
                <c:v>0.2400536023321606</c:v>
              </c:pt>
              <c:pt idx="825">
                <c:v>0.2400536023321606</c:v>
              </c:pt>
              <c:pt idx="826">
                <c:v>0.24021363849866958</c:v>
              </c:pt>
              <c:pt idx="827">
                <c:v>0.24021363849866958</c:v>
              </c:pt>
              <c:pt idx="828">
                <c:v>0.2403736746651786</c:v>
              </c:pt>
              <c:pt idx="829">
                <c:v>0.2403736746651786</c:v>
              </c:pt>
              <c:pt idx="830">
                <c:v>0.24053371083168756</c:v>
              </c:pt>
              <c:pt idx="831">
                <c:v>0.24053371083168756</c:v>
              </c:pt>
              <c:pt idx="832">
                <c:v>0.24069374699819657</c:v>
              </c:pt>
              <c:pt idx="833">
                <c:v>0.24069374699819657</c:v>
              </c:pt>
              <c:pt idx="834">
                <c:v>0.24085378316470557</c:v>
              </c:pt>
              <c:pt idx="835">
                <c:v>0.24085378316470557</c:v>
              </c:pt>
              <c:pt idx="836">
                <c:v>0.24101381933121455</c:v>
              </c:pt>
              <c:pt idx="837">
                <c:v>0.24101381933121455</c:v>
              </c:pt>
              <c:pt idx="838">
                <c:v>0.24117385549772355</c:v>
              </c:pt>
              <c:pt idx="839">
                <c:v>0.24117385549772355</c:v>
              </c:pt>
              <c:pt idx="840">
                <c:v>0.24133389166423252</c:v>
              </c:pt>
              <c:pt idx="841">
                <c:v>0.24133389166423252</c:v>
              </c:pt>
              <c:pt idx="842">
                <c:v>0.24149392783074153</c:v>
              </c:pt>
              <c:pt idx="843">
                <c:v>0.24149392783074153</c:v>
              </c:pt>
              <c:pt idx="844">
                <c:v>0.24165396399725053</c:v>
              </c:pt>
              <c:pt idx="845">
                <c:v>0.24165396399725053</c:v>
              </c:pt>
              <c:pt idx="846">
                <c:v>0.2418140001637595</c:v>
              </c:pt>
              <c:pt idx="847">
                <c:v>0.2418140001637595</c:v>
              </c:pt>
              <c:pt idx="848">
                <c:v>0.2419740363302685</c:v>
              </c:pt>
              <c:pt idx="849">
                <c:v>0.2419740363302685</c:v>
              </c:pt>
              <c:pt idx="850">
                <c:v>0.2421340724967775</c:v>
              </c:pt>
              <c:pt idx="851">
                <c:v>0.2421340724967775</c:v>
              </c:pt>
              <c:pt idx="852">
                <c:v>0.2422941086632865</c:v>
              </c:pt>
              <c:pt idx="853">
                <c:v>0.2422941086632865</c:v>
              </c:pt>
              <c:pt idx="854">
                <c:v>0.2424541448297955</c:v>
              </c:pt>
              <c:pt idx="855">
                <c:v>0.2424541448297955</c:v>
              </c:pt>
              <c:pt idx="856">
                <c:v>0.24261418099630447</c:v>
              </c:pt>
              <c:pt idx="857">
                <c:v>0.24261418099630447</c:v>
              </c:pt>
              <c:pt idx="858">
                <c:v>0.24277421716281347</c:v>
              </c:pt>
              <c:pt idx="859">
                <c:v>0.24277421716281347</c:v>
              </c:pt>
              <c:pt idx="860">
                <c:v>0.24293425332932247</c:v>
              </c:pt>
              <c:pt idx="861">
                <c:v>0.24293425332932247</c:v>
              </c:pt>
              <c:pt idx="862">
                <c:v>0.24309428949583145</c:v>
              </c:pt>
              <c:pt idx="863">
                <c:v>0.24309428949583145</c:v>
              </c:pt>
              <c:pt idx="864">
                <c:v>0.24325432566234045</c:v>
              </c:pt>
              <c:pt idx="865">
                <c:v>0.24325432566234045</c:v>
              </c:pt>
              <c:pt idx="866">
                <c:v>0.24341436182884943</c:v>
              </c:pt>
              <c:pt idx="867">
                <c:v>0.24341436182884943</c:v>
              </c:pt>
              <c:pt idx="868">
                <c:v>0.24357439799535843</c:v>
              </c:pt>
              <c:pt idx="869">
                <c:v>0.24357439799535843</c:v>
              </c:pt>
              <c:pt idx="870">
                <c:v>0.24373443416186744</c:v>
              </c:pt>
              <c:pt idx="871">
                <c:v>0.24373443416186744</c:v>
              </c:pt>
              <c:pt idx="872">
                <c:v>0.2438944703283764</c:v>
              </c:pt>
              <c:pt idx="873">
                <c:v>0.2438944703283764</c:v>
              </c:pt>
              <c:pt idx="874">
                <c:v>0.24405450649488541</c:v>
              </c:pt>
              <c:pt idx="875">
                <c:v>0.24405450649488541</c:v>
              </c:pt>
              <c:pt idx="876">
                <c:v>0.24421454266139442</c:v>
              </c:pt>
              <c:pt idx="877">
                <c:v>0.24421454266139442</c:v>
              </c:pt>
              <c:pt idx="878">
                <c:v>0.2443745788279034</c:v>
              </c:pt>
              <c:pt idx="879">
                <c:v>0.2443745788279034</c:v>
              </c:pt>
              <c:pt idx="880">
                <c:v>0.2445346149944124</c:v>
              </c:pt>
              <c:pt idx="881">
                <c:v>0.2445346149944124</c:v>
              </c:pt>
              <c:pt idx="882">
                <c:v>0.24469465116092137</c:v>
              </c:pt>
              <c:pt idx="883">
                <c:v>0.24469465116092137</c:v>
              </c:pt>
              <c:pt idx="884">
                <c:v>0.2447632380894252</c:v>
              </c:pt>
              <c:pt idx="885">
                <c:v>0.2447632380894252</c:v>
              </c:pt>
              <c:pt idx="886">
                <c:v>0.2447632380894252</c:v>
              </c:pt>
              <c:pt idx="887">
                <c:v>0.2447632380894252</c:v>
              </c:pt>
              <c:pt idx="888">
                <c:v>0.2447632380894252</c:v>
              </c:pt>
              <c:pt idx="889">
                <c:v>0.2447632380894252</c:v>
              </c:pt>
              <c:pt idx="890">
                <c:v>0.24492327425593421</c:v>
              </c:pt>
              <c:pt idx="891">
                <c:v>0.24492327425593421</c:v>
              </c:pt>
              <c:pt idx="892">
                <c:v>0.2450833104224432</c:v>
              </c:pt>
              <c:pt idx="893">
                <c:v>0.2450833104224432</c:v>
              </c:pt>
              <c:pt idx="894">
                <c:v>0.2452433465889522</c:v>
              </c:pt>
              <c:pt idx="895">
                <c:v>0.2452433465889522</c:v>
              </c:pt>
              <c:pt idx="896">
                <c:v>0.24540338275546117</c:v>
              </c:pt>
              <c:pt idx="897">
                <c:v>0.24540338275546117</c:v>
              </c:pt>
              <c:pt idx="898">
                <c:v>0.24556341892197017</c:v>
              </c:pt>
              <c:pt idx="899">
                <c:v>0.24556341892197017</c:v>
              </c:pt>
              <c:pt idx="900">
                <c:v>0.24572345508847918</c:v>
              </c:pt>
              <c:pt idx="901">
                <c:v>0.24572345508847918</c:v>
              </c:pt>
              <c:pt idx="902">
                <c:v>0.24588349125498815</c:v>
              </c:pt>
              <c:pt idx="903">
                <c:v>0.24588349125498815</c:v>
              </c:pt>
              <c:pt idx="904">
                <c:v>0.24604352742149715</c:v>
              </c:pt>
              <c:pt idx="905">
                <c:v>0.24604352742149715</c:v>
              </c:pt>
              <c:pt idx="906">
                <c:v>0.24620356358800613</c:v>
              </c:pt>
              <c:pt idx="907">
                <c:v>0.24620356358800613</c:v>
              </c:pt>
              <c:pt idx="908">
                <c:v>0.24636359975451513</c:v>
              </c:pt>
              <c:pt idx="909">
                <c:v>0.24636359975451513</c:v>
              </c:pt>
              <c:pt idx="910">
                <c:v>0.24652363592102414</c:v>
              </c:pt>
              <c:pt idx="911">
                <c:v>0.24652363592102414</c:v>
              </c:pt>
              <c:pt idx="912">
                <c:v>0.2466836720875331</c:v>
              </c:pt>
              <c:pt idx="913">
                <c:v>0.2466836720875331</c:v>
              </c:pt>
              <c:pt idx="914">
                <c:v>0.24684370825404212</c:v>
              </c:pt>
              <c:pt idx="915">
                <c:v>0.24684370825404212</c:v>
              </c:pt>
              <c:pt idx="916">
                <c:v>0.24700374442055112</c:v>
              </c:pt>
              <c:pt idx="917">
                <c:v>0.24700374442055112</c:v>
              </c:pt>
              <c:pt idx="918">
                <c:v>0.2471637805870601</c:v>
              </c:pt>
              <c:pt idx="919">
                <c:v>0.2471637805870601</c:v>
              </c:pt>
              <c:pt idx="920">
                <c:v>0.2473238167535691</c:v>
              </c:pt>
              <c:pt idx="921">
                <c:v>0.2473238167535691</c:v>
              </c:pt>
              <c:pt idx="922">
                <c:v>0.24748385292007807</c:v>
              </c:pt>
              <c:pt idx="923">
                <c:v>0.24748385292007807</c:v>
              </c:pt>
              <c:pt idx="924">
                <c:v>0.24764388908658708</c:v>
              </c:pt>
              <c:pt idx="925">
                <c:v>0.24764388908658708</c:v>
              </c:pt>
              <c:pt idx="926">
                <c:v>0.24780392525309608</c:v>
              </c:pt>
              <c:pt idx="927">
                <c:v>0.24780392525309608</c:v>
              </c:pt>
              <c:pt idx="928">
                <c:v>0.24796396141960506</c:v>
              </c:pt>
              <c:pt idx="929">
                <c:v>0.24796396141960506</c:v>
              </c:pt>
              <c:pt idx="930">
                <c:v>0.24812399758611406</c:v>
              </c:pt>
              <c:pt idx="931">
                <c:v>0.24812399758611406</c:v>
              </c:pt>
              <c:pt idx="932">
                <c:v>0.24828403375262303</c:v>
              </c:pt>
              <c:pt idx="933">
                <c:v>0.24828403375262303</c:v>
              </c:pt>
              <c:pt idx="934">
                <c:v>0.24844406991913204</c:v>
              </c:pt>
              <c:pt idx="935">
                <c:v>0.24844406991913204</c:v>
              </c:pt>
              <c:pt idx="936">
                <c:v>0.24860410608564104</c:v>
              </c:pt>
              <c:pt idx="937">
                <c:v>0.24860410608564104</c:v>
              </c:pt>
              <c:pt idx="938">
                <c:v>0.24876414225215002</c:v>
              </c:pt>
              <c:pt idx="939">
                <c:v>0.24876414225215002</c:v>
              </c:pt>
              <c:pt idx="940">
                <c:v>0.24892417841865902</c:v>
              </c:pt>
              <c:pt idx="941">
                <c:v>0.24892417841865902</c:v>
              </c:pt>
              <c:pt idx="942">
                <c:v>0.249084214585168</c:v>
              </c:pt>
              <c:pt idx="943">
                <c:v>0.249084214585168</c:v>
              </c:pt>
              <c:pt idx="944">
                <c:v>0.249244250751677</c:v>
              </c:pt>
              <c:pt idx="945">
                <c:v>0.249244250751677</c:v>
              </c:pt>
              <c:pt idx="946">
                <c:v>0.249404286918186</c:v>
              </c:pt>
              <c:pt idx="947">
                <c:v>0.249404286918186</c:v>
              </c:pt>
              <c:pt idx="948">
                <c:v>0.24956432308469498</c:v>
              </c:pt>
              <c:pt idx="949">
                <c:v>0.24956432308469498</c:v>
              </c:pt>
              <c:pt idx="950">
                <c:v>0.24972435925120398</c:v>
              </c:pt>
              <c:pt idx="951">
                <c:v>0.24972435925120398</c:v>
              </c:pt>
              <c:pt idx="952">
                <c:v>0.24988439541771298</c:v>
              </c:pt>
              <c:pt idx="953">
                <c:v>0.24988439541771298</c:v>
              </c:pt>
              <c:pt idx="954">
                <c:v>0.25004443158422196</c:v>
              </c:pt>
              <c:pt idx="955">
                <c:v>0.25004443158422196</c:v>
              </c:pt>
              <c:pt idx="956">
                <c:v>0.25020446775073096</c:v>
              </c:pt>
              <c:pt idx="957">
                <c:v>0.25020446775073096</c:v>
              </c:pt>
              <c:pt idx="958">
                <c:v>0.25036450391723997</c:v>
              </c:pt>
              <c:pt idx="959">
                <c:v>0.25036450391723997</c:v>
              </c:pt>
              <c:pt idx="960">
                <c:v>0.2505245400837489</c:v>
              </c:pt>
              <c:pt idx="961">
                <c:v>0.2505245400837489</c:v>
              </c:pt>
              <c:pt idx="962">
                <c:v>0.2506845762502579</c:v>
              </c:pt>
              <c:pt idx="963">
                <c:v>0.2506845762502579</c:v>
              </c:pt>
              <c:pt idx="964">
                <c:v>0.2508446124167669</c:v>
              </c:pt>
              <c:pt idx="965">
                <c:v>0.2508446124167669</c:v>
              </c:pt>
              <c:pt idx="966">
                <c:v>0.2510046485832759</c:v>
              </c:pt>
              <c:pt idx="967">
                <c:v>0.2510046485832759</c:v>
              </c:pt>
              <c:pt idx="968">
                <c:v>0.2511646847497849</c:v>
              </c:pt>
              <c:pt idx="969">
                <c:v>0.2511646847497849</c:v>
              </c:pt>
              <c:pt idx="970">
                <c:v>0.25132472091629393</c:v>
              </c:pt>
              <c:pt idx="971">
                <c:v>0.25132472091629393</c:v>
              </c:pt>
              <c:pt idx="972">
                <c:v>0.2514847570828029</c:v>
              </c:pt>
              <c:pt idx="973">
                <c:v>0.2514847570828029</c:v>
              </c:pt>
              <c:pt idx="974">
                <c:v>0.2516447932493119</c:v>
              </c:pt>
              <c:pt idx="975">
                <c:v>0.2516447932493119</c:v>
              </c:pt>
              <c:pt idx="976">
                <c:v>0.2518048294158209</c:v>
              </c:pt>
              <c:pt idx="977">
                <c:v>0.2518048294158209</c:v>
              </c:pt>
              <c:pt idx="978">
                <c:v>0.2519648655823299</c:v>
              </c:pt>
              <c:pt idx="979">
                <c:v>0.2519648655823299</c:v>
              </c:pt>
              <c:pt idx="980">
                <c:v>0.2521249017488389</c:v>
              </c:pt>
              <c:pt idx="981">
                <c:v>0.2521249017488389</c:v>
              </c:pt>
              <c:pt idx="982">
                <c:v>0.25228493791534784</c:v>
              </c:pt>
              <c:pt idx="983">
                <c:v>0.25228493791534784</c:v>
              </c:pt>
              <c:pt idx="984">
                <c:v>0.25244497408185684</c:v>
              </c:pt>
              <c:pt idx="985">
                <c:v>0.25244497408185684</c:v>
              </c:pt>
              <c:pt idx="986">
                <c:v>0.25260501024836585</c:v>
              </c:pt>
              <c:pt idx="987">
                <c:v>0.25260501024836585</c:v>
              </c:pt>
              <c:pt idx="988">
                <c:v>0.25276504641487485</c:v>
              </c:pt>
              <c:pt idx="989">
                <c:v>0.25276504641487485</c:v>
              </c:pt>
              <c:pt idx="990">
                <c:v>0.25292508258138385</c:v>
              </c:pt>
              <c:pt idx="991">
                <c:v>0.25292508258138385</c:v>
              </c:pt>
              <c:pt idx="992">
                <c:v>0.2530851187478928</c:v>
              </c:pt>
              <c:pt idx="993">
                <c:v>0.2530851187478928</c:v>
              </c:pt>
              <c:pt idx="994">
                <c:v>0.2532451549144018</c:v>
              </c:pt>
              <c:pt idx="995">
                <c:v>0.2532451549144018</c:v>
              </c:pt>
              <c:pt idx="996">
                <c:v>0.2534051910809108</c:v>
              </c:pt>
              <c:pt idx="997">
                <c:v>0.2534051910809108</c:v>
              </c:pt>
              <c:pt idx="998">
                <c:v>0.2535652272474198</c:v>
              </c:pt>
              <c:pt idx="999">
                <c:v>0.2535652272474198</c:v>
              </c:pt>
              <c:pt idx="1000">
                <c:v>0.2537252634139288</c:v>
              </c:pt>
              <c:pt idx="1001">
                <c:v>0.2537252634139288</c:v>
              </c:pt>
              <c:pt idx="1002">
                <c:v>0.25388529958043776</c:v>
              </c:pt>
              <c:pt idx="1003">
                <c:v>0.25388529958043776</c:v>
              </c:pt>
              <c:pt idx="1004">
                <c:v>0.25404533574694677</c:v>
              </c:pt>
              <c:pt idx="1005">
                <c:v>0.25404533574694677</c:v>
              </c:pt>
              <c:pt idx="1006">
                <c:v>0.25420537191345577</c:v>
              </c:pt>
              <c:pt idx="1007">
                <c:v>0.25420537191345577</c:v>
              </c:pt>
              <c:pt idx="1008">
                <c:v>0.25436540807996477</c:v>
              </c:pt>
              <c:pt idx="1009">
                <c:v>0.25436540807996477</c:v>
              </c:pt>
              <c:pt idx="1010">
                <c:v>0.2545254442464738</c:v>
              </c:pt>
              <c:pt idx="1011">
                <c:v>0.2545254442464738</c:v>
              </c:pt>
              <c:pt idx="1012">
                <c:v>0.2546854804129827</c:v>
              </c:pt>
              <c:pt idx="1013">
                <c:v>0.2546854804129827</c:v>
              </c:pt>
              <c:pt idx="1014">
                <c:v>0.2548455165794917</c:v>
              </c:pt>
              <c:pt idx="1015">
                <c:v>0.2548455165794917</c:v>
              </c:pt>
              <c:pt idx="1016">
                <c:v>0.25500555274600073</c:v>
              </c:pt>
              <c:pt idx="1017">
                <c:v>0.25500555274600073</c:v>
              </c:pt>
              <c:pt idx="1018">
                <c:v>0.25516558891250973</c:v>
              </c:pt>
              <c:pt idx="1019">
                <c:v>0.25516558891250973</c:v>
              </c:pt>
              <c:pt idx="1020">
                <c:v>0.25532562507901874</c:v>
              </c:pt>
              <c:pt idx="1021">
                <c:v>0.25532562507901874</c:v>
              </c:pt>
              <c:pt idx="1022">
                <c:v>0.2554856612455277</c:v>
              </c:pt>
              <c:pt idx="1023">
                <c:v>0.2554856612455277</c:v>
              </c:pt>
              <c:pt idx="1024">
                <c:v>0.2556456974120367</c:v>
              </c:pt>
              <c:pt idx="1025">
                <c:v>0.2556456974120367</c:v>
              </c:pt>
              <c:pt idx="1026">
                <c:v>0.2558057335785457</c:v>
              </c:pt>
              <c:pt idx="1027">
                <c:v>0.2558057335785457</c:v>
              </c:pt>
              <c:pt idx="1028">
                <c:v>0.2559657697450547</c:v>
              </c:pt>
              <c:pt idx="1029">
                <c:v>0.2559657697450547</c:v>
              </c:pt>
              <c:pt idx="1030">
                <c:v>0.2561258059115637</c:v>
              </c:pt>
              <c:pt idx="1031">
                <c:v>0.2561258059115637</c:v>
              </c:pt>
              <c:pt idx="1032">
                <c:v>0.25619439284006756</c:v>
              </c:pt>
              <c:pt idx="1033">
                <c:v>0.25619439284006756</c:v>
              </c:pt>
              <c:pt idx="1034">
                <c:v>0.25619439284006756</c:v>
              </c:pt>
              <c:pt idx="1035">
                <c:v>0.25619439284006756</c:v>
              </c:pt>
              <c:pt idx="1036">
                <c:v>0.25619439284006756</c:v>
              </c:pt>
              <c:pt idx="1037">
                <c:v>0.25619439284006756</c:v>
              </c:pt>
              <c:pt idx="1038">
                <c:v>0.25635442900657657</c:v>
              </c:pt>
              <c:pt idx="1039">
                <c:v>0.25635442900657657</c:v>
              </c:pt>
              <c:pt idx="1040">
                <c:v>0.25651446517308557</c:v>
              </c:pt>
              <c:pt idx="1041">
                <c:v>0.25651446517308557</c:v>
              </c:pt>
              <c:pt idx="1042">
                <c:v>0.2566745013395945</c:v>
              </c:pt>
              <c:pt idx="1043">
                <c:v>0.2566745013395945</c:v>
              </c:pt>
              <c:pt idx="1044">
                <c:v>0.2568345375061035</c:v>
              </c:pt>
              <c:pt idx="1045">
                <c:v>0.2568345375061035</c:v>
              </c:pt>
              <c:pt idx="1046">
                <c:v>0.2569945736726125</c:v>
              </c:pt>
              <c:pt idx="1047">
                <c:v>0.2569945736726125</c:v>
              </c:pt>
              <c:pt idx="1048">
                <c:v>0.25715460983912153</c:v>
              </c:pt>
              <c:pt idx="1049">
                <c:v>0.25715460983912153</c:v>
              </c:pt>
              <c:pt idx="1050">
                <c:v>0.25731464600563053</c:v>
              </c:pt>
              <c:pt idx="1051">
                <c:v>0.25731464600563053</c:v>
              </c:pt>
              <c:pt idx="1052">
                <c:v>0.2574746821721395</c:v>
              </c:pt>
              <c:pt idx="1053">
                <c:v>0.2574746821721395</c:v>
              </c:pt>
              <c:pt idx="1054">
                <c:v>0.2576347183386485</c:v>
              </c:pt>
              <c:pt idx="1055">
                <c:v>0.2576347183386485</c:v>
              </c:pt>
              <c:pt idx="1056">
                <c:v>0.2577947545051575</c:v>
              </c:pt>
              <c:pt idx="1057">
                <c:v>0.2577947545051575</c:v>
              </c:pt>
              <c:pt idx="1058">
                <c:v>0.2579547906716665</c:v>
              </c:pt>
              <c:pt idx="1059">
                <c:v>0.2579547906716665</c:v>
              </c:pt>
              <c:pt idx="1060">
                <c:v>0.2581148268381755</c:v>
              </c:pt>
              <c:pt idx="1061">
                <c:v>0.2581148268381755</c:v>
              </c:pt>
              <c:pt idx="1062">
                <c:v>0.25827486300468444</c:v>
              </c:pt>
              <c:pt idx="1063">
                <c:v>0.25827486300468444</c:v>
              </c:pt>
              <c:pt idx="1064">
                <c:v>0.25843489917119344</c:v>
              </c:pt>
              <c:pt idx="1065">
                <c:v>0.25843489917119344</c:v>
              </c:pt>
              <c:pt idx="1066">
                <c:v>0.25859493533770245</c:v>
              </c:pt>
              <c:pt idx="1067">
                <c:v>0.25859493533770245</c:v>
              </c:pt>
              <c:pt idx="1068">
                <c:v>0.25875497150421145</c:v>
              </c:pt>
              <c:pt idx="1069">
                <c:v>0.25875497150421145</c:v>
              </c:pt>
              <c:pt idx="1070">
                <c:v>0.25891500767072045</c:v>
              </c:pt>
              <c:pt idx="1071">
                <c:v>0.25891500767072045</c:v>
              </c:pt>
              <c:pt idx="1072">
                <c:v>0.2590750438372294</c:v>
              </c:pt>
              <c:pt idx="1073">
                <c:v>0.2590750438372294</c:v>
              </c:pt>
              <c:pt idx="1074">
                <c:v>0.2592350800037384</c:v>
              </c:pt>
              <c:pt idx="1075">
                <c:v>0.2592350800037384</c:v>
              </c:pt>
              <c:pt idx="1076">
                <c:v>0.2593951161702474</c:v>
              </c:pt>
              <c:pt idx="1077">
                <c:v>0.2593951161702474</c:v>
              </c:pt>
              <c:pt idx="1078">
                <c:v>0.2595551523367564</c:v>
              </c:pt>
              <c:pt idx="1079">
                <c:v>0.2595551523367564</c:v>
              </c:pt>
              <c:pt idx="1080">
                <c:v>0.2597151885032654</c:v>
              </c:pt>
              <c:pt idx="1081">
                <c:v>0.2597151885032654</c:v>
              </c:pt>
              <c:pt idx="1082">
                <c:v>0.2598752246697744</c:v>
              </c:pt>
              <c:pt idx="1083">
                <c:v>0.2598752246697744</c:v>
              </c:pt>
              <c:pt idx="1084">
                <c:v>0.26003526083628337</c:v>
              </c:pt>
              <c:pt idx="1085">
                <c:v>0.26003526083628337</c:v>
              </c:pt>
              <c:pt idx="1086">
                <c:v>0.26019529700279237</c:v>
              </c:pt>
              <c:pt idx="1087">
                <c:v>0.26019529700279237</c:v>
              </c:pt>
              <c:pt idx="1088">
                <c:v>0.2603553331693014</c:v>
              </c:pt>
              <c:pt idx="1089">
                <c:v>0.2603553331693014</c:v>
              </c:pt>
              <c:pt idx="1090">
                <c:v>0.2605153693358104</c:v>
              </c:pt>
              <c:pt idx="1091">
                <c:v>0.2605153693358104</c:v>
              </c:pt>
              <c:pt idx="1092">
                <c:v>0.2606754055023194</c:v>
              </c:pt>
              <c:pt idx="1093">
                <c:v>0.2606754055023194</c:v>
              </c:pt>
              <c:pt idx="1094">
                <c:v>0.2608354416688283</c:v>
              </c:pt>
              <c:pt idx="1095">
                <c:v>0.2608354416688283</c:v>
              </c:pt>
              <c:pt idx="1096">
                <c:v>0.26099547783533733</c:v>
              </c:pt>
              <c:pt idx="1097">
                <c:v>0.26099547783533733</c:v>
              </c:pt>
              <c:pt idx="1098">
                <c:v>0.26115551400184633</c:v>
              </c:pt>
              <c:pt idx="1099">
                <c:v>0.26115551400184633</c:v>
              </c:pt>
              <c:pt idx="1100">
                <c:v>0.26131555016835534</c:v>
              </c:pt>
              <c:pt idx="1101">
                <c:v>0.26131555016835534</c:v>
              </c:pt>
              <c:pt idx="1102">
                <c:v>0.26147558633486434</c:v>
              </c:pt>
              <c:pt idx="1103">
                <c:v>0.26147558633486434</c:v>
              </c:pt>
              <c:pt idx="1104">
                <c:v>0.2616356225013733</c:v>
              </c:pt>
              <c:pt idx="1105">
                <c:v>0.2616356225013733</c:v>
              </c:pt>
              <c:pt idx="1106">
                <c:v>0.2617956586678823</c:v>
              </c:pt>
              <c:pt idx="1107">
                <c:v>0.2617956586678823</c:v>
              </c:pt>
              <c:pt idx="1108">
                <c:v>0.2619556948343913</c:v>
              </c:pt>
              <c:pt idx="1109">
                <c:v>0.2619556948343913</c:v>
              </c:pt>
              <c:pt idx="1110">
                <c:v>0.2621157310009003</c:v>
              </c:pt>
              <c:pt idx="1111">
                <c:v>0.2621157310009003</c:v>
              </c:pt>
              <c:pt idx="1112">
                <c:v>0.2622757671674093</c:v>
              </c:pt>
              <c:pt idx="1113">
                <c:v>0.2622757671674093</c:v>
              </c:pt>
              <c:pt idx="1114">
                <c:v>0.26243580333391825</c:v>
              </c:pt>
              <c:pt idx="1115">
                <c:v>0.26243580333391825</c:v>
              </c:pt>
              <c:pt idx="1116">
                <c:v>0.26259583950042725</c:v>
              </c:pt>
              <c:pt idx="1117">
                <c:v>0.26259583950042725</c:v>
              </c:pt>
              <c:pt idx="1118">
                <c:v>0.26275587566693626</c:v>
              </c:pt>
              <c:pt idx="1119">
                <c:v>0.26275587566693626</c:v>
              </c:pt>
              <c:pt idx="1120">
                <c:v>0.26291591183344526</c:v>
              </c:pt>
              <c:pt idx="1121">
                <c:v>0.26291591183344526</c:v>
              </c:pt>
              <c:pt idx="1122">
                <c:v>0.26307594799995426</c:v>
              </c:pt>
              <c:pt idx="1123">
                <c:v>0.26307594799995426</c:v>
              </c:pt>
              <c:pt idx="1124">
                <c:v>0.2632359841664632</c:v>
              </c:pt>
              <c:pt idx="1125">
                <c:v>0.2632359841664632</c:v>
              </c:pt>
              <c:pt idx="1126">
                <c:v>0.2633960203329722</c:v>
              </c:pt>
              <c:pt idx="1127">
                <c:v>0.2633960203329722</c:v>
              </c:pt>
              <c:pt idx="1128">
                <c:v>0.2635560564994812</c:v>
              </c:pt>
              <c:pt idx="1129">
                <c:v>0.2635560564994812</c:v>
              </c:pt>
              <c:pt idx="1130">
                <c:v>0.2637160926659902</c:v>
              </c:pt>
              <c:pt idx="1131">
                <c:v>0.2637160926659902</c:v>
              </c:pt>
              <c:pt idx="1132">
                <c:v>0.2638761288324992</c:v>
              </c:pt>
              <c:pt idx="1133">
                <c:v>0.2638761288324992</c:v>
              </c:pt>
              <c:pt idx="1134">
                <c:v>0.26403616499900817</c:v>
              </c:pt>
              <c:pt idx="1135">
                <c:v>0.26403616499900817</c:v>
              </c:pt>
              <c:pt idx="1136">
                <c:v>0.2641962011655172</c:v>
              </c:pt>
              <c:pt idx="1137">
                <c:v>0.2641962011655172</c:v>
              </c:pt>
              <c:pt idx="1138">
                <c:v>0.2643562373320262</c:v>
              </c:pt>
              <c:pt idx="1139">
                <c:v>0.2643562373320262</c:v>
              </c:pt>
              <c:pt idx="1140">
                <c:v>0.2645162734985352</c:v>
              </c:pt>
              <c:pt idx="1141">
                <c:v>0.2645162734985352</c:v>
              </c:pt>
              <c:pt idx="1142">
                <c:v>0.2646763096650442</c:v>
              </c:pt>
              <c:pt idx="1143">
                <c:v>0.2646763096650442</c:v>
              </c:pt>
              <c:pt idx="1144">
                <c:v>0.26483634583155313</c:v>
              </c:pt>
              <c:pt idx="1145">
                <c:v>0.26483634583155313</c:v>
              </c:pt>
              <c:pt idx="1146">
                <c:v>0.26499638199806214</c:v>
              </c:pt>
              <c:pt idx="1147">
                <c:v>0.26499638199806214</c:v>
              </c:pt>
              <c:pt idx="1148">
                <c:v>0.26515641816457114</c:v>
              </c:pt>
              <c:pt idx="1149">
                <c:v>0.26515641816457114</c:v>
              </c:pt>
              <c:pt idx="1150">
                <c:v>0.26531645433108014</c:v>
              </c:pt>
              <c:pt idx="1151">
                <c:v>0.26531645433108014</c:v>
              </c:pt>
              <c:pt idx="1152">
                <c:v>0.26547649049758915</c:v>
              </c:pt>
              <c:pt idx="1153">
                <c:v>0.26547649049758915</c:v>
              </c:pt>
              <c:pt idx="1154">
                <c:v>0.2656365266640981</c:v>
              </c:pt>
              <c:pt idx="1155">
                <c:v>0.2656365266640981</c:v>
              </c:pt>
              <c:pt idx="1156">
                <c:v>0.2657965628306071</c:v>
              </c:pt>
              <c:pt idx="1157">
                <c:v>0.2657965628306071</c:v>
              </c:pt>
              <c:pt idx="1158">
                <c:v>0.2659565989971161</c:v>
              </c:pt>
              <c:pt idx="1159">
                <c:v>0.2659565989971161</c:v>
              </c:pt>
              <c:pt idx="1160">
                <c:v>0.2661166351636251</c:v>
              </c:pt>
              <c:pt idx="1161">
                <c:v>0.2661166351636251</c:v>
              </c:pt>
              <c:pt idx="1162">
                <c:v>0.2662766713301341</c:v>
              </c:pt>
              <c:pt idx="1163">
                <c:v>0.2662766713301341</c:v>
              </c:pt>
              <c:pt idx="1164">
                <c:v>0.2664367074966431</c:v>
              </c:pt>
              <c:pt idx="1165">
                <c:v>0.2664367074966431</c:v>
              </c:pt>
              <c:pt idx="1166">
                <c:v>0.26659674366315206</c:v>
              </c:pt>
              <c:pt idx="1167">
                <c:v>0.26659674366315206</c:v>
              </c:pt>
              <c:pt idx="1168">
                <c:v>0.26675677982966106</c:v>
              </c:pt>
              <c:pt idx="1169">
                <c:v>0.26675677982966106</c:v>
              </c:pt>
              <c:pt idx="1170">
                <c:v>0.26691681599617006</c:v>
              </c:pt>
              <c:pt idx="1171">
                <c:v>0.26691681599617006</c:v>
              </c:pt>
              <c:pt idx="1172">
                <c:v>0.26707685216267907</c:v>
              </c:pt>
              <c:pt idx="1173">
                <c:v>0.26707685216267907</c:v>
              </c:pt>
              <c:pt idx="1174">
                <c:v>0.26723688832918807</c:v>
              </c:pt>
              <c:pt idx="1175">
                <c:v>0.26723688832918807</c:v>
              </c:pt>
              <c:pt idx="1176">
                <c:v>0.267396924495697</c:v>
              </c:pt>
              <c:pt idx="1177">
                <c:v>0.267396924495697</c:v>
              </c:pt>
              <c:pt idx="1178">
                <c:v>0.267556960662206</c:v>
              </c:pt>
              <c:pt idx="1179">
                <c:v>0.267556960662206</c:v>
              </c:pt>
              <c:pt idx="1180">
                <c:v>0.2676255475907099</c:v>
              </c:pt>
              <c:pt idx="1181">
                <c:v>0.2676255475907099</c:v>
              </c:pt>
              <c:pt idx="1182">
                <c:v>0.2676255475907099</c:v>
              </c:pt>
              <c:pt idx="1183">
                <c:v>0.2676255475907099</c:v>
              </c:pt>
              <c:pt idx="1184">
                <c:v>0.2676255475907099</c:v>
              </c:pt>
              <c:pt idx="1185">
                <c:v>0.2676255475907099</c:v>
              </c:pt>
              <c:pt idx="1186">
                <c:v>0.2677855837572189</c:v>
              </c:pt>
              <c:pt idx="1187">
                <c:v>0.2677855837572189</c:v>
              </c:pt>
              <c:pt idx="1188">
                <c:v>0.2679456199237279</c:v>
              </c:pt>
              <c:pt idx="1189">
                <c:v>0.2679456199237279</c:v>
              </c:pt>
              <c:pt idx="1190">
                <c:v>0.26810565609023684</c:v>
              </c:pt>
              <c:pt idx="1191">
                <c:v>0.26810565609023684</c:v>
              </c:pt>
              <c:pt idx="1192">
                <c:v>0.26826569225674585</c:v>
              </c:pt>
              <c:pt idx="1193">
                <c:v>0.26826569225674585</c:v>
              </c:pt>
              <c:pt idx="1194">
                <c:v>0.26842572842325485</c:v>
              </c:pt>
              <c:pt idx="1195">
                <c:v>0.26842572842325485</c:v>
              </c:pt>
              <c:pt idx="1196">
                <c:v>0.26858576458976385</c:v>
              </c:pt>
              <c:pt idx="1197">
                <c:v>0.26858576458976385</c:v>
              </c:pt>
              <c:pt idx="1198">
                <c:v>0.26874580075627286</c:v>
              </c:pt>
              <c:pt idx="1199">
                <c:v>0.26874580075627286</c:v>
              </c:pt>
              <c:pt idx="1200">
                <c:v>0.2689058369227818</c:v>
              </c:pt>
              <c:pt idx="1201">
                <c:v>0.2689058369227818</c:v>
              </c:pt>
              <c:pt idx="1202">
                <c:v>0.2690658730892908</c:v>
              </c:pt>
              <c:pt idx="1203">
                <c:v>0.2690658730892908</c:v>
              </c:pt>
              <c:pt idx="1204">
                <c:v>0.2692259092557998</c:v>
              </c:pt>
              <c:pt idx="1205">
                <c:v>0.2692259092557998</c:v>
              </c:pt>
              <c:pt idx="1206">
                <c:v>0.2693859454223088</c:v>
              </c:pt>
              <c:pt idx="1207">
                <c:v>0.2693859454223088</c:v>
              </c:pt>
              <c:pt idx="1208">
                <c:v>0.2695459815888178</c:v>
              </c:pt>
              <c:pt idx="1209">
                <c:v>0.2695459815888178</c:v>
              </c:pt>
              <c:pt idx="1210">
                <c:v>0.26970601775532677</c:v>
              </c:pt>
              <c:pt idx="1211">
                <c:v>0.26970601775532677</c:v>
              </c:pt>
              <c:pt idx="1212">
                <c:v>0.26986605392183577</c:v>
              </c:pt>
              <c:pt idx="1213">
                <c:v>0.26986605392183577</c:v>
              </c:pt>
              <c:pt idx="1214">
                <c:v>0.2700260900883448</c:v>
              </c:pt>
              <c:pt idx="1215">
                <c:v>0.2700260900883448</c:v>
              </c:pt>
              <c:pt idx="1216">
                <c:v>0.2701861262548538</c:v>
              </c:pt>
              <c:pt idx="1217">
                <c:v>0.2701861262548538</c:v>
              </c:pt>
              <c:pt idx="1218">
                <c:v>0.2703461624213628</c:v>
              </c:pt>
              <c:pt idx="1219">
                <c:v>0.2703461624213628</c:v>
              </c:pt>
              <c:pt idx="1220">
                <c:v>0.2705061985878717</c:v>
              </c:pt>
              <c:pt idx="1221">
                <c:v>0.2705061985878717</c:v>
              </c:pt>
              <c:pt idx="1222">
                <c:v>0.27066623475438073</c:v>
              </c:pt>
              <c:pt idx="1223">
                <c:v>0.27066623475438073</c:v>
              </c:pt>
              <c:pt idx="1224">
                <c:v>0.27082627092088973</c:v>
              </c:pt>
              <c:pt idx="1225">
                <c:v>0.27082627092088973</c:v>
              </c:pt>
              <c:pt idx="1226">
                <c:v>0.27098630708739874</c:v>
              </c:pt>
              <c:pt idx="1227">
                <c:v>0.27098630708739874</c:v>
              </c:pt>
              <c:pt idx="1228">
                <c:v>0.27114634325390774</c:v>
              </c:pt>
              <c:pt idx="1229">
                <c:v>0.27114634325390774</c:v>
              </c:pt>
              <c:pt idx="1230">
                <c:v>0.27130637942041674</c:v>
              </c:pt>
              <c:pt idx="1231">
                <c:v>0.27130637942041674</c:v>
              </c:pt>
              <c:pt idx="1232">
                <c:v>0.2714664155869257</c:v>
              </c:pt>
              <c:pt idx="1233">
                <c:v>0.2714664155869257</c:v>
              </c:pt>
              <c:pt idx="1234">
                <c:v>0.2716264517534347</c:v>
              </c:pt>
              <c:pt idx="1235">
                <c:v>0.2716264517534347</c:v>
              </c:pt>
              <c:pt idx="1236">
                <c:v>0.2717864879199437</c:v>
              </c:pt>
              <c:pt idx="1237">
                <c:v>0.2717864879199437</c:v>
              </c:pt>
              <c:pt idx="1238">
                <c:v>0.2719465240864527</c:v>
              </c:pt>
              <c:pt idx="1239">
                <c:v>0.2719465240864527</c:v>
              </c:pt>
              <c:pt idx="1240">
                <c:v>0.2721065602529617</c:v>
              </c:pt>
              <c:pt idx="1241">
                <c:v>0.2721065602529617</c:v>
              </c:pt>
              <c:pt idx="1242">
                <c:v>0.27226659641947065</c:v>
              </c:pt>
              <c:pt idx="1243">
                <c:v>0.27226659641947065</c:v>
              </c:pt>
              <c:pt idx="1244">
                <c:v>0.27242663258597966</c:v>
              </c:pt>
              <c:pt idx="1245">
                <c:v>0.27242663258597966</c:v>
              </c:pt>
              <c:pt idx="1246">
                <c:v>0.27258666875248866</c:v>
              </c:pt>
              <c:pt idx="1247">
                <c:v>0.27258666875248866</c:v>
              </c:pt>
              <c:pt idx="1248">
                <c:v>0.27274670491899766</c:v>
              </c:pt>
              <c:pt idx="1249">
                <c:v>0.27274670491899766</c:v>
              </c:pt>
              <c:pt idx="1250">
                <c:v>0.27290674108550667</c:v>
              </c:pt>
              <c:pt idx="1251">
                <c:v>0.27290674108550667</c:v>
              </c:pt>
              <c:pt idx="1252">
                <c:v>0.2730667772520156</c:v>
              </c:pt>
              <c:pt idx="1253">
                <c:v>0.2730667772520156</c:v>
              </c:pt>
              <c:pt idx="1254">
                <c:v>0.2732268134185246</c:v>
              </c:pt>
              <c:pt idx="1255">
                <c:v>0.2732268134185246</c:v>
              </c:pt>
              <c:pt idx="1256">
                <c:v>0.2733868495850336</c:v>
              </c:pt>
              <c:pt idx="1257">
                <c:v>0.2733868495850336</c:v>
              </c:pt>
              <c:pt idx="1258">
                <c:v>0.2735468857515426</c:v>
              </c:pt>
              <c:pt idx="1259">
                <c:v>0.2735468857515426</c:v>
              </c:pt>
              <c:pt idx="1260">
                <c:v>0.2737069219180516</c:v>
              </c:pt>
              <c:pt idx="1261">
                <c:v>0.2737069219180516</c:v>
              </c:pt>
              <c:pt idx="1262">
                <c:v>0.2738669580845606</c:v>
              </c:pt>
              <c:pt idx="1263">
                <c:v>0.2738669580845606</c:v>
              </c:pt>
              <c:pt idx="1264">
                <c:v>0.2740269942510696</c:v>
              </c:pt>
              <c:pt idx="1265">
                <c:v>0.2740269942510696</c:v>
              </c:pt>
              <c:pt idx="1266">
                <c:v>0.2741870304175786</c:v>
              </c:pt>
              <c:pt idx="1267">
                <c:v>0.2741870304175786</c:v>
              </c:pt>
              <c:pt idx="1268">
                <c:v>0.2743470665840876</c:v>
              </c:pt>
              <c:pt idx="1269">
                <c:v>0.2743470665840876</c:v>
              </c:pt>
              <c:pt idx="1270">
                <c:v>0.2745071027505966</c:v>
              </c:pt>
              <c:pt idx="1271">
                <c:v>0.2745071027505966</c:v>
              </c:pt>
              <c:pt idx="1272">
                <c:v>0.27466713891710554</c:v>
              </c:pt>
              <c:pt idx="1273">
                <c:v>0.27466713891710554</c:v>
              </c:pt>
              <c:pt idx="1274">
                <c:v>0.27482717508361454</c:v>
              </c:pt>
              <c:pt idx="1275">
                <c:v>0.27482717508361454</c:v>
              </c:pt>
              <c:pt idx="1276">
                <c:v>0.27498721125012354</c:v>
              </c:pt>
              <c:pt idx="1277">
                <c:v>0.27498721125012354</c:v>
              </c:pt>
              <c:pt idx="1278">
                <c:v>0.27514724741663255</c:v>
              </c:pt>
              <c:pt idx="1279">
                <c:v>0.27514724741663255</c:v>
              </c:pt>
              <c:pt idx="1280">
                <c:v>0.27530728358314155</c:v>
              </c:pt>
              <c:pt idx="1281">
                <c:v>0.27530728358314155</c:v>
              </c:pt>
              <c:pt idx="1282">
                <c:v>0.2754673197496505</c:v>
              </c:pt>
              <c:pt idx="1283">
                <c:v>0.2754673197496505</c:v>
              </c:pt>
              <c:pt idx="1284">
                <c:v>0.2756273559161595</c:v>
              </c:pt>
              <c:pt idx="1285">
                <c:v>0.2756273559161595</c:v>
              </c:pt>
              <c:pt idx="1286">
                <c:v>0.2757873920826685</c:v>
              </c:pt>
              <c:pt idx="1287">
                <c:v>0.2757873920826685</c:v>
              </c:pt>
              <c:pt idx="1288">
                <c:v>0.2759474282491775</c:v>
              </c:pt>
              <c:pt idx="1289">
                <c:v>0.2759474282491775</c:v>
              </c:pt>
              <c:pt idx="1290">
                <c:v>0.2761074644156865</c:v>
              </c:pt>
              <c:pt idx="1291">
                <c:v>0.2761074644156865</c:v>
              </c:pt>
              <c:pt idx="1292">
                <c:v>0.27626750058219546</c:v>
              </c:pt>
              <c:pt idx="1293">
                <c:v>0.27626750058219546</c:v>
              </c:pt>
              <c:pt idx="1294">
                <c:v>0.27642753674870446</c:v>
              </c:pt>
              <c:pt idx="1295">
                <c:v>0.27642753674870446</c:v>
              </c:pt>
              <c:pt idx="1296">
                <c:v>0.27658757291521346</c:v>
              </c:pt>
              <c:pt idx="1297">
                <c:v>0.27658757291521346</c:v>
              </c:pt>
              <c:pt idx="1298">
                <c:v>0.27674760908172247</c:v>
              </c:pt>
              <c:pt idx="1299">
                <c:v>0.27674760908172247</c:v>
              </c:pt>
              <c:pt idx="1300">
                <c:v>0.27690764524823147</c:v>
              </c:pt>
              <c:pt idx="1301">
                <c:v>0.27690764524823147</c:v>
              </c:pt>
              <c:pt idx="1302">
                <c:v>0.2770676814147405</c:v>
              </c:pt>
              <c:pt idx="1303">
                <c:v>0.2770676814147405</c:v>
              </c:pt>
              <c:pt idx="1304">
                <c:v>0.2772277175812494</c:v>
              </c:pt>
              <c:pt idx="1305">
                <c:v>0.2772277175812494</c:v>
              </c:pt>
              <c:pt idx="1306">
                <c:v>0.2773877537477584</c:v>
              </c:pt>
              <c:pt idx="1307">
                <c:v>0.2773877537477584</c:v>
              </c:pt>
              <c:pt idx="1308">
                <c:v>0.27754778991426743</c:v>
              </c:pt>
              <c:pt idx="1309">
                <c:v>0.27754778991426743</c:v>
              </c:pt>
              <c:pt idx="1310">
                <c:v>0.27770782608077643</c:v>
              </c:pt>
              <c:pt idx="1311">
                <c:v>0.27770782608077643</c:v>
              </c:pt>
              <c:pt idx="1312">
                <c:v>0.27786786224728544</c:v>
              </c:pt>
              <c:pt idx="1313">
                <c:v>0.27786786224728544</c:v>
              </c:pt>
              <c:pt idx="1314">
                <c:v>0.2780278984137944</c:v>
              </c:pt>
              <c:pt idx="1315">
                <c:v>0.2780278984137944</c:v>
              </c:pt>
              <c:pt idx="1316">
                <c:v>0.2781879345803034</c:v>
              </c:pt>
              <c:pt idx="1317">
                <c:v>0.2781879345803034</c:v>
              </c:pt>
              <c:pt idx="1318">
                <c:v>0.2783479707468124</c:v>
              </c:pt>
              <c:pt idx="1319">
                <c:v>0.2783479707468124</c:v>
              </c:pt>
              <c:pt idx="1320">
                <c:v>0.2785080069133214</c:v>
              </c:pt>
              <c:pt idx="1321">
                <c:v>0.2785080069133214</c:v>
              </c:pt>
              <c:pt idx="1322">
                <c:v>0.2786680430798304</c:v>
              </c:pt>
              <c:pt idx="1323">
                <c:v>0.2786680430798304</c:v>
              </c:pt>
              <c:pt idx="1324">
                <c:v>0.27882807924633934</c:v>
              </c:pt>
              <c:pt idx="1325">
                <c:v>0.27882807924633934</c:v>
              </c:pt>
              <c:pt idx="1326">
                <c:v>0.27898811541284835</c:v>
              </c:pt>
              <c:pt idx="1327">
                <c:v>0.27898811541284835</c:v>
              </c:pt>
              <c:pt idx="1328">
                <c:v>0.2790567023413522</c:v>
              </c:pt>
              <c:pt idx="1329">
                <c:v>0.2790567023413522</c:v>
              </c:pt>
              <c:pt idx="1330">
                <c:v>0.2790567023413522</c:v>
              </c:pt>
              <c:pt idx="1331">
                <c:v>0.2790567023413522</c:v>
              </c:pt>
              <c:pt idx="1332">
                <c:v>0.2790567023413522</c:v>
              </c:pt>
              <c:pt idx="1333">
                <c:v>0.2790567023413522</c:v>
              </c:pt>
              <c:pt idx="1334">
                <c:v>0.2792167385078612</c:v>
              </c:pt>
              <c:pt idx="1335">
                <c:v>0.2792167385078612</c:v>
              </c:pt>
              <c:pt idx="1336">
                <c:v>0.2793767746743702</c:v>
              </c:pt>
              <c:pt idx="1337">
                <c:v>0.2793767746743702</c:v>
              </c:pt>
              <c:pt idx="1338">
                <c:v>0.27953681084087917</c:v>
              </c:pt>
              <c:pt idx="1339">
                <c:v>0.27953681084087917</c:v>
              </c:pt>
              <c:pt idx="1340">
                <c:v>0.27969684700738817</c:v>
              </c:pt>
              <c:pt idx="1341">
                <c:v>0.27969684700738817</c:v>
              </c:pt>
              <c:pt idx="1342">
                <c:v>0.2798568831738972</c:v>
              </c:pt>
              <c:pt idx="1343">
                <c:v>0.2798568831738972</c:v>
              </c:pt>
              <c:pt idx="1344">
                <c:v>0.2800169193404062</c:v>
              </c:pt>
              <c:pt idx="1345">
                <c:v>0.2800169193404062</c:v>
              </c:pt>
              <c:pt idx="1346">
                <c:v>0.2801769555069152</c:v>
              </c:pt>
              <c:pt idx="1347">
                <c:v>0.2801769555069152</c:v>
              </c:pt>
              <c:pt idx="1348">
                <c:v>0.28033699167342413</c:v>
              </c:pt>
              <c:pt idx="1349">
                <c:v>0.28033699167342413</c:v>
              </c:pt>
              <c:pt idx="1350">
                <c:v>0.28049702783993313</c:v>
              </c:pt>
              <c:pt idx="1351">
                <c:v>0.28049702783993313</c:v>
              </c:pt>
              <c:pt idx="1352">
                <c:v>0.28065706400644214</c:v>
              </c:pt>
              <c:pt idx="1353">
                <c:v>0.28065706400644214</c:v>
              </c:pt>
              <c:pt idx="1354">
                <c:v>0.28081710017295114</c:v>
              </c:pt>
              <c:pt idx="1355">
                <c:v>0.28081710017295114</c:v>
              </c:pt>
              <c:pt idx="1356">
                <c:v>0.28097713633946014</c:v>
              </c:pt>
              <c:pt idx="1357">
                <c:v>0.28097713633946014</c:v>
              </c:pt>
              <c:pt idx="1358">
                <c:v>0.2811371725059691</c:v>
              </c:pt>
              <c:pt idx="1359">
                <c:v>0.2811371725059691</c:v>
              </c:pt>
              <c:pt idx="1360">
                <c:v>0.2812972086724781</c:v>
              </c:pt>
              <c:pt idx="1361">
                <c:v>0.2812972086724781</c:v>
              </c:pt>
              <c:pt idx="1362">
                <c:v>0.2814572448389871</c:v>
              </c:pt>
              <c:pt idx="1363">
                <c:v>0.2814572448389871</c:v>
              </c:pt>
              <c:pt idx="1364">
                <c:v>0.2816172810054961</c:v>
              </c:pt>
              <c:pt idx="1365">
                <c:v>0.2816172810054961</c:v>
              </c:pt>
              <c:pt idx="1366">
                <c:v>0.2817773171720051</c:v>
              </c:pt>
              <c:pt idx="1367">
                <c:v>0.2817773171720051</c:v>
              </c:pt>
              <c:pt idx="1368">
                <c:v>0.28193735333851405</c:v>
              </c:pt>
              <c:pt idx="1369">
                <c:v>0.28193735333851405</c:v>
              </c:pt>
              <c:pt idx="1370">
                <c:v>0.28209738950502306</c:v>
              </c:pt>
              <c:pt idx="1371">
                <c:v>0.28209738950502306</c:v>
              </c:pt>
              <c:pt idx="1372">
                <c:v>0.28225742567153206</c:v>
              </c:pt>
              <c:pt idx="1373">
                <c:v>0.28225742567153206</c:v>
              </c:pt>
              <c:pt idx="1374">
                <c:v>0.28241746183804106</c:v>
              </c:pt>
              <c:pt idx="1375">
                <c:v>0.28241746183804106</c:v>
              </c:pt>
              <c:pt idx="1376">
                <c:v>0.28257749800455007</c:v>
              </c:pt>
              <c:pt idx="1377">
                <c:v>0.28257749800455007</c:v>
              </c:pt>
              <c:pt idx="1378">
                <c:v>0.28273753417105907</c:v>
              </c:pt>
              <c:pt idx="1379">
                <c:v>0.28273753417105907</c:v>
              </c:pt>
              <c:pt idx="1380">
                <c:v>0.282897570337568</c:v>
              </c:pt>
              <c:pt idx="1381">
                <c:v>0.282897570337568</c:v>
              </c:pt>
              <c:pt idx="1382">
                <c:v>0.283057606504077</c:v>
              </c:pt>
              <c:pt idx="1383">
                <c:v>0.283057606504077</c:v>
              </c:pt>
              <c:pt idx="1384">
                <c:v>0.283217642670586</c:v>
              </c:pt>
              <c:pt idx="1385">
                <c:v>0.283217642670586</c:v>
              </c:pt>
              <c:pt idx="1386">
                <c:v>0.283377678837095</c:v>
              </c:pt>
              <c:pt idx="1387">
                <c:v>0.283377678837095</c:v>
              </c:pt>
              <c:pt idx="1388">
                <c:v>0.28353771500360403</c:v>
              </c:pt>
              <c:pt idx="1389">
                <c:v>0.28353771500360403</c:v>
              </c:pt>
              <c:pt idx="1390">
                <c:v>0.283697751170113</c:v>
              </c:pt>
              <c:pt idx="1391">
                <c:v>0.283697751170113</c:v>
              </c:pt>
              <c:pt idx="1392">
                <c:v>0.283857787336622</c:v>
              </c:pt>
              <c:pt idx="1393">
                <c:v>0.283857787336622</c:v>
              </c:pt>
              <c:pt idx="1394">
                <c:v>0.284017823503131</c:v>
              </c:pt>
              <c:pt idx="1395">
                <c:v>0.284017823503131</c:v>
              </c:pt>
              <c:pt idx="1396">
                <c:v>0.28417785966964</c:v>
              </c:pt>
              <c:pt idx="1397">
                <c:v>0.28417785966964</c:v>
              </c:pt>
              <c:pt idx="1398">
                <c:v>0.284337895836149</c:v>
              </c:pt>
              <c:pt idx="1399">
                <c:v>0.284337895836149</c:v>
              </c:pt>
              <c:pt idx="1400">
                <c:v>0.28449793200265794</c:v>
              </c:pt>
              <c:pt idx="1401">
                <c:v>0.28449793200265794</c:v>
              </c:pt>
              <c:pt idx="1402">
                <c:v>0.28465796816916694</c:v>
              </c:pt>
              <c:pt idx="1403">
                <c:v>0.28465796816916694</c:v>
              </c:pt>
              <c:pt idx="1404">
                <c:v>0.28481800433567594</c:v>
              </c:pt>
              <c:pt idx="1405">
                <c:v>0.28481800433567594</c:v>
              </c:pt>
              <c:pt idx="1406">
                <c:v>0.28497804050218495</c:v>
              </c:pt>
              <c:pt idx="1407">
                <c:v>0.28497804050218495</c:v>
              </c:pt>
              <c:pt idx="1408">
                <c:v>0.28513807666869395</c:v>
              </c:pt>
              <c:pt idx="1409">
                <c:v>0.28513807666869395</c:v>
              </c:pt>
              <c:pt idx="1410">
                <c:v>0.2852981128352029</c:v>
              </c:pt>
              <c:pt idx="1411">
                <c:v>0.2852981128352029</c:v>
              </c:pt>
              <c:pt idx="1412">
                <c:v>0.2854581490017119</c:v>
              </c:pt>
              <c:pt idx="1413">
                <c:v>0.2854581490017119</c:v>
              </c:pt>
              <c:pt idx="1414">
                <c:v>0.2856181851682209</c:v>
              </c:pt>
              <c:pt idx="1415">
                <c:v>0.2856181851682209</c:v>
              </c:pt>
              <c:pt idx="1416">
                <c:v>0.2857782213347299</c:v>
              </c:pt>
              <c:pt idx="1417">
                <c:v>0.2857782213347299</c:v>
              </c:pt>
              <c:pt idx="1418">
                <c:v>0.2859382575012389</c:v>
              </c:pt>
              <c:pt idx="1419">
                <c:v>0.2859382575012389</c:v>
              </c:pt>
              <c:pt idx="1420">
                <c:v>0.28609829366774786</c:v>
              </c:pt>
              <c:pt idx="1421">
                <c:v>0.28609829366774786</c:v>
              </c:pt>
              <c:pt idx="1422">
                <c:v>0.28625832983425686</c:v>
              </c:pt>
              <c:pt idx="1423">
                <c:v>0.28625832983425686</c:v>
              </c:pt>
              <c:pt idx="1424">
                <c:v>0.28641836600076587</c:v>
              </c:pt>
              <c:pt idx="1425">
                <c:v>0.28641836600076587</c:v>
              </c:pt>
              <c:pt idx="1426">
                <c:v>0.28657840216727487</c:v>
              </c:pt>
              <c:pt idx="1427">
                <c:v>0.28657840216727487</c:v>
              </c:pt>
              <c:pt idx="1428">
                <c:v>0.2867384383337839</c:v>
              </c:pt>
              <c:pt idx="1429">
                <c:v>0.2867384383337839</c:v>
              </c:pt>
              <c:pt idx="1430">
                <c:v>0.2868984745002928</c:v>
              </c:pt>
              <c:pt idx="1431">
                <c:v>0.2868984745002928</c:v>
              </c:pt>
              <c:pt idx="1432">
                <c:v>0.2870585106668018</c:v>
              </c:pt>
              <c:pt idx="1433">
                <c:v>0.2870585106668018</c:v>
              </c:pt>
              <c:pt idx="1434">
                <c:v>0.28721854683331083</c:v>
              </c:pt>
              <c:pt idx="1435">
                <c:v>0.28721854683331083</c:v>
              </c:pt>
              <c:pt idx="1436">
                <c:v>0.28737858299981983</c:v>
              </c:pt>
              <c:pt idx="1437">
                <c:v>0.28737858299981983</c:v>
              </c:pt>
              <c:pt idx="1438">
                <c:v>0.28753861916632883</c:v>
              </c:pt>
              <c:pt idx="1439">
                <c:v>0.28753861916632883</c:v>
              </c:pt>
              <c:pt idx="1440">
                <c:v>0.2876986553328378</c:v>
              </c:pt>
              <c:pt idx="1441">
                <c:v>0.2876986553328378</c:v>
              </c:pt>
              <c:pt idx="1442">
                <c:v>0.2878586914993468</c:v>
              </c:pt>
              <c:pt idx="1443">
                <c:v>0.2878586914993468</c:v>
              </c:pt>
              <c:pt idx="1444">
                <c:v>0.2880187276658558</c:v>
              </c:pt>
              <c:pt idx="1445">
                <c:v>0.2880187276658558</c:v>
              </c:pt>
              <c:pt idx="1446">
                <c:v>0.2881787638323648</c:v>
              </c:pt>
              <c:pt idx="1447">
                <c:v>0.2881787638323648</c:v>
              </c:pt>
              <c:pt idx="1448">
                <c:v>0.2883387999988738</c:v>
              </c:pt>
              <c:pt idx="1449">
                <c:v>0.2883387999988738</c:v>
              </c:pt>
              <c:pt idx="1450">
                <c:v>0.28849883616538274</c:v>
              </c:pt>
              <c:pt idx="1451">
                <c:v>0.28849883616538274</c:v>
              </c:pt>
              <c:pt idx="1452">
                <c:v>0.28865887233189175</c:v>
              </c:pt>
              <c:pt idx="1453">
                <c:v>0.28865887233189175</c:v>
              </c:pt>
              <c:pt idx="1454">
                <c:v>0.28881890849840075</c:v>
              </c:pt>
              <c:pt idx="1455">
                <c:v>0.28881890849840075</c:v>
              </c:pt>
              <c:pt idx="1456">
                <c:v>0.28897894466490975</c:v>
              </c:pt>
              <c:pt idx="1457">
                <c:v>0.28897894466490975</c:v>
              </c:pt>
              <c:pt idx="1458">
                <c:v>0.28913898083141876</c:v>
              </c:pt>
              <c:pt idx="1459">
                <c:v>0.28913898083141876</c:v>
              </c:pt>
              <c:pt idx="1460">
                <c:v>0.28929901699792776</c:v>
              </c:pt>
              <c:pt idx="1461">
                <c:v>0.28929901699792776</c:v>
              </c:pt>
              <c:pt idx="1462">
                <c:v>0.2894590531644367</c:v>
              </c:pt>
              <c:pt idx="1463">
                <c:v>0.2894590531644367</c:v>
              </c:pt>
              <c:pt idx="1464">
                <c:v>0.2896190893309457</c:v>
              </c:pt>
              <c:pt idx="1465">
                <c:v>0.2896190893309457</c:v>
              </c:pt>
              <c:pt idx="1466">
                <c:v>0.2897791254974547</c:v>
              </c:pt>
              <c:pt idx="1467">
                <c:v>0.2897791254974547</c:v>
              </c:pt>
              <c:pt idx="1468">
                <c:v>0.2899391616639637</c:v>
              </c:pt>
              <c:pt idx="1469">
                <c:v>0.2899391616639637</c:v>
              </c:pt>
              <c:pt idx="1470">
                <c:v>0.2900991978304727</c:v>
              </c:pt>
              <c:pt idx="1471">
                <c:v>0.2900991978304727</c:v>
              </c:pt>
              <c:pt idx="1472">
                <c:v>0.29025923399698167</c:v>
              </c:pt>
              <c:pt idx="1473">
                <c:v>0.29025923399698167</c:v>
              </c:pt>
              <c:pt idx="1474">
                <c:v>0.2904192701634907</c:v>
              </c:pt>
              <c:pt idx="1475">
                <c:v>0.2904192701634907</c:v>
              </c:pt>
              <c:pt idx="1476">
                <c:v>0.29048785709199454</c:v>
              </c:pt>
              <c:pt idx="1477">
                <c:v>0.29048785709199454</c:v>
              </c:pt>
              <c:pt idx="1478">
                <c:v>0.29048785709199454</c:v>
              </c:pt>
              <c:pt idx="1479">
                <c:v>0.29048785709199454</c:v>
              </c:pt>
              <c:pt idx="1480">
                <c:v>0.29048785709199454</c:v>
              </c:pt>
              <c:pt idx="1481">
                <c:v>0.29048785709199454</c:v>
              </c:pt>
              <c:pt idx="1482">
                <c:v>0.29064789325850354</c:v>
              </c:pt>
              <c:pt idx="1483">
                <c:v>0.29064789325850354</c:v>
              </c:pt>
              <c:pt idx="1484">
                <c:v>0.29080792942501255</c:v>
              </c:pt>
              <c:pt idx="1485">
                <c:v>0.29080792942501255</c:v>
              </c:pt>
              <c:pt idx="1486">
                <c:v>0.2909679655915215</c:v>
              </c:pt>
              <c:pt idx="1487">
                <c:v>0.2909679655915215</c:v>
              </c:pt>
              <c:pt idx="1488">
                <c:v>0.2911280017580305</c:v>
              </c:pt>
              <c:pt idx="1489">
                <c:v>0.2911280017580305</c:v>
              </c:pt>
              <c:pt idx="1490">
                <c:v>0.2912880379245395</c:v>
              </c:pt>
              <c:pt idx="1491">
                <c:v>0.2912880379245395</c:v>
              </c:pt>
              <c:pt idx="1492">
                <c:v>0.2914480740910485</c:v>
              </c:pt>
              <c:pt idx="1493">
                <c:v>0.2914480740910485</c:v>
              </c:pt>
              <c:pt idx="1494">
                <c:v>0.2916081102575575</c:v>
              </c:pt>
              <c:pt idx="1495">
                <c:v>0.2916081102575575</c:v>
              </c:pt>
              <c:pt idx="1496">
                <c:v>0.29176814642406645</c:v>
              </c:pt>
              <c:pt idx="1497">
                <c:v>0.29176814642406645</c:v>
              </c:pt>
              <c:pt idx="1498">
                <c:v>0.29192818259057546</c:v>
              </c:pt>
              <c:pt idx="1499">
                <c:v>0.29192818259057546</c:v>
              </c:pt>
              <c:pt idx="1500">
                <c:v>0.29208821875708446</c:v>
              </c:pt>
              <c:pt idx="1501">
                <c:v>0.29208821875708446</c:v>
              </c:pt>
              <c:pt idx="1502">
                <c:v>0.29224825492359346</c:v>
              </c:pt>
              <c:pt idx="1503">
                <c:v>0.29224825492359346</c:v>
              </c:pt>
              <c:pt idx="1504">
                <c:v>0.29240829109010247</c:v>
              </c:pt>
              <c:pt idx="1505">
                <c:v>0.29240829109010247</c:v>
              </c:pt>
              <c:pt idx="1506">
                <c:v>0.2925683272566114</c:v>
              </c:pt>
              <c:pt idx="1507">
                <c:v>0.2925683272566114</c:v>
              </c:pt>
              <c:pt idx="1508">
                <c:v>0.2927283634231204</c:v>
              </c:pt>
              <c:pt idx="1509">
                <c:v>0.2927283634231204</c:v>
              </c:pt>
              <c:pt idx="1510">
                <c:v>0.2928883995896294</c:v>
              </c:pt>
              <c:pt idx="1511">
                <c:v>0.2928883995896294</c:v>
              </c:pt>
              <c:pt idx="1512">
                <c:v>0.2930484357561384</c:v>
              </c:pt>
              <c:pt idx="1513">
                <c:v>0.2930484357561384</c:v>
              </c:pt>
              <c:pt idx="1514">
                <c:v>0.29320847192264743</c:v>
              </c:pt>
              <c:pt idx="1515">
                <c:v>0.29320847192264743</c:v>
              </c:pt>
              <c:pt idx="1516">
                <c:v>0.2933685080891564</c:v>
              </c:pt>
              <c:pt idx="1517">
                <c:v>0.2933685080891564</c:v>
              </c:pt>
              <c:pt idx="1518">
                <c:v>0.2935285442556654</c:v>
              </c:pt>
              <c:pt idx="1519">
                <c:v>0.2935285442556654</c:v>
              </c:pt>
              <c:pt idx="1520">
                <c:v>0.2936885804221744</c:v>
              </c:pt>
              <c:pt idx="1521">
                <c:v>0.2936885804221744</c:v>
              </c:pt>
              <c:pt idx="1522">
                <c:v>0.2938486165886834</c:v>
              </c:pt>
              <c:pt idx="1523">
                <c:v>0.2938486165886834</c:v>
              </c:pt>
              <c:pt idx="1524">
                <c:v>0.2940086527551924</c:v>
              </c:pt>
              <c:pt idx="1525">
                <c:v>0.2940086527551924</c:v>
              </c:pt>
              <c:pt idx="1526">
                <c:v>0.2941686889217014</c:v>
              </c:pt>
              <c:pt idx="1527">
                <c:v>0.2941686889217014</c:v>
              </c:pt>
              <c:pt idx="1528">
                <c:v>0.29432872508821034</c:v>
              </c:pt>
              <c:pt idx="1529">
                <c:v>0.29432872508821034</c:v>
              </c:pt>
              <c:pt idx="1530">
                <c:v>0.29448876125471934</c:v>
              </c:pt>
              <c:pt idx="1531">
                <c:v>0.29448876125471934</c:v>
              </c:pt>
              <c:pt idx="1532">
                <c:v>0.29464879742122835</c:v>
              </c:pt>
              <c:pt idx="1533">
                <c:v>0.29464879742122835</c:v>
              </c:pt>
              <c:pt idx="1534">
                <c:v>0.29480883358773735</c:v>
              </c:pt>
              <c:pt idx="1535">
                <c:v>0.29480883358773735</c:v>
              </c:pt>
              <c:pt idx="1536">
                <c:v>0.29496886975424635</c:v>
              </c:pt>
              <c:pt idx="1537">
                <c:v>0.29496886975424635</c:v>
              </c:pt>
              <c:pt idx="1538">
                <c:v>0.2951289059207553</c:v>
              </c:pt>
              <c:pt idx="1539">
                <c:v>0.2951289059207553</c:v>
              </c:pt>
              <c:pt idx="1540">
                <c:v>0.2952889420872643</c:v>
              </c:pt>
              <c:pt idx="1541">
                <c:v>0.2952889420872643</c:v>
              </c:pt>
              <c:pt idx="1542">
                <c:v>0.2954489782537733</c:v>
              </c:pt>
              <c:pt idx="1543">
                <c:v>0.2954489782537733</c:v>
              </c:pt>
              <c:pt idx="1544">
                <c:v>0.2956090144202823</c:v>
              </c:pt>
              <c:pt idx="1545">
                <c:v>0.2956090144202823</c:v>
              </c:pt>
              <c:pt idx="1546">
                <c:v>0.2957690505867913</c:v>
              </c:pt>
              <c:pt idx="1547">
                <c:v>0.2957690505867913</c:v>
              </c:pt>
              <c:pt idx="1548">
                <c:v>0.29592908675330026</c:v>
              </c:pt>
              <c:pt idx="1549">
                <c:v>0.29592908675330026</c:v>
              </c:pt>
              <c:pt idx="1550">
                <c:v>0.29608912291980927</c:v>
              </c:pt>
              <c:pt idx="1551">
                <c:v>0.29608912291980927</c:v>
              </c:pt>
              <c:pt idx="1552">
                <c:v>0.29624915908631827</c:v>
              </c:pt>
              <c:pt idx="1553">
                <c:v>0.29624915908631827</c:v>
              </c:pt>
              <c:pt idx="1554">
                <c:v>0.2964091952528273</c:v>
              </c:pt>
              <c:pt idx="1555">
                <c:v>0.2964091952528273</c:v>
              </c:pt>
              <c:pt idx="1556">
                <c:v>0.2965692314193363</c:v>
              </c:pt>
              <c:pt idx="1557">
                <c:v>0.2965692314193363</c:v>
              </c:pt>
              <c:pt idx="1558">
                <c:v>0.2967292675858452</c:v>
              </c:pt>
              <c:pt idx="1559">
                <c:v>0.2967292675858452</c:v>
              </c:pt>
              <c:pt idx="1560">
                <c:v>0.29688930375235423</c:v>
              </c:pt>
              <c:pt idx="1561">
                <c:v>0.29688930375235423</c:v>
              </c:pt>
              <c:pt idx="1562">
                <c:v>0.29704933991886323</c:v>
              </c:pt>
              <c:pt idx="1563">
                <c:v>0.29704933991886323</c:v>
              </c:pt>
              <c:pt idx="1564">
                <c:v>0.29720937608537223</c:v>
              </c:pt>
              <c:pt idx="1565">
                <c:v>0.29720937608537223</c:v>
              </c:pt>
              <c:pt idx="1566">
                <c:v>0.29736941225188124</c:v>
              </c:pt>
              <c:pt idx="1567">
                <c:v>0.29736941225188124</c:v>
              </c:pt>
              <c:pt idx="1568">
                <c:v>0.2975294484183902</c:v>
              </c:pt>
              <c:pt idx="1569">
                <c:v>0.2975294484183902</c:v>
              </c:pt>
              <c:pt idx="1570">
                <c:v>0.2976894845848992</c:v>
              </c:pt>
              <c:pt idx="1571">
                <c:v>0.2976894845848992</c:v>
              </c:pt>
              <c:pt idx="1572">
                <c:v>0.2978495207514082</c:v>
              </c:pt>
              <c:pt idx="1573">
                <c:v>0.2978495207514082</c:v>
              </c:pt>
              <c:pt idx="1574">
                <c:v>0.2980095569179172</c:v>
              </c:pt>
              <c:pt idx="1575">
                <c:v>0.2980095569179172</c:v>
              </c:pt>
              <c:pt idx="1576">
                <c:v>0.2981695930844262</c:v>
              </c:pt>
              <c:pt idx="1577">
                <c:v>0.2981695930844262</c:v>
              </c:pt>
              <c:pt idx="1578">
                <c:v>0.29832962925093515</c:v>
              </c:pt>
              <c:pt idx="1579">
                <c:v>0.29832962925093515</c:v>
              </c:pt>
              <c:pt idx="1580">
                <c:v>0.29848966541744415</c:v>
              </c:pt>
              <c:pt idx="1581">
                <c:v>0.29848966541744415</c:v>
              </c:pt>
              <c:pt idx="1582">
                <c:v>0.29864970158395315</c:v>
              </c:pt>
              <c:pt idx="1583">
                <c:v>0.29864970158395315</c:v>
              </c:pt>
              <c:pt idx="1584">
                <c:v>0.29880973775046216</c:v>
              </c:pt>
              <c:pt idx="1585">
                <c:v>0.29880973775046216</c:v>
              </c:pt>
              <c:pt idx="1586">
                <c:v>0.29896977391697116</c:v>
              </c:pt>
              <c:pt idx="1587">
                <c:v>0.29896977391697116</c:v>
              </c:pt>
              <c:pt idx="1588">
                <c:v>0.2991298100834801</c:v>
              </c:pt>
              <c:pt idx="1589">
                <c:v>0.2991298100834801</c:v>
              </c:pt>
              <c:pt idx="1590">
                <c:v>0.2992898462499891</c:v>
              </c:pt>
              <c:pt idx="1591">
                <c:v>0.2992898462499891</c:v>
              </c:pt>
              <c:pt idx="1592">
                <c:v>0.2994498824164981</c:v>
              </c:pt>
              <c:pt idx="1593">
                <c:v>0.2994498824164981</c:v>
              </c:pt>
              <c:pt idx="1594">
                <c:v>0.2996099185830071</c:v>
              </c:pt>
              <c:pt idx="1595">
                <c:v>0.2996099185830071</c:v>
              </c:pt>
              <c:pt idx="1596">
                <c:v>0.2997699547495161</c:v>
              </c:pt>
              <c:pt idx="1597">
                <c:v>0.2997699547495161</c:v>
              </c:pt>
              <c:pt idx="1598">
                <c:v>0.2999299909160251</c:v>
              </c:pt>
              <c:pt idx="1599">
                <c:v>0.2999299909160251</c:v>
              </c:pt>
              <c:pt idx="1600">
                <c:v>0.30009002708253407</c:v>
              </c:pt>
              <c:pt idx="1601">
                <c:v>0.30009002708253407</c:v>
              </c:pt>
              <c:pt idx="1602">
                <c:v>0.3002500632490431</c:v>
              </c:pt>
              <c:pt idx="1603">
                <c:v>0.3002500632490431</c:v>
              </c:pt>
              <c:pt idx="1604">
                <c:v>0.3004100994155521</c:v>
              </c:pt>
              <c:pt idx="1605">
                <c:v>0.3004100994155521</c:v>
              </c:pt>
              <c:pt idx="1606">
                <c:v>0.3005701355820611</c:v>
              </c:pt>
              <c:pt idx="1607">
                <c:v>0.3005701355820611</c:v>
              </c:pt>
              <c:pt idx="1608">
                <c:v>0.3007301717485701</c:v>
              </c:pt>
              <c:pt idx="1609">
                <c:v>0.3007301717485701</c:v>
              </c:pt>
              <c:pt idx="1610">
                <c:v>0.30089020791507903</c:v>
              </c:pt>
              <c:pt idx="1611">
                <c:v>0.30089020791507903</c:v>
              </c:pt>
              <c:pt idx="1612">
                <c:v>0.30105024408158804</c:v>
              </c:pt>
              <c:pt idx="1613">
                <c:v>0.30105024408158804</c:v>
              </c:pt>
              <c:pt idx="1614">
                <c:v>0.30121028024809704</c:v>
              </c:pt>
              <c:pt idx="1615">
                <c:v>0.30121028024809704</c:v>
              </c:pt>
              <c:pt idx="1616">
                <c:v>0.30137031641460604</c:v>
              </c:pt>
              <c:pt idx="1617">
                <c:v>0.30137031641460604</c:v>
              </c:pt>
              <c:pt idx="1618">
                <c:v>0.30153035258111505</c:v>
              </c:pt>
              <c:pt idx="1619">
                <c:v>0.30153035258111505</c:v>
              </c:pt>
              <c:pt idx="1620">
                <c:v>0.301690388747624</c:v>
              </c:pt>
              <c:pt idx="1621">
                <c:v>0.301690388747624</c:v>
              </c:pt>
              <c:pt idx="1622">
                <c:v>0.301850424914133</c:v>
              </c:pt>
              <c:pt idx="1623">
                <c:v>0.301850424914133</c:v>
              </c:pt>
              <c:pt idx="1624">
                <c:v>0.3019190118426368</c:v>
              </c:pt>
              <c:pt idx="1625">
                <c:v>0.3019190118426368</c:v>
              </c:pt>
              <c:pt idx="1626">
                <c:v>0.3019190118426368</c:v>
              </c:pt>
              <c:pt idx="1627">
                <c:v>0.3019190118426368</c:v>
              </c:pt>
              <c:pt idx="1628">
                <c:v>0.3019190118426368</c:v>
              </c:pt>
              <c:pt idx="1629">
                <c:v>0.3019190118426368</c:v>
              </c:pt>
              <c:pt idx="1630">
                <c:v>0.3020790480091458</c:v>
              </c:pt>
              <c:pt idx="1631">
                <c:v>0.3020790480091458</c:v>
              </c:pt>
              <c:pt idx="1632">
                <c:v>0.3022390841756548</c:v>
              </c:pt>
              <c:pt idx="1633">
                <c:v>0.3022390841756548</c:v>
              </c:pt>
              <c:pt idx="1634">
                <c:v>0.30239912034216376</c:v>
              </c:pt>
              <c:pt idx="1635">
                <c:v>0.30239912034216376</c:v>
              </c:pt>
              <c:pt idx="1636">
                <c:v>0.30255915650867277</c:v>
              </c:pt>
              <c:pt idx="1637">
                <c:v>0.30255915650867277</c:v>
              </c:pt>
              <c:pt idx="1638">
                <c:v>0.30271919267518177</c:v>
              </c:pt>
              <c:pt idx="1639">
                <c:v>0.30271919267518177</c:v>
              </c:pt>
              <c:pt idx="1640">
                <c:v>0.3028792288416908</c:v>
              </c:pt>
              <c:pt idx="1641">
                <c:v>0.3028792288416908</c:v>
              </c:pt>
              <c:pt idx="1642">
                <c:v>0.3030392650081998</c:v>
              </c:pt>
              <c:pt idx="1643">
                <c:v>0.3030392650081998</c:v>
              </c:pt>
              <c:pt idx="1644">
                <c:v>0.3031993011747087</c:v>
              </c:pt>
              <c:pt idx="1645">
                <c:v>0.3031993011747087</c:v>
              </c:pt>
              <c:pt idx="1646">
                <c:v>0.3033593373412177</c:v>
              </c:pt>
              <c:pt idx="1647">
                <c:v>0.3033593373412177</c:v>
              </c:pt>
              <c:pt idx="1648">
                <c:v>0.30351937350772673</c:v>
              </c:pt>
              <c:pt idx="1649">
                <c:v>0.30351937350772673</c:v>
              </c:pt>
              <c:pt idx="1650">
                <c:v>0.30367940967423573</c:v>
              </c:pt>
              <c:pt idx="1651">
                <c:v>0.30367940967423573</c:v>
              </c:pt>
              <c:pt idx="1652">
                <c:v>0.30383944584074474</c:v>
              </c:pt>
              <c:pt idx="1653">
                <c:v>0.30383944584074474</c:v>
              </c:pt>
              <c:pt idx="1654">
                <c:v>0.3039994820072537</c:v>
              </c:pt>
              <c:pt idx="1655">
                <c:v>0.3039994820072537</c:v>
              </c:pt>
              <c:pt idx="1656">
                <c:v>0.3041595181737627</c:v>
              </c:pt>
              <c:pt idx="1657">
                <c:v>0.3041595181737627</c:v>
              </c:pt>
              <c:pt idx="1658">
                <c:v>0.3043195543402717</c:v>
              </c:pt>
              <c:pt idx="1659">
                <c:v>0.3043195543402717</c:v>
              </c:pt>
              <c:pt idx="1660">
                <c:v>0.3044795905067807</c:v>
              </c:pt>
              <c:pt idx="1661">
                <c:v>0.3044795905067807</c:v>
              </c:pt>
              <c:pt idx="1662">
                <c:v>0.3046396266732897</c:v>
              </c:pt>
              <c:pt idx="1663">
                <c:v>0.3046396266732897</c:v>
              </c:pt>
              <c:pt idx="1664">
                <c:v>0.30479966283979865</c:v>
              </c:pt>
              <c:pt idx="1665">
                <c:v>0.30479966283979865</c:v>
              </c:pt>
              <c:pt idx="1666">
                <c:v>0.30495969900630765</c:v>
              </c:pt>
              <c:pt idx="1667">
                <c:v>0.30495969900630765</c:v>
              </c:pt>
              <c:pt idx="1668">
                <c:v>0.30511973517281665</c:v>
              </c:pt>
              <c:pt idx="1669">
                <c:v>0.30511973517281665</c:v>
              </c:pt>
              <c:pt idx="1670">
                <c:v>0.30527977133932566</c:v>
              </c:pt>
              <c:pt idx="1671">
                <c:v>0.30527977133932566</c:v>
              </c:pt>
              <c:pt idx="1672">
                <c:v>0.30543980750583466</c:v>
              </c:pt>
              <c:pt idx="1673">
                <c:v>0.30543980750583466</c:v>
              </c:pt>
              <c:pt idx="1674">
                <c:v>0.30559984367234366</c:v>
              </c:pt>
              <c:pt idx="1675">
                <c:v>0.30559984367234366</c:v>
              </c:pt>
              <c:pt idx="1676">
                <c:v>0.3057598798388526</c:v>
              </c:pt>
              <c:pt idx="1677">
                <c:v>0.3057598798388526</c:v>
              </c:pt>
              <c:pt idx="1678">
                <c:v>0.3059199160053616</c:v>
              </c:pt>
              <c:pt idx="1679">
                <c:v>0.3059199160053616</c:v>
              </c:pt>
              <c:pt idx="1680">
                <c:v>0.3060799521718706</c:v>
              </c:pt>
              <c:pt idx="1681">
                <c:v>0.3060799521718706</c:v>
              </c:pt>
              <c:pt idx="1682">
                <c:v>0.3062399883383796</c:v>
              </c:pt>
              <c:pt idx="1683">
                <c:v>0.3062399883383796</c:v>
              </c:pt>
              <c:pt idx="1684">
                <c:v>0.3064000245048886</c:v>
              </c:pt>
              <c:pt idx="1685">
                <c:v>0.3064000245048886</c:v>
              </c:pt>
              <c:pt idx="1686">
                <c:v>0.30656006067139757</c:v>
              </c:pt>
              <c:pt idx="1687">
                <c:v>0.30656006067139757</c:v>
              </c:pt>
              <c:pt idx="1688">
                <c:v>0.3067200968379066</c:v>
              </c:pt>
              <c:pt idx="1689">
                <c:v>0.3067200968379066</c:v>
              </c:pt>
              <c:pt idx="1690">
                <c:v>0.3068801330044156</c:v>
              </c:pt>
              <c:pt idx="1691">
                <c:v>0.3068801330044156</c:v>
              </c:pt>
              <c:pt idx="1692">
                <c:v>0.3070401691709246</c:v>
              </c:pt>
              <c:pt idx="1693">
                <c:v>0.3070401691709246</c:v>
              </c:pt>
              <c:pt idx="1694">
                <c:v>0.3072002053374336</c:v>
              </c:pt>
              <c:pt idx="1695">
                <c:v>0.3072002053374336</c:v>
              </c:pt>
              <c:pt idx="1696">
                <c:v>0.30736024150394253</c:v>
              </c:pt>
              <c:pt idx="1697">
                <c:v>0.30736024150394253</c:v>
              </c:pt>
              <c:pt idx="1698">
                <c:v>0.30752027767045154</c:v>
              </c:pt>
              <c:pt idx="1699">
                <c:v>0.30752027767045154</c:v>
              </c:pt>
              <c:pt idx="1700">
                <c:v>0.30768031383696054</c:v>
              </c:pt>
              <c:pt idx="1701">
                <c:v>0.30768031383696054</c:v>
              </c:pt>
              <c:pt idx="1702">
                <c:v>0.30784035000346954</c:v>
              </c:pt>
              <c:pt idx="1703">
                <c:v>0.30784035000346954</c:v>
              </c:pt>
              <c:pt idx="1704">
                <c:v>0.30800038616997855</c:v>
              </c:pt>
              <c:pt idx="1705">
                <c:v>0.30800038616997855</c:v>
              </c:pt>
              <c:pt idx="1706">
                <c:v>0.3081604223364875</c:v>
              </c:pt>
              <c:pt idx="1707">
                <c:v>0.3081604223364875</c:v>
              </c:pt>
              <c:pt idx="1708">
                <c:v>0.3083204585029965</c:v>
              </c:pt>
              <c:pt idx="1709">
                <c:v>0.3083204585029965</c:v>
              </c:pt>
              <c:pt idx="1710">
                <c:v>0.3084804946695055</c:v>
              </c:pt>
              <c:pt idx="1711">
                <c:v>0.3084804946695055</c:v>
              </c:pt>
              <c:pt idx="1712">
                <c:v>0.3086405308360145</c:v>
              </c:pt>
              <c:pt idx="1713">
                <c:v>0.3086405308360145</c:v>
              </c:pt>
              <c:pt idx="1714">
                <c:v>0.3088005670025235</c:v>
              </c:pt>
              <c:pt idx="1715">
                <c:v>0.3088005670025235</c:v>
              </c:pt>
              <c:pt idx="1716">
                <c:v>0.30896060316903246</c:v>
              </c:pt>
              <c:pt idx="1717">
                <c:v>0.30896060316903246</c:v>
              </c:pt>
              <c:pt idx="1718">
                <c:v>0.30912063933554146</c:v>
              </c:pt>
              <c:pt idx="1719">
                <c:v>0.30912063933554146</c:v>
              </c:pt>
              <c:pt idx="1720">
                <c:v>0.30928067550205046</c:v>
              </c:pt>
              <c:pt idx="1721">
                <c:v>0.30928067550205046</c:v>
              </c:pt>
              <c:pt idx="1722">
                <c:v>0.30944071166855946</c:v>
              </c:pt>
              <c:pt idx="1723">
                <c:v>0.30944071166855946</c:v>
              </c:pt>
              <c:pt idx="1724">
                <c:v>0.30960074783506847</c:v>
              </c:pt>
              <c:pt idx="1725">
                <c:v>0.30960074783506847</c:v>
              </c:pt>
              <c:pt idx="1726">
                <c:v>0.3097607840015774</c:v>
              </c:pt>
              <c:pt idx="1727">
                <c:v>0.3097607840015774</c:v>
              </c:pt>
              <c:pt idx="1728">
                <c:v>0.3099208201680864</c:v>
              </c:pt>
              <c:pt idx="1729">
                <c:v>0.3099208201680864</c:v>
              </c:pt>
              <c:pt idx="1730">
                <c:v>0.3100808563345954</c:v>
              </c:pt>
              <c:pt idx="1731">
                <c:v>0.3100808563345954</c:v>
              </c:pt>
              <c:pt idx="1732">
                <c:v>0.3102408925011044</c:v>
              </c:pt>
              <c:pt idx="1733">
                <c:v>0.3102408925011044</c:v>
              </c:pt>
              <c:pt idx="1734">
                <c:v>0.31040092866761343</c:v>
              </c:pt>
              <c:pt idx="1735">
                <c:v>0.31040092866761343</c:v>
              </c:pt>
              <c:pt idx="1736">
                <c:v>0.3105609648341224</c:v>
              </c:pt>
              <c:pt idx="1737">
                <c:v>0.3105609648341224</c:v>
              </c:pt>
              <c:pt idx="1738">
                <c:v>0.3107210010006314</c:v>
              </c:pt>
              <c:pt idx="1739">
                <c:v>0.3107210010006314</c:v>
              </c:pt>
              <c:pt idx="1740">
                <c:v>0.3108810371671404</c:v>
              </c:pt>
              <c:pt idx="1741">
                <c:v>0.3108810371671404</c:v>
              </c:pt>
              <c:pt idx="1742">
                <c:v>0.3110410733336494</c:v>
              </c:pt>
              <c:pt idx="1743">
                <c:v>0.3110410733336494</c:v>
              </c:pt>
              <c:pt idx="1744">
                <c:v>0.3112011095001584</c:v>
              </c:pt>
              <c:pt idx="1745">
                <c:v>0.3112011095001584</c:v>
              </c:pt>
              <c:pt idx="1746">
                <c:v>0.3113611456666674</c:v>
              </c:pt>
              <c:pt idx="1747">
                <c:v>0.3113611456666674</c:v>
              </c:pt>
              <c:pt idx="1748">
                <c:v>0.31152118183317634</c:v>
              </c:pt>
              <c:pt idx="1749">
                <c:v>0.31152118183317634</c:v>
              </c:pt>
              <c:pt idx="1750">
                <c:v>0.31168121799968534</c:v>
              </c:pt>
              <c:pt idx="1751">
                <c:v>0.31168121799968534</c:v>
              </c:pt>
              <c:pt idx="1752">
                <c:v>0.31184125416619435</c:v>
              </c:pt>
              <c:pt idx="1753">
                <c:v>0.31184125416619435</c:v>
              </c:pt>
              <c:pt idx="1754">
                <c:v>0.31200129033270335</c:v>
              </c:pt>
              <c:pt idx="1755">
                <c:v>0.31200129033270335</c:v>
              </c:pt>
              <c:pt idx="1756">
                <c:v>0.31216132649921235</c:v>
              </c:pt>
              <c:pt idx="1757">
                <c:v>0.31216132649921235</c:v>
              </c:pt>
              <c:pt idx="1758">
                <c:v>0.3123213626657213</c:v>
              </c:pt>
              <c:pt idx="1759">
                <c:v>0.3123213626657213</c:v>
              </c:pt>
              <c:pt idx="1760">
                <c:v>0.3124813988322303</c:v>
              </c:pt>
              <c:pt idx="1761">
                <c:v>0.3124813988322303</c:v>
              </c:pt>
              <c:pt idx="1762">
                <c:v>0.3126414349987393</c:v>
              </c:pt>
              <c:pt idx="1763">
                <c:v>0.3126414349987393</c:v>
              </c:pt>
              <c:pt idx="1764">
                <c:v>0.3128014711652483</c:v>
              </c:pt>
              <c:pt idx="1765">
                <c:v>0.3128014711652483</c:v>
              </c:pt>
              <c:pt idx="1766">
                <c:v>0.3129615073317573</c:v>
              </c:pt>
              <c:pt idx="1767">
                <c:v>0.3129615073317573</c:v>
              </c:pt>
              <c:pt idx="1768">
                <c:v>0.31312154349826626</c:v>
              </c:pt>
              <c:pt idx="1769">
                <c:v>0.31312154349826626</c:v>
              </c:pt>
              <c:pt idx="1770">
                <c:v>0.31328157966477527</c:v>
              </c:pt>
              <c:pt idx="1771">
                <c:v>0.31328157966477527</c:v>
              </c:pt>
              <c:pt idx="1772">
                <c:v>0.31335016659327913</c:v>
              </c:pt>
              <c:pt idx="1773">
                <c:v>0.31335016659327913</c:v>
              </c:pt>
              <c:pt idx="1774">
                <c:v>0.31335016659327913</c:v>
              </c:pt>
              <c:pt idx="1775">
                <c:v>0.31335016659327913</c:v>
              </c:pt>
              <c:pt idx="1776">
                <c:v>0.31335016659327913</c:v>
              </c:pt>
              <c:pt idx="1777">
                <c:v>0.31335016659327913</c:v>
              </c:pt>
              <c:pt idx="1778">
                <c:v>0.31351020275978814</c:v>
              </c:pt>
              <c:pt idx="1779">
                <c:v>0.31351020275978814</c:v>
              </c:pt>
              <c:pt idx="1780">
                <c:v>0.31367023892629714</c:v>
              </c:pt>
              <c:pt idx="1781">
                <c:v>0.31367023892629714</c:v>
              </c:pt>
              <c:pt idx="1782">
                <c:v>0.3138302750928061</c:v>
              </c:pt>
              <c:pt idx="1783">
                <c:v>0.3138302750928061</c:v>
              </c:pt>
              <c:pt idx="1784">
                <c:v>0.3139903112593151</c:v>
              </c:pt>
              <c:pt idx="1785">
                <c:v>0.3139903112593151</c:v>
              </c:pt>
              <c:pt idx="1786">
                <c:v>0.3141503474258241</c:v>
              </c:pt>
              <c:pt idx="1787">
                <c:v>0.3141503474258241</c:v>
              </c:pt>
              <c:pt idx="1788">
                <c:v>0.3143103835923331</c:v>
              </c:pt>
              <c:pt idx="1789">
                <c:v>0.3143103835923331</c:v>
              </c:pt>
              <c:pt idx="1790">
                <c:v>0.3144704197588421</c:v>
              </c:pt>
              <c:pt idx="1791">
                <c:v>0.3144704197588421</c:v>
              </c:pt>
              <c:pt idx="1792">
                <c:v>0.31463045592535105</c:v>
              </c:pt>
              <c:pt idx="1793">
                <c:v>0.31463045592535105</c:v>
              </c:pt>
              <c:pt idx="1794">
                <c:v>0.31479049209186005</c:v>
              </c:pt>
              <c:pt idx="1795">
                <c:v>0.31479049209186005</c:v>
              </c:pt>
              <c:pt idx="1796">
                <c:v>0.31495052825836906</c:v>
              </c:pt>
              <c:pt idx="1797">
                <c:v>0.31495052825836906</c:v>
              </c:pt>
              <c:pt idx="1798">
                <c:v>0.31511056442487806</c:v>
              </c:pt>
              <c:pt idx="1799">
                <c:v>0.31511056442487806</c:v>
              </c:pt>
              <c:pt idx="1800">
                <c:v>0.31527060059138706</c:v>
              </c:pt>
              <c:pt idx="1801">
                <c:v>0.31527060059138706</c:v>
              </c:pt>
              <c:pt idx="1802">
                <c:v>0.315430636757896</c:v>
              </c:pt>
              <c:pt idx="1803">
                <c:v>0.315430636757896</c:v>
              </c:pt>
              <c:pt idx="1804">
                <c:v>0.315590672924405</c:v>
              </c:pt>
              <c:pt idx="1805">
                <c:v>0.315590672924405</c:v>
              </c:pt>
              <c:pt idx="1806">
                <c:v>0.315750709090914</c:v>
              </c:pt>
              <c:pt idx="1807">
                <c:v>0.315750709090914</c:v>
              </c:pt>
              <c:pt idx="1808">
                <c:v>0.315910745257423</c:v>
              </c:pt>
              <c:pt idx="1809">
                <c:v>0.315910745257423</c:v>
              </c:pt>
              <c:pt idx="1810">
                <c:v>0.316070781423932</c:v>
              </c:pt>
              <c:pt idx="1811">
                <c:v>0.316070781423932</c:v>
              </c:pt>
              <c:pt idx="1812">
                <c:v>0.31623081759044097</c:v>
              </c:pt>
              <c:pt idx="1813">
                <c:v>0.31623081759044097</c:v>
              </c:pt>
              <c:pt idx="1814">
                <c:v>0.31639085375695</c:v>
              </c:pt>
              <c:pt idx="1815">
                <c:v>0.31639085375695</c:v>
              </c:pt>
              <c:pt idx="1816">
                <c:v>0.316550889923459</c:v>
              </c:pt>
              <c:pt idx="1817">
                <c:v>0.316550889923459</c:v>
              </c:pt>
              <c:pt idx="1818">
                <c:v>0.316710926089968</c:v>
              </c:pt>
              <c:pt idx="1819">
                <c:v>0.316710926089968</c:v>
              </c:pt>
              <c:pt idx="1820">
                <c:v>0.316870962256477</c:v>
              </c:pt>
              <c:pt idx="1821">
                <c:v>0.316870962256477</c:v>
              </c:pt>
              <c:pt idx="1822">
                <c:v>0.317030998422986</c:v>
              </c:pt>
              <c:pt idx="1823">
                <c:v>0.317030998422986</c:v>
              </c:pt>
              <c:pt idx="1824">
                <c:v>0.31719103458949494</c:v>
              </c:pt>
              <c:pt idx="1825">
                <c:v>0.31719103458949494</c:v>
              </c:pt>
              <c:pt idx="1826">
                <c:v>0.31735107075600394</c:v>
              </c:pt>
              <c:pt idx="1827">
                <c:v>0.31735107075600394</c:v>
              </c:pt>
              <c:pt idx="1828">
                <c:v>0.31751110692251294</c:v>
              </c:pt>
              <c:pt idx="1829">
                <c:v>0.31751110692251294</c:v>
              </c:pt>
              <c:pt idx="1830">
                <c:v>0.31767114308902195</c:v>
              </c:pt>
              <c:pt idx="1831">
                <c:v>0.31767114308902195</c:v>
              </c:pt>
              <c:pt idx="1832">
                <c:v>0.31783117925553095</c:v>
              </c:pt>
              <c:pt idx="1833">
                <c:v>0.31783117925553095</c:v>
              </c:pt>
              <c:pt idx="1834">
                <c:v>0.3179912154220399</c:v>
              </c:pt>
              <c:pt idx="1835">
                <c:v>0.3179912154220399</c:v>
              </c:pt>
              <c:pt idx="1836">
                <c:v>0.3181512515885489</c:v>
              </c:pt>
              <c:pt idx="1837">
                <c:v>0.3181512515885489</c:v>
              </c:pt>
              <c:pt idx="1838">
                <c:v>0.3183112877550579</c:v>
              </c:pt>
              <c:pt idx="1839">
                <c:v>0.3183112877550579</c:v>
              </c:pt>
              <c:pt idx="1840">
                <c:v>0.3184713239215669</c:v>
              </c:pt>
              <c:pt idx="1841">
                <c:v>0.3184713239215669</c:v>
              </c:pt>
              <c:pt idx="1842">
                <c:v>0.3186313600880759</c:v>
              </c:pt>
              <c:pt idx="1843">
                <c:v>0.3186313600880759</c:v>
              </c:pt>
              <c:pt idx="1844">
                <c:v>0.31879139625458486</c:v>
              </c:pt>
              <c:pt idx="1845">
                <c:v>0.31879139625458486</c:v>
              </c:pt>
              <c:pt idx="1846">
                <c:v>0.31895143242109386</c:v>
              </c:pt>
              <c:pt idx="1847">
                <c:v>0.31895143242109386</c:v>
              </c:pt>
              <c:pt idx="1848">
                <c:v>0.31911146858760286</c:v>
              </c:pt>
              <c:pt idx="1849">
                <c:v>0.31911146858760286</c:v>
              </c:pt>
              <c:pt idx="1850">
                <c:v>0.31927150475411187</c:v>
              </c:pt>
              <c:pt idx="1851">
                <c:v>0.31927150475411187</c:v>
              </c:pt>
              <c:pt idx="1852">
                <c:v>0.31943154092062087</c:v>
              </c:pt>
              <c:pt idx="1853">
                <c:v>0.31943154092062087</c:v>
              </c:pt>
              <c:pt idx="1854">
                <c:v>0.3195915770871298</c:v>
              </c:pt>
              <c:pt idx="1855">
                <c:v>0.3195915770871298</c:v>
              </c:pt>
              <c:pt idx="1856">
                <c:v>0.3197516132536388</c:v>
              </c:pt>
              <c:pt idx="1857">
                <c:v>0.3197516132536388</c:v>
              </c:pt>
              <c:pt idx="1858">
                <c:v>0.3199116494201478</c:v>
              </c:pt>
              <c:pt idx="1859">
                <c:v>0.3199116494201478</c:v>
              </c:pt>
              <c:pt idx="1860">
                <c:v>0.32007168558665683</c:v>
              </c:pt>
              <c:pt idx="1861">
                <c:v>0.32007168558665683</c:v>
              </c:pt>
              <c:pt idx="1862">
                <c:v>0.32023172175316583</c:v>
              </c:pt>
              <c:pt idx="1863">
                <c:v>0.32023172175316583</c:v>
              </c:pt>
              <c:pt idx="1864">
                <c:v>0.3203917579196748</c:v>
              </c:pt>
              <c:pt idx="1865">
                <c:v>0.3203917579196748</c:v>
              </c:pt>
              <c:pt idx="1866">
                <c:v>0.3205517940861838</c:v>
              </c:pt>
              <c:pt idx="1867">
                <c:v>0.3205517940861838</c:v>
              </c:pt>
              <c:pt idx="1868">
                <c:v>0.3207118302526928</c:v>
              </c:pt>
              <c:pt idx="1869">
                <c:v>0.3207118302526928</c:v>
              </c:pt>
              <c:pt idx="1870">
                <c:v>0.3208718664192018</c:v>
              </c:pt>
              <c:pt idx="1871">
                <c:v>0.3208718664192018</c:v>
              </c:pt>
              <c:pt idx="1872">
                <c:v>0.3210319025857108</c:v>
              </c:pt>
              <c:pt idx="1873">
                <c:v>0.3210319025857108</c:v>
              </c:pt>
              <c:pt idx="1874">
                <c:v>0.32119193875221974</c:v>
              </c:pt>
              <c:pt idx="1875">
                <c:v>0.32119193875221974</c:v>
              </c:pt>
              <c:pt idx="1876">
                <c:v>0.32135197491872874</c:v>
              </c:pt>
              <c:pt idx="1877">
                <c:v>0.32135197491872874</c:v>
              </c:pt>
              <c:pt idx="1878">
                <c:v>0.32151201108523775</c:v>
              </c:pt>
              <c:pt idx="1879">
                <c:v>0.32151201108523775</c:v>
              </c:pt>
              <c:pt idx="1880">
                <c:v>0.32167204725174675</c:v>
              </c:pt>
              <c:pt idx="1881">
                <c:v>0.32167204725174675</c:v>
              </c:pt>
              <c:pt idx="1882">
                <c:v>0.32183208341825575</c:v>
              </c:pt>
              <c:pt idx="1883">
                <c:v>0.32183208341825575</c:v>
              </c:pt>
              <c:pt idx="1884">
                <c:v>0.3219921195847647</c:v>
              </c:pt>
              <c:pt idx="1885">
                <c:v>0.3219921195847647</c:v>
              </c:pt>
              <c:pt idx="1886">
                <c:v>0.3221521557512737</c:v>
              </c:pt>
              <c:pt idx="1887">
                <c:v>0.3221521557512737</c:v>
              </c:pt>
              <c:pt idx="1888">
                <c:v>0.3223121919177827</c:v>
              </c:pt>
              <c:pt idx="1889">
                <c:v>0.3223121919177827</c:v>
              </c:pt>
              <c:pt idx="1890">
                <c:v>0.3224722280842917</c:v>
              </c:pt>
              <c:pt idx="1891">
                <c:v>0.3224722280842917</c:v>
              </c:pt>
              <c:pt idx="1892">
                <c:v>0.3226322642508007</c:v>
              </c:pt>
              <c:pt idx="1893">
                <c:v>0.3226322642508007</c:v>
              </c:pt>
              <c:pt idx="1894">
                <c:v>0.32279230041730966</c:v>
              </c:pt>
              <c:pt idx="1895">
                <c:v>0.32279230041730966</c:v>
              </c:pt>
              <c:pt idx="1896">
                <c:v>0.32295233658381867</c:v>
              </c:pt>
              <c:pt idx="1897">
                <c:v>0.32295233658381867</c:v>
              </c:pt>
              <c:pt idx="1898">
                <c:v>0.32311237275032767</c:v>
              </c:pt>
              <c:pt idx="1899">
                <c:v>0.32311237275032767</c:v>
              </c:pt>
              <c:pt idx="1900">
                <c:v>0.3232724089168367</c:v>
              </c:pt>
              <c:pt idx="1901">
                <c:v>0.3232724089168367</c:v>
              </c:pt>
              <c:pt idx="1902">
                <c:v>0.3234324450833457</c:v>
              </c:pt>
              <c:pt idx="1903">
                <c:v>0.3234324450833457</c:v>
              </c:pt>
              <c:pt idx="1904">
                <c:v>0.3235924812498547</c:v>
              </c:pt>
              <c:pt idx="1905">
                <c:v>0.3235924812498547</c:v>
              </c:pt>
              <c:pt idx="1906">
                <c:v>0.3237525174163636</c:v>
              </c:pt>
              <c:pt idx="1907">
                <c:v>0.3237525174163636</c:v>
              </c:pt>
              <c:pt idx="1908">
                <c:v>0.32391255358287263</c:v>
              </c:pt>
              <c:pt idx="1909">
                <c:v>0.32391255358287263</c:v>
              </c:pt>
              <c:pt idx="1910">
                <c:v>0.32407258974938163</c:v>
              </c:pt>
              <c:pt idx="1911">
                <c:v>0.32407258974938163</c:v>
              </c:pt>
              <c:pt idx="1912">
                <c:v>0.32423262591589064</c:v>
              </c:pt>
              <c:pt idx="1913">
                <c:v>0.32423262591589064</c:v>
              </c:pt>
              <c:pt idx="1914">
                <c:v>0.32439266208239964</c:v>
              </c:pt>
              <c:pt idx="1915">
                <c:v>0.32439266208239964</c:v>
              </c:pt>
              <c:pt idx="1916">
                <c:v>0.3245526982489086</c:v>
              </c:pt>
              <c:pt idx="1917">
                <c:v>0.3245526982489086</c:v>
              </c:pt>
              <c:pt idx="1918">
                <c:v>0.3247127344154176</c:v>
              </c:pt>
              <c:pt idx="1919">
                <c:v>0.3247127344154176</c:v>
              </c:pt>
              <c:pt idx="1920">
                <c:v>0.32478132134392146</c:v>
              </c:pt>
              <c:pt idx="1921">
                <c:v>0.32478132134392146</c:v>
              </c:pt>
              <c:pt idx="1922">
                <c:v>0.32478132134392146</c:v>
              </c:pt>
              <c:pt idx="1923">
                <c:v>0.32478132134392146</c:v>
              </c:pt>
              <c:pt idx="1924">
                <c:v>0.32478132134392146</c:v>
              </c:pt>
              <c:pt idx="1925">
                <c:v>0.32478132134392146</c:v>
              </c:pt>
              <c:pt idx="1926">
                <c:v>0.32494135751043046</c:v>
              </c:pt>
              <c:pt idx="1927">
                <c:v>0.32494135751043046</c:v>
              </c:pt>
              <c:pt idx="1928">
                <c:v>0.32510139367693947</c:v>
              </c:pt>
              <c:pt idx="1929">
                <c:v>0.32510139367693947</c:v>
              </c:pt>
              <c:pt idx="1930">
                <c:v>0.3252614298434484</c:v>
              </c:pt>
              <c:pt idx="1931">
                <c:v>0.3252614298434484</c:v>
              </c:pt>
              <c:pt idx="1932">
                <c:v>0.3254214660099574</c:v>
              </c:pt>
              <c:pt idx="1933">
                <c:v>0.3254214660099574</c:v>
              </c:pt>
              <c:pt idx="1934">
                <c:v>0.3255815021764664</c:v>
              </c:pt>
              <c:pt idx="1935">
                <c:v>0.3255815021764664</c:v>
              </c:pt>
              <c:pt idx="1936">
                <c:v>0.3257415383429754</c:v>
              </c:pt>
              <c:pt idx="1937">
                <c:v>0.3257415383429754</c:v>
              </c:pt>
              <c:pt idx="1938">
                <c:v>0.3259015745094844</c:v>
              </c:pt>
              <c:pt idx="1939">
                <c:v>0.3259015745094844</c:v>
              </c:pt>
              <c:pt idx="1940">
                <c:v>0.3260616106759934</c:v>
              </c:pt>
              <c:pt idx="1941">
                <c:v>0.3260616106759934</c:v>
              </c:pt>
              <c:pt idx="1942">
                <c:v>0.3262216468425024</c:v>
              </c:pt>
              <c:pt idx="1943">
                <c:v>0.3262216468425024</c:v>
              </c:pt>
              <c:pt idx="1944">
                <c:v>0.3263816830090114</c:v>
              </c:pt>
              <c:pt idx="1945">
                <c:v>0.3263816830090114</c:v>
              </c:pt>
              <c:pt idx="1946">
                <c:v>0.3265417191755204</c:v>
              </c:pt>
              <c:pt idx="1947">
                <c:v>0.3265417191755204</c:v>
              </c:pt>
              <c:pt idx="1948">
                <c:v>0.3267017553420294</c:v>
              </c:pt>
              <c:pt idx="1949">
                <c:v>0.3267017553420294</c:v>
              </c:pt>
              <c:pt idx="1950">
                <c:v>0.32686179150853834</c:v>
              </c:pt>
              <c:pt idx="1951">
                <c:v>0.32686179150853834</c:v>
              </c:pt>
              <c:pt idx="1952">
                <c:v>0.32702182767504734</c:v>
              </c:pt>
              <c:pt idx="1953">
                <c:v>0.32702182767504734</c:v>
              </c:pt>
              <c:pt idx="1954">
                <c:v>0.32718186384155634</c:v>
              </c:pt>
              <c:pt idx="1955">
                <c:v>0.32718186384155634</c:v>
              </c:pt>
              <c:pt idx="1956">
                <c:v>0.32734190000806535</c:v>
              </c:pt>
              <c:pt idx="1957">
                <c:v>0.32734190000806535</c:v>
              </c:pt>
              <c:pt idx="1958">
                <c:v>0.32750193617457435</c:v>
              </c:pt>
              <c:pt idx="1959">
                <c:v>0.32750193617457435</c:v>
              </c:pt>
              <c:pt idx="1960">
                <c:v>0.3276619723410833</c:v>
              </c:pt>
              <c:pt idx="1961">
                <c:v>0.3276619723410833</c:v>
              </c:pt>
              <c:pt idx="1962">
                <c:v>0.3278220085075923</c:v>
              </c:pt>
              <c:pt idx="1963">
                <c:v>0.3278220085075923</c:v>
              </c:pt>
              <c:pt idx="1964">
                <c:v>0.3279820446741013</c:v>
              </c:pt>
              <c:pt idx="1965">
                <c:v>0.3279820446741013</c:v>
              </c:pt>
              <c:pt idx="1966">
                <c:v>0.3281420808406103</c:v>
              </c:pt>
              <c:pt idx="1967">
                <c:v>0.3281420808406103</c:v>
              </c:pt>
              <c:pt idx="1968">
                <c:v>0.3283021170071193</c:v>
              </c:pt>
              <c:pt idx="1969">
                <c:v>0.3283021170071193</c:v>
              </c:pt>
              <c:pt idx="1970">
                <c:v>0.3284621531736283</c:v>
              </c:pt>
              <c:pt idx="1971">
                <c:v>0.3284621531736283</c:v>
              </c:pt>
              <c:pt idx="1972">
                <c:v>0.32862218934013726</c:v>
              </c:pt>
              <c:pt idx="1973">
                <c:v>0.32862218934013726</c:v>
              </c:pt>
              <c:pt idx="1974">
                <c:v>0.32878222550664626</c:v>
              </c:pt>
              <c:pt idx="1975">
                <c:v>0.32878222550664626</c:v>
              </c:pt>
              <c:pt idx="1976">
                <c:v>0.32894226167315527</c:v>
              </c:pt>
              <c:pt idx="1977">
                <c:v>0.32894226167315527</c:v>
              </c:pt>
              <c:pt idx="1978">
                <c:v>0.32910229783966427</c:v>
              </c:pt>
              <c:pt idx="1979">
                <c:v>0.32910229783966427</c:v>
              </c:pt>
              <c:pt idx="1980">
                <c:v>0.3292623340061733</c:v>
              </c:pt>
              <c:pt idx="1981">
                <c:v>0.3292623340061733</c:v>
              </c:pt>
              <c:pt idx="1982">
                <c:v>0.3294223701726822</c:v>
              </c:pt>
              <c:pt idx="1983">
                <c:v>0.3294223701726822</c:v>
              </c:pt>
              <c:pt idx="1984">
                <c:v>0.3295824063391912</c:v>
              </c:pt>
              <c:pt idx="1985">
                <c:v>0.3295824063391912</c:v>
              </c:pt>
              <c:pt idx="1986">
                <c:v>0.32974244250570023</c:v>
              </c:pt>
              <c:pt idx="1987">
                <c:v>0.32974244250570023</c:v>
              </c:pt>
              <c:pt idx="1988">
                <c:v>0.32990247867220923</c:v>
              </c:pt>
              <c:pt idx="1989">
                <c:v>0.32990247867220923</c:v>
              </c:pt>
              <c:pt idx="1990">
                <c:v>0.33006251483871824</c:v>
              </c:pt>
              <c:pt idx="1991">
                <c:v>0.33006251483871824</c:v>
              </c:pt>
              <c:pt idx="1992">
                <c:v>0.3302225510052272</c:v>
              </c:pt>
              <c:pt idx="1993">
                <c:v>0.3302225510052272</c:v>
              </c:pt>
              <c:pt idx="1994">
                <c:v>0.3303825871717362</c:v>
              </c:pt>
              <c:pt idx="1995">
                <c:v>0.3303825871717362</c:v>
              </c:pt>
              <c:pt idx="1996">
                <c:v>0.3305426233382452</c:v>
              </c:pt>
              <c:pt idx="1997">
                <c:v>0.3305426233382452</c:v>
              </c:pt>
              <c:pt idx="1998">
                <c:v>0.3307026595047542</c:v>
              </c:pt>
              <c:pt idx="1999">
                <c:v>0.3307026595047542</c:v>
              </c:pt>
              <c:pt idx="2000">
                <c:v>0.3308626956712632</c:v>
              </c:pt>
              <c:pt idx="2001">
                <c:v>0.3308626956712632</c:v>
              </c:pt>
              <c:pt idx="2002">
                <c:v>0.33102273183777214</c:v>
              </c:pt>
              <c:pt idx="2003">
                <c:v>0.33102273183777214</c:v>
              </c:pt>
              <c:pt idx="2004">
                <c:v>0.33118276800428115</c:v>
              </c:pt>
              <c:pt idx="2005">
                <c:v>0.33118276800428115</c:v>
              </c:pt>
              <c:pt idx="2006">
                <c:v>0.33134280417079015</c:v>
              </c:pt>
              <c:pt idx="2007">
                <c:v>0.33134280417079015</c:v>
              </c:pt>
              <c:pt idx="2008">
                <c:v>0.33150284033729915</c:v>
              </c:pt>
              <c:pt idx="2009">
                <c:v>0.33150284033729915</c:v>
              </c:pt>
              <c:pt idx="2010">
                <c:v>0.33166287650380816</c:v>
              </c:pt>
              <c:pt idx="2011">
                <c:v>0.33166287650380816</c:v>
              </c:pt>
              <c:pt idx="2012">
                <c:v>0.3318229126703171</c:v>
              </c:pt>
              <c:pt idx="2013">
                <c:v>0.3318229126703171</c:v>
              </c:pt>
              <c:pt idx="2014">
                <c:v>0.3319829488368261</c:v>
              </c:pt>
              <c:pt idx="2015">
                <c:v>0.3319829488368261</c:v>
              </c:pt>
              <c:pt idx="2016">
                <c:v>0.3321429850033351</c:v>
              </c:pt>
              <c:pt idx="2017">
                <c:v>0.3321429850033351</c:v>
              </c:pt>
              <c:pt idx="2018">
                <c:v>0.3323030211698441</c:v>
              </c:pt>
              <c:pt idx="2019">
                <c:v>0.3323030211698441</c:v>
              </c:pt>
              <c:pt idx="2020">
                <c:v>0.3324630573363531</c:v>
              </c:pt>
              <c:pt idx="2021">
                <c:v>0.3324630573363531</c:v>
              </c:pt>
              <c:pt idx="2022">
                <c:v>0.33262309350286207</c:v>
              </c:pt>
              <c:pt idx="2023">
                <c:v>0.33262309350286207</c:v>
              </c:pt>
              <c:pt idx="2024">
                <c:v>0.33278312966937107</c:v>
              </c:pt>
              <c:pt idx="2025">
                <c:v>0.33278312966937107</c:v>
              </c:pt>
              <c:pt idx="2026">
                <c:v>0.3329431658358801</c:v>
              </c:pt>
              <c:pt idx="2027">
                <c:v>0.3329431658358801</c:v>
              </c:pt>
              <c:pt idx="2028">
                <c:v>0.3331032020023891</c:v>
              </c:pt>
              <c:pt idx="2029">
                <c:v>0.3331032020023891</c:v>
              </c:pt>
              <c:pt idx="2030">
                <c:v>0.3332632381688981</c:v>
              </c:pt>
              <c:pt idx="2031">
                <c:v>0.3332632381688981</c:v>
              </c:pt>
              <c:pt idx="2032">
                <c:v>0.333423274335407</c:v>
              </c:pt>
              <c:pt idx="2033">
                <c:v>0.333423274335407</c:v>
              </c:pt>
              <c:pt idx="2034">
                <c:v>0.33358331050191603</c:v>
              </c:pt>
              <c:pt idx="2035">
                <c:v>0.33358331050191603</c:v>
              </c:pt>
              <c:pt idx="2036">
                <c:v>0.33374334666842503</c:v>
              </c:pt>
              <c:pt idx="2037">
                <c:v>0.33374334666842503</c:v>
              </c:pt>
              <c:pt idx="2038">
                <c:v>0.33390338283493404</c:v>
              </c:pt>
              <c:pt idx="2039">
                <c:v>0.33390338283493404</c:v>
              </c:pt>
              <c:pt idx="2040">
                <c:v>0.33406341900144304</c:v>
              </c:pt>
              <c:pt idx="2041">
                <c:v>0.33406341900144304</c:v>
              </c:pt>
              <c:pt idx="2042">
                <c:v>0.33422345516795204</c:v>
              </c:pt>
              <c:pt idx="2043">
                <c:v>0.33422345516795204</c:v>
              </c:pt>
              <c:pt idx="2044">
                <c:v>0.334383491334461</c:v>
              </c:pt>
              <c:pt idx="2045">
                <c:v>0.334383491334461</c:v>
              </c:pt>
              <c:pt idx="2046">
                <c:v>0.33454352750097</c:v>
              </c:pt>
              <c:pt idx="2047">
                <c:v>0.33454352750097</c:v>
              </c:pt>
              <c:pt idx="2048">
                <c:v>0.334703563667479</c:v>
              </c:pt>
              <c:pt idx="2049">
                <c:v>0.334703563667479</c:v>
              </c:pt>
              <c:pt idx="2050">
                <c:v>0.334863599833988</c:v>
              </c:pt>
              <c:pt idx="2051">
                <c:v>0.334863599833988</c:v>
              </c:pt>
              <c:pt idx="2052">
                <c:v>0.335023636000497</c:v>
              </c:pt>
              <c:pt idx="2053">
                <c:v>0.335023636000497</c:v>
              </c:pt>
              <c:pt idx="2054">
                <c:v>0.33518367216700595</c:v>
              </c:pt>
              <c:pt idx="2055">
                <c:v>0.33518367216700595</c:v>
              </c:pt>
              <c:pt idx="2056">
                <c:v>0.33534370833351496</c:v>
              </c:pt>
              <c:pt idx="2057">
                <c:v>0.33534370833351496</c:v>
              </c:pt>
              <c:pt idx="2058">
                <c:v>0.33550374450002396</c:v>
              </c:pt>
              <c:pt idx="2059">
                <c:v>0.33550374450002396</c:v>
              </c:pt>
              <c:pt idx="2060">
                <c:v>0.33566378066653296</c:v>
              </c:pt>
              <c:pt idx="2061">
                <c:v>0.33566378066653296</c:v>
              </c:pt>
              <c:pt idx="2062">
                <c:v>0.33582381683304197</c:v>
              </c:pt>
              <c:pt idx="2063">
                <c:v>0.33582381683304197</c:v>
              </c:pt>
              <c:pt idx="2064">
                <c:v>0.3359838529995509</c:v>
              </c:pt>
              <c:pt idx="2065">
                <c:v>0.3359838529995509</c:v>
              </c:pt>
              <c:pt idx="2066">
                <c:v>0.3361438891660599</c:v>
              </c:pt>
              <c:pt idx="2067">
                <c:v>0.3361438891660599</c:v>
              </c:pt>
              <c:pt idx="2068">
                <c:v>0.3362124760945638</c:v>
              </c:pt>
              <c:pt idx="2069">
                <c:v>0.3362124760945638</c:v>
              </c:pt>
              <c:pt idx="2070">
                <c:v>0.3362124760945638</c:v>
              </c:pt>
              <c:pt idx="2071">
                <c:v>0.3362124760945638</c:v>
              </c:pt>
              <c:pt idx="2072">
                <c:v>0.3362124760945638</c:v>
              </c:pt>
              <c:pt idx="2073">
                <c:v>0.3362124760945638</c:v>
              </c:pt>
              <c:pt idx="2074">
                <c:v>0.3363725122610728</c:v>
              </c:pt>
              <c:pt idx="2075">
                <c:v>0.3363725122610728</c:v>
              </c:pt>
              <c:pt idx="2076">
                <c:v>0.3365325484275818</c:v>
              </c:pt>
              <c:pt idx="2077">
                <c:v>0.3365325484275818</c:v>
              </c:pt>
              <c:pt idx="2078">
                <c:v>0.33669258459409074</c:v>
              </c:pt>
              <c:pt idx="2079">
                <c:v>0.33669258459409074</c:v>
              </c:pt>
              <c:pt idx="2080">
                <c:v>0.33685262076059974</c:v>
              </c:pt>
              <c:pt idx="2081">
                <c:v>0.33685262076059974</c:v>
              </c:pt>
              <c:pt idx="2082">
                <c:v>0.33701265692710874</c:v>
              </c:pt>
              <c:pt idx="2083">
                <c:v>0.33701265692710874</c:v>
              </c:pt>
              <c:pt idx="2084">
                <c:v>0.33717269309361775</c:v>
              </c:pt>
              <c:pt idx="2085">
                <c:v>0.33717269309361775</c:v>
              </c:pt>
              <c:pt idx="2086">
                <c:v>0.33733272926012675</c:v>
              </c:pt>
              <c:pt idx="2087">
                <c:v>0.33733272926012675</c:v>
              </c:pt>
              <c:pt idx="2088">
                <c:v>0.3374927654266357</c:v>
              </c:pt>
              <c:pt idx="2089">
                <c:v>0.3374927654266357</c:v>
              </c:pt>
              <c:pt idx="2090">
                <c:v>0.3376528015931447</c:v>
              </c:pt>
              <c:pt idx="2091">
                <c:v>0.3376528015931447</c:v>
              </c:pt>
              <c:pt idx="2092">
                <c:v>0.3378128377596537</c:v>
              </c:pt>
              <c:pt idx="2093">
                <c:v>0.3378128377596537</c:v>
              </c:pt>
              <c:pt idx="2094">
                <c:v>0.3379728739261627</c:v>
              </c:pt>
              <c:pt idx="2095">
                <c:v>0.3379728739261627</c:v>
              </c:pt>
              <c:pt idx="2096">
                <c:v>0.3381329100926717</c:v>
              </c:pt>
              <c:pt idx="2097">
                <c:v>0.3381329100926717</c:v>
              </c:pt>
              <c:pt idx="2098">
                <c:v>0.33829294625918066</c:v>
              </c:pt>
              <c:pt idx="2099">
                <c:v>0.33829294625918066</c:v>
              </c:pt>
              <c:pt idx="2100">
                <c:v>0.33845298242568966</c:v>
              </c:pt>
              <c:pt idx="2101">
                <c:v>0.33845298242568966</c:v>
              </c:pt>
              <c:pt idx="2102">
                <c:v>0.33861301859219867</c:v>
              </c:pt>
              <c:pt idx="2103">
                <c:v>0.33861301859219867</c:v>
              </c:pt>
              <c:pt idx="2104">
                <c:v>0.33877305475870767</c:v>
              </c:pt>
              <c:pt idx="2105">
                <c:v>0.33877305475870767</c:v>
              </c:pt>
              <c:pt idx="2106">
                <c:v>0.3389330909252167</c:v>
              </c:pt>
              <c:pt idx="2107">
                <c:v>0.3389330909252167</c:v>
              </c:pt>
              <c:pt idx="2108">
                <c:v>0.3390931270917256</c:v>
              </c:pt>
              <c:pt idx="2109">
                <c:v>0.3390931270917256</c:v>
              </c:pt>
              <c:pt idx="2110">
                <c:v>0.3392531632582346</c:v>
              </c:pt>
              <c:pt idx="2111">
                <c:v>0.3392531632582346</c:v>
              </c:pt>
              <c:pt idx="2112">
                <c:v>0.33941319942474363</c:v>
              </c:pt>
              <c:pt idx="2113">
                <c:v>0.33941319942474363</c:v>
              </c:pt>
              <c:pt idx="2114">
                <c:v>0.33957323559125263</c:v>
              </c:pt>
              <c:pt idx="2115">
                <c:v>0.33957323559125263</c:v>
              </c:pt>
              <c:pt idx="2116">
                <c:v>0.33973327175776163</c:v>
              </c:pt>
              <c:pt idx="2117">
                <c:v>0.33973327175776163</c:v>
              </c:pt>
              <c:pt idx="2118">
                <c:v>0.33989330792427064</c:v>
              </c:pt>
              <c:pt idx="2119">
                <c:v>0.33989330792427064</c:v>
              </c:pt>
              <c:pt idx="2120">
                <c:v>0.3400533440907796</c:v>
              </c:pt>
              <c:pt idx="2121">
                <c:v>0.3400533440907796</c:v>
              </c:pt>
              <c:pt idx="2122">
                <c:v>0.3402133802572886</c:v>
              </c:pt>
              <c:pt idx="2123">
                <c:v>0.3402133802572886</c:v>
              </c:pt>
              <c:pt idx="2124">
                <c:v>0.3403734164237976</c:v>
              </c:pt>
              <c:pt idx="2125">
                <c:v>0.3403734164237976</c:v>
              </c:pt>
              <c:pt idx="2126">
                <c:v>0.3405334525903066</c:v>
              </c:pt>
              <c:pt idx="2127">
                <c:v>0.3405334525903066</c:v>
              </c:pt>
              <c:pt idx="2128">
                <c:v>0.3406934887568156</c:v>
              </c:pt>
              <c:pt idx="2129">
                <c:v>0.3406934887568156</c:v>
              </c:pt>
              <c:pt idx="2130">
                <c:v>0.34085352492332455</c:v>
              </c:pt>
              <c:pt idx="2131">
                <c:v>0.34085352492332455</c:v>
              </c:pt>
              <c:pt idx="2132">
                <c:v>0.34101356108983355</c:v>
              </c:pt>
              <c:pt idx="2133">
                <c:v>0.34101356108983355</c:v>
              </c:pt>
              <c:pt idx="2134">
                <c:v>0.34117359725634255</c:v>
              </c:pt>
              <c:pt idx="2135">
                <c:v>0.34117359725634255</c:v>
              </c:pt>
              <c:pt idx="2136">
                <c:v>0.34133363342285156</c:v>
              </c:pt>
              <c:pt idx="2137">
                <c:v>0.34133363342285156</c:v>
              </c:pt>
              <c:pt idx="2138">
                <c:v>0.34149366958936056</c:v>
              </c:pt>
              <c:pt idx="2139">
                <c:v>0.34149366958936056</c:v>
              </c:pt>
              <c:pt idx="2140">
                <c:v>0.3416537057558695</c:v>
              </c:pt>
              <c:pt idx="2141">
                <c:v>0.3416537057558695</c:v>
              </c:pt>
              <c:pt idx="2142">
                <c:v>0.3418137419223785</c:v>
              </c:pt>
              <c:pt idx="2143">
                <c:v>0.3418137419223785</c:v>
              </c:pt>
              <c:pt idx="2144">
                <c:v>0.3419737780888875</c:v>
              </c:pt>
              <c:pt idx="2145">
                <c:v>0.3419737780888875</c:v>
              </c:pt>
              <c:pt idx="2146">
                <c:v>0.3421338142553965</c:v>
              </c:pt>
              <c:pt idx="2147">
                <c:v>0.3421338142553965</c:v>
              </c:pt>
              <c:pt idx="2148">
                <c:v>0.3422938504219055</c:v>
              </c:pt>
              <c:pt idx="2149">
                <c:v>0.3422938504219055</c:v>
              </c:pt>
              <c:pt idx="2150">
                <c:v>0.34245388658841447</c:v>
              </c:pt>
              <c:pt idx="2151">
                <c:v>0.34245388658841447</c:v>
              </c:pt>
              <c:pt idx="2152">
                <c:v>0.3426139227549235</c:v>
              </c:pt>
              <c:pt idx="2153">
                <c:v>0.3426139227549235</c:v>
              </c:pt>
              <c:pt idx="2154">
                <c:v>0.3427739589214325</c:v>
              </c:pt>
              <c:pt idx="2155">
                <c:v>0.3427739589214325</c:v>
              </c:pt>
              <c:pt idx="2156">
                <c:v>0.3429339950879415</c:v>
              </c:pt>
              <c:pt idx="2157">
                <c:v>0.3429339950879415</c:v>
              </c:pt>
              <c:pt idx="2158">
                <c:v>0.3430940312544505</c:v>
              </c:pt>
              <c:pt idx="2159">
                <c:v>0.3430940312544505</c:v>
              </c:pt>
              <c:pt idx="2160">
                <c:v>0.34325406742095943</c:v>
              </c:pt>
              <c:pt idx="2161">
                <c:v>0.34325406742095943</c:v>
              </c:pt>
              <c:pt idx="2162">
                <c:v>0.34341410358746843</c:v>
              </c:pt>
              <c:pt idx="2163">
                <c:v>0.34341410358746843</c:v>
              </c:pt>
              <c:pt idx="2164">
                <c:v>0.34357413975397744</c:v>
              </c:pt>
              <c:pt idx="2165">
                <c:v>0.34357413975397744</c:v>
              </c:pt>
              <c:pt idx="2166">
                <c:v>0.34373417592048644</c:v>
              </c:pt>
              <c:pt idx="2167">
                <c:v>0.34373417592048644</c:v>
              </c:pt>
              <c:pt idx="2168">
                <c:v>0.34389421208699544</c:v>
              </c:pt>
              <c:pt idx="2169">
                <c:v>0.34389421208699544</c:v>
              </c:pt>
              <c:pt idx="2170">
                <c:v>0.3440542482535044</c:v>
              </c:pt>
              <c:pt idx="2171">
                <c:v>0.3440542482535044</c:v>
              </c:pt>
              <c:pt idx="2172">
                <c:v>0.3442142844200134</c:v>
              </c:pt>
              <c:pt idx="2173">
                <c:v>0.3442142844200134</c:v>
              </c:pt>
              <c:pt idx="2174">
                <c:v>0.3443743205865224</c:v>
              </c:pt>
              <c:pt idx="2175">
                <c:v>0.3443743205865224</c:v>
              </c:pt>
              <c:pt idx="2176">
                <c:v>0.3445343567530314</c:v>
              </c:pt>
              <c:pt idx="2177">
                <c:v>0.3445343567530314</c:v>
              </c:pt>
              <c:pt idx="2178">
                <c:v>0.3446943929195404</c:v>
              </c:pt>
              <c:pt idx="2179">
                <c:v>0.3446943929195404</c:v>
              </c:pt>
              <c:pt idx="2180">
                <c:v>0.34485442908604935</c:v>
              </c:pt>
              <c:pt idx="2181">
                <c:v>0.34485442908604935</c:v>
              </c:pt>
              <c:pt idx="2182">
                <c:v>0.34501446525255836</c:v>
              </c:pt>
              <c:pt idx="2183">
                <c:v>0.34501446525255836</c:v>
              </c:pt>
              <c:pt idx="2184">
                <c:v>0.34517450141906736</c:v>
              </c:pt>
              <c:pt idx="2185">
                <c:v>0.34517450141906736</c:v>
              </c:pt>
              <c:pt idx="2186">
                <c:v>0.34533453758557636</c:v>
              </c:pt>
              <c:pt idx="2187">
                <c:v>0.34533453758557636</c:v>
              </c:pt>
              <c:pt idx="2188">
                <c:v>0.34549457375208537</c:v>
              </c:pt>
              <c:pt idx="2189">
                <c:v>0.34549457375208537</c:v>
              </c:pt>
              <c:pt idx="2190">
                <c:v>0.3456546099185943</c:v>
              </c:pt>
              <c:pt idx="2191">
                <c:v>0.3456546099185943</c:v>
              </c:pt>
              <c:pt idx="2192">
                <c:v>0.3458146460851033</c:v>
              </c:pt>
              <c:pt idx="2193">
                <c:v>0.3458146460851033</c:v>
              </c:pt>
              <c:pt idx="2194">
                <c:v>0.3459746822516123</c:v>
              </c:pt>
              <c:pt idx="2195">
                <c:v>0.3459746822516123</c:v>
              </c:pt>
              <c:pt idx="2196">
                <c:v>0.3461347184181213</c:v>
              </c:pt>
              <c:pt idx="2197">
                <c:v>0.3461347184181213</c:v>
              </c:pt>
              <c:pt idx="2198">
                <c:v>0.3462947545846303</c:v>
              </c:pt>
              <c:pt idx="2199">
                <c:v>0.3462947545846303</c:v>
              </c:pt>
              <c:pt idx="2200">
                <c:v>0.34645479075113933</c:v>
              </c:pt>
              <c:pt idx="2201">
                <c:v>0.34645479075113933</c:v>
              </c:pt>
              <c:pt idx="2202">
                <c:v>0.3466148269176483</c:v>
              </c:pt>
              <c:pt idx="2203">
                <c:v>0.3466148269176483</c:v>
              </c:pt>
              <c:pt idx="2204">
                <c:v>0.3467748630841573</c:v>
              </c:pt>
              <c:pt idx="2205">
                <c:v>0.3467748630841573</c:v>
              </c:pt>
              <c:pt idx="2206">
                <c:v>0.3469348992506663</c:v>
              </c:pt>
              <c:pt idx="2207">
                <c:v>0.3469348992506663</c:v>
              </c:pt>
              <c:pt idx="2208">
                <c:v>0.3470949354171753</c:v>
              </c:pt>
              <c:pt idx="2209">
                <c:v>0.3470949354171753</c:v>
              </c:pt>
              <c:pt idx="2210">
                <c:v>0.3472549715836843</c:v>
              </c:pt>
              <c:pt idx="2211">
                <c:v>0.3472549715836843</c:v>
              </c:pt>
              <c:pt idx="2212">
                <c:v>0.34741500775019324</c:v>
              </c:pt>
              <c:pt idx="2213">
                <c:v>0.34741500775019324</c:v>
              </c:pt>
              <c:pt idx="2214">
                <c:v>0.34757504391670224</c:v>
              </c:pt>
              <c:pt idx="2215">
                <c:v>0.34757504391670224</c:v>
              </c:pt>
              <c:pt idx="2216">
                <c:v>0.3476436308452061</c:v>
              </c:pt>
              <c:pt idx="2217">
                <c:v>0.3476436308452061</c:v>
              </c:pt>
              <c:pt idx="2218">
                <c:v>0.3476436308452061</c:v>
              </c:pt>
              <c:pt idx="2219">
                <c:v>0.3476436308452061</c:v>
              </c:pt>
              <c:pt idx="2220">
                <c:v>0.3476436308452061</c:v>
              </c:pt>
              <c:pt idx="2221">
                <c:v>0.3476436308452061</c:v>
              </c:pt>
              <c:pt idx="2222">
                <c:v>0.3478036670117151</c:v>
              </c:pt>
              <c:pt idx="2223">
                <c:v>0.3478036670117151</c:v>
              </c:pt>
              <c:pt idx="2224">
                <c:v>0.3479637031782241</c:v>
              </c:pt>
              <c:pt idx="2225">
                <c:v>0.3479637031782241</c:v>
              </c:pt>
              <c:pt idx="2226">
                <c:v>0.34812373934473306</c:v>
              </c:pt>
              <c:pt idx="2227">
                <c:v>0.34812373934473306</c:v>
              </c:pt>
              <c:pt idx="2228">
                <c:v>0.34828377551124207</c:v>
              </c:pt>
              <c:pt idx="2229">
                <c:v>0.34828377551124207</c:v>
              </c:pt>
              <c:pt idx="2230">
                <c:v>0.34844381167775107</c:v>
              </c:pt>
              <c:pt idx="2231">
                <c:v>0.34844381167775107</c:v>
              </c:pt>
              <c:pt idx="2232">
                <c:v>0.3486038478442601</c:v>
              </c:pt>
              <c:pt idx="2233">
                <c:v>0.3486038478442601</c:v>
              </c:pt>
              <c:pt idx="2234">
                <c:v>0.3487638840107691</c:v>
              </c:pt>
              <c:pt idx="2235">
                <c:v>0.3487638840107691</c:v>
              </c:pt>
              <c:pt idx="2236">
                <c:v>0.348923920177278</c:v>
              </c:pt>
              <c:pt idx="2237">
                <c:v>0.348923920177278</c:v>
              </c:pt>
              <c:pt idx="2238">
                <c:v>0.349083956343787</c:v>
              </c:pt>
              <c:pt idx="2239">
                <c:v>0.349083956343787</c:v>
              </c:pt>
              <c:pt idx="2240">
                <c:v>0.34924399251029603</c:v>
              </c:pt>
              <c:pt idx="2241">
                <c:v>0.34924399251029603</c:v>
              </c:pt>
              <c:pt idx="2242">
                <c:v>0.34940402867680503</c:v>
              </c:pt>
              <c:pt idx="2243">
                <c:v>0.34940402867680503</c:v>
              </c:pt>
              <c:pt idx="2244">
                <c:v>0.34956406484331404</c:v>
              </c:pt>
              <c:pt idx="2245">
                <c:v>0.34956406484331404</c:v>
              </c:pt>
              <c:pt idx="2246">
                <c:v>0.349724101009823</c:v>
              </c:pt>
              <c:pt idx="2247">
                <c:v>0.349724101009823</c:v>
              </c:pt>
              <c:pt idx="2248">
                <c:v>0.349884137176332</c:v>
              </c:pt>
              <c:pt idx="2249">
                <c:v>0.349884137176332</c:v>
              </c:pt>
              <c:pt idx="2250">
                <c:v>0.350044173342841</c:v>
              </c:pt>
              <c:pt idx="2251">
                <c:v>0.350044173342841</c:v>
              </c:pt>
              <c:pt idx="2252">
                <c:v>0.35020420950935</c:v>
              </c:pt>
              <c:pt idx="2253">
                <c:v>0.35020420950935</c:v>
              </c:pt>
              <c:pt idx="2254">
                <c:v>0.350364245675859</c:v>
              </c:pt>
              <c:pt idx="2255">
                <c:v>0.350364245675859</c:v>
              </c:pt>
              <c:pt idx="2256">
                <c:v>0.35052428184236795</c:v>
              </c:pt>
              <c:pt idx="2257">
                <c:v>0.35052428184236795</c:v>
              </c:pt>
              <c:pt idx="2258">
                <c:v>0.35068431800887695</c:v>
              </c:pt>
              <c:pt idx="2259">
                <c:v>0.35068431800887695</c:v>
              </c:pt>
              <c:pt idx="2260">
                <c:v>0.35084435417538595</c:v>
              </c:pt>
              <c:pt idx="2261">
                <c:v>0.35084435417538595</c:v>
              </c:pt>
              <c:pt idx="2262">
                <c:v>0.35100439034189496</c:v>
              </c:pt>
              <c:pt idx="2263">
                <c:v>0.35100439034189496</c:v>
              </c:pt>
              <c:pt idx="2264">
                <c:v>0.35116442650840396</c:v>
              </c:pt>
              <c:pt idx="2265">
                <c:v>0.35116442650840396</c:v>
              </c:pt>
              <c:pt idx="2266">
                <c:v>0.35132446267491296</c:v>
              </c:pt>
              <c:pt idx="2267">
                <c:v>0.35132446267491296</c:v>
              </c:pt>
              <c:pt idx="2268">
                <c:v>0.3514844988414219</c:v>
              </c:pt>
              <c:pt idx="2269">
                <c:v>0.3514844988414219</c:v>
              </c:pt>
              <c:pt idx="2270">
                <c:v>0.3516445350079309</c:v>
              </c:pt>
              <c:pt idx="2271">
                <c:v>0.3516445350079309</c:v>
              </c:pt>
              <c:pt idx="2272">
                <c:v>0.3518045711744399</c:v>
              </c:pt>
              <c:pt idx="2273">
                <c:v>0.3518045711744399</c:v>
              </c:pt>
              <c:pt idx="2274">
                <c:v>0.3519646073409489</c:v>
              </c:pt>
              <c:pt idx="2275">
                <c:v>0.3519646073409489</c:v>
              </c:pt>
              <c:pt idx="2276">
                <c:v>0.3521246435074579</c:v>
              </c:pt>
              <c:pt idx="2277">
                <c:v>0.3521246435074579</c:v>
              </c:pt>
              <c:pt idx="2278">
                <c:v>0.35228467967396687</c:v>
              </c:pt>
              <c:pt idx="2279">
                <c:v>0.35228467967396687</c:v>
              </c:pt>
              <c:pt idx="2280">
                <c:v>0.3524447158404759</c:v>
              </c:pt>
              <c:pt idx="2281">
                <c:v>0.3524447158404759</c:v>
              </c:pt>
              <c:pt idx="2282">
                <c:v>0.3526047520069849</c:v>
              </c:pt>
              <c:pt idx="2283">
                <c:v>0.3526047520069849</c:v>
              </c:pt>
              <c:pt idx="2284">
                <c:v>0.3527647881734939</c:v>
              </c:pt>
              <c:pt idx="2285">
                <c:v>0.3527647881734939</c:v>
              </c:pt>
              <c:pt idx="2286">
                <c:v>0.3529248243400029</c:v>
              </c:pt>
              <c:pt idx="2287">
                <c:v>0.3529248243400029</c:v>
              </c:pt>
              <c:pt idx="2288">
                <c:v>0.35308486050651183</c:v>
              </c:pt>
              <c:pt idx="2289">
                <c:v>0.35308486050651183</c:v>
              </c:pt>
              <c:pt idx="2290">
                <c:v>0.35324489667302084</c:v>
              </c:pt>
              <c:pt idx="2291">
                <c:v>0.35324489667302084</c:v>
              </c:pt>
              <c:pt idx="2292">
                <c:v>0.35340493283952984</c:v>
              </c:pt>
              <c:pt idx="2293">
                <c:v>0.35340493283952984</c:v>
              </c:pt>
              <c:pt idx="2294">
                <c:v>0.35356496900603884</c:v>
              </c:pt>
              <c:pt idx="2295">
                <c:v>0.35356496900603884</c:v>
              </c:pt>
              <c:pt idx="2296">
                <c:v>0.35372500517254785</c:v>
              </c:pt>
              <c:pt idx="2297">
                <c:v>0.35372500517254785</c:v>
              </c:pt>
              <c:pt idx="2298">
                <c:v>0.3538850413390568</c:v>
              </c:pt>
              <c:pt idx="2299">
                <c:v>0.3538850413390568</c:v>
              </c:pt>
              <c:pt idx="2300">
                <c:v>0.3540450775055658</c:v>
              </c:pt>
              <c:pt idx="2301">
                <c:v>0.3540450775055658</c:v>
              </c:pt>
              <c:pt idx="2302">
                <c:v>0.3542051136720748</c:v>
              </c:pt>
              <c:pt idx="2303">
                <c:v>0.3542051136720748</c:v>
              </c:pt>
              <c:pt idx="2304">
                <c:v>0.3543651498385838</c:v>
              </c:pt>
              <c:pt idx="2305">
                <c:v>0.3543651498385838</c:v>
              </c:pt>
              <c:pt idx="2306">
                <c:v>0.3545251860050928</c:v>
              </c:pt>
              <c:pt idx="2307">
                <c:v>0.3545251860050928</c:v>
              </c:pt>
              <c:pt idx="2308">
                <c:v>0.35468522217160176</c:v>
              </c:pt>
              <c:pt idx="2309">
                <c:v>0.35468522217160176</c:v>
              </c:pt>
              <c:pt idx="2310">
                <c:v>0.35484525833811076</c:v>
              </c:pt>
              <c:pt idx="2311">
                <c:v>0.35484525833811076</c:v>
              </c:pt>
              <c:pt idx="2312">
                <c:v>0.35500529450461976</c:v>
              </c:pt>
              <c:pt idx="2313">
                <c:v>0.35500529450461976</c:v>
              </c:pt>
              <c:pt idx="2314">
                <c:v>0.35516533067112876</c:v>
              </c:pt>
              <c:pt idx="2315">
                <c:v>0.35516533067112876</c:v>
              </c:pt>
              <c:pt idx="2316">
                <c:v>0.35532536683763777</c:v>
              </c:pt>
              <c:pt idx="2317">
                <c:v>0.35532536683763777</c:v>
              </c:pt>
              <c:pt idx="2318">
                <c:v>0.3554854030041467</c:v>
              </c:pt>
              <c:pt idx="2319">
                <c:v>0.3554854030041467</c:v>
              </c:pt>
              <c:pt idx="2320">
                <c:v>0.3556454391706557</c:v>
              </c:pt>
              <c:pt idx="2321">
                <c:v>0.3556454391706557</c:v>
              </c:pt>
              <c:pt idx="2322">
                <c:v>0.3558054753371647</c:v>
              </c:pt>
              <c:pt idx="2323">
                <c:v>0.3558054753371647</c:v>
              </c:pt>
              <c:pt idx="2324">
                <c:v>0.3559655115036737</c:v>
              </c:pt>
              <c:pt idx="2325">
                <c:v>0.3559655115036737</c:v>
              </c:pt>
              <c:pt idx="2326">
                <c:v>0.35612554767018273</c:v>
              </c:pt>
              <c:pt idx="2327">
                <c:v>0.35612554767018273</c:v>
              </c:pt>
              <c:pt idx="2328">
                <c:v>0.3562855838366917</c:v>
              </c:pt>
              <c:pt idx="2329">
                <c:v>0.3562855838366917</c:v>
              </c:pt>
              <c:pt idx="2330">
                <c:v>0.3564456200032007</c:v>
              </c:pt>
              <c:pt idx="2331">
                <c:v>0.3564456200032007</c:v>
              </c:pt>
              <c:pt idx="2332">
                <c:v>0.3566056561697097</c:v>
              </c:pt>
              <c:pt idx="2333">
                <c:v>0.3566056561697097</c:v>
              </c:pt>
              <c:pt idx="2334">
                <c:v>0.3567656923362187</c:v>
              </c:pt>
              <c:pt idx="2335">
                <c:v>0.3567656923362187</c:v>
              </c:pt>
              <c:pt idx="2336">
                <c:v>0.3569257285027277</c:v>
              </c:pt>
              <c:pt idx="2337">
                <c:v>0.3569257285027277</c:v>
              </c:pt>
              <c:pt idx="2338">
                <c:v>0.3570857646692367</c:v>
              </c:pt>
              <c:pt idx="2339">
                <c:v>0.3570857646692367</c:v>
              </c:pt>
              <c:pt idx="2340">
                <c:v>0.35724580083574564</c:v>
              </c:pt>
              <c:pt idx="2341">
                <c:v>0.35724580083574564</c:v>
              </c:pt>
              <c:pt idx="2342">
                <c:v>0.35740583700225464</c:v>
              </c:pt>
              <c:pt idx="2343">
                <c:v>0.35740583700225464</c:v>
              </c:pt>
              <c:pt idx="2344">
                <c:v>0.35756587316876365</c:v>
              </c:pt>
              <c:pt idx="2345">
                <c:v>0.35756587316876365</c:v>
              </c:pt>
              <c:pt idx="2346">
                <c:v>0.35772590933527265</c:v>
              </c:pt>
              <c:pt idx="2347">
                <c:v>0.35772590933527265</c:v>
              </c:pt>
              <c:pt idx="2348">
                <c:v>0.35788594550178165</c:v>
              </c:pt>
              <c:pt idx="2349">
                <c:v>0.35788594550178165</c:v>
              </c:pt>
              <c:pt idx="2350">
                <c:v>0.3580459816682906</c:v>
              </c:pt>
              <c:pt idx="2351">
                <c:v>0.3580459816682906</c:v>
              </c:pt>
              <c:pt idx="2352">
                <c:v>0.3582060178347996</c:v>
              </c:pt>
              <c:pt idx="2353">
                <c:v>0.3582060178347996</c:v>
              </c:pt>
              <c:pt idx="2354">
                <c:v>0.3583660540013086</c:v>
              </c:pt>
              <c:pt idx="2355">
                <c:v>0.3583660540013086</c:v>
              </c:pt>
              <c:pt idx="2356">
                <c:v>0.3585260901678176</c:v>
              </c:pt>
              <c:pt idx="2357">
                <c:v>0.3585260901678176</c:v>
              </c:pt>
              <c:pt idx="2358">
                <c:v>0.3586861263343266</c:v>
              </c:pt>
              <c:pt idx="2359">
                <c:v>0.3586861263343266</c:v>
              </c:pt>
              <c:pt idx="2360">
                <c:v>0.35884616250083556</c:v>
              </c:pt>
              <c:pt idx="2361">
                <c:v>0.35884616250083556</c:v>
              </c:pt>
              <c:pt idx="2362">
                <c:v>0.35900619866734457</c:v>
              </c:pt>
              <c:pt idx="2363">
                <c:v>0.35900619866734457</c:v>
              </c:pt>
              <c:pt idx="2364">
                <c:v>0.35907478559584843</c:v>
              </c:pt>
              <c:pt idx="2365">
                <c:v>0.35907478559584843</c:v>
              </c:pt>
              <c:pt idx="2366">
                <c:v>0.35907478559584843</c:v>
              </c:pt>
              <c:pt idx="2367">
                <c:v>0.35907478559584843</c:v>
              </c:pt>
              <c:pt idx="2368">
                <c:v>0.35907478559584843</c:v>
              </c:pt>
              <c:pt idx="2369">
                <c:v>0.35907478559584843</c:v>
              </c:pt>
              <c:pt idx="2370">
                <c:v>0.35923482176235744</c:v>
              </c:pt>
              <c:pt idx="2371">
                <c:v>0.35923482176235744</c:v>
              </c:pt>
              <c:pt idx="2372">
                <c:v>0.35939485792886644</c:v>
              </c:pt>
              <c:pt idx="2373">
                <c:v>0.35939485792886644</c:v>
              </c:pt>
              <c:pt idx="2374">
                <c:v>0.3595548940953754</c:v>
              </c:pt>
              <c:pt idx="2375">
                <c:v>0.3595548940953754</c:v>
              </c:pt>
              <c:pt idx="2376">
                <c:v>0.3597149302618844</c:v>
              </c:pt>
              <c:pt idx="2377">
                <c:v>0.3597149302618844</c:v>
              </c:pt>
              <c:pt idx="2378">
                <c:v>0.3598749664283934</c:v>
              </c:pt>
              <c:pt idx="2379">
                <c:v>0.3598749664283934</c:v>
              </c:pt>
              <c:pt idx="2380">
                <c:v>0.3600350025949024</c:v>
              </c:pt>
              <c:pt idx="2381">
                <c:v>0.3600350025949024</c:v>
              </c:pt>
              <c:pt idx="2382">
                <c:v>0.3601950387614114</c:v>
              </c:pt>
              <c:pt idx="2383">
                <c:v>0.3601950387614114</c:v>
              </c:pt>
              <c:pt idx="2384">
                <c:v>0.36035507492792035</c:v>
              </c:pt>
              <c:pt idx="2385">
                <c:v>0.36035507492792035</c:v>
              </c:pt>
              <c:pt idx="2386">
                <c:v>0.36051511109442935</c:v>
              </c:pt>
              <c:pt idx="2387">
                <c:v>0.36051511109442935</c:v>
              </c:pt>
              <c:pt idx="2388">
                <c:v>0.36067514726093836</c:v>
              </c:pt>
              <c:pt idx="2389">
                <c:v>0.36067514726093836</c:v>
              </c:pt>
              <c:pt idx="2390">
                <c:v>0.36083518342744736</c:v>
              </c:pt>
              <c:pt idx="2391">
                <c:v>0.36083518342744736</c:v>
              </c:pt>
              <c:pt idx="2392">
                <c:v>0.36099521959395636</c:v>
              </c:pt>
              <c:pt idx="2393">
                <c:v>0.36099521959395636</c:v>
              </c:pt>
              <c:pt idx="2394">
                <c:v>0.3611552557604653</c:v>
              </c:pt>
              <c:pt idx="2395">
                <c:v>0.3611552557604653</c:v>
              </c:pt>
              <c:pt idx="2396">
                <c:v>0.3613152919269743</c:v>
              </c:pt>
              <c:pt idx="2397">
                <c:v>0.3613152919269743</c:v>
              </c:pt>
              <c:pt idx="2398">
                <c:v>0.3614753280934833</c:v>
              </c:pt>
              <c:pt idx="2399">
                <c:v>0.3614753280934833</c:v>
              </c:pt>
              <c:pt idx="2400">
                <c:v>0.3616353642599923</c:v>
              </c:pt>
              <c:pt idx="2401">
                <c:v>0.3616353642599923</c:v>
              </c:pt>
              <c:pt idx="2402">
                <c:v>0.3617954004265013</c:v>
              </c:pt>
              <c:pt idx="2403">
                <c:v>0.3617954004265013</c:v>
              </c:pt>
              <c:pt idx="2404">
                <c:v>0.36195543659301027</c:v>
              </c:pt>
              <c:pt idx="2405">
                <c:v>0.36195543659301027</c:v>
              </c:pt>
              <c:pt idx="2406">
                <c:v>0.3621154727595193</c:v>
              </c:pt>
              <c:pt idx="2407">
                <c:v>0.3621154727595193</c:v>
              </c:pt>
              <c:pt idx="2408">
                <c:v>0.3622755089260283</c:v>
              </c:pt>
              <c:pt idx="2409">
                <c:v>0.3622755089260283</c:v>
              </c:pt>
              <c:pt idx="2410">
                <c:v>0.3624355450925373</c:v>
              </c:pt>
              <c:pt idx="2411">
                <c:v>0.3624355450925373</c:v>
              </c:pt>
              <c:pt idx="2412">
                <c:v>0.3625955812590463</c:v>
              </c:pt>
              <c:pt idx="2413">
                <c:v>0.3625955812590463</c:v>
              </c:pt>
              <c:pt idx="2414">
                <c:v>0.3627556174255553</c:v>
              </c:pt>
              <c:pt idx="2415">
                <c:v>0.3627556174255553</c:v>
              </c:pt>
              <c:pt idx="2416">
                <c:v>0.36291565359206424</c:v>
              </c:pt>
              <c:pt idx="2417">
                <c:v>0.36291565359206424</c:v>
              </c:pt>
              <c:pt idx="2418">
                <c:v>0.36307568975857324</c:v>
              </c:pt>
              <c:pt idx="2419">
                <c:v>0.36307568975857324</c:v>
              </c:pt>
              <c:pt idx="2420">
                <c:v>0.36323572592508224</c:v>
              </c:pt>
              <c:pt idx="2421">
                <c:v>0.36323572592508224</c:v>
              </c:pt>
              <c:pt idx="2422">
                <c:v>0.36339576209159125</c:v>
              </c:pt>
              <c:pt idx="2423">
                <c:v>0.36339576209159125</c:v>
              </c:pt>
              <c:pt idx="2424">
                <c:v>0.36355579825810025</c:v>
              </c:pt>
              <c:pt idx="2425">
                <c:v>0.36355579825810025</c:v>
              </c:pt>
              <c:pt idx="2426">
                <c:v>0.3637158344246092</c:v>
              </c:pt>
              <c:pt idx="2427">
                <c:v>0.3637158344246092</c:v>
              </c:pt>
              <c:pt idx="2428">
                <c:v>0.3638758705911182</c:v>
              </c:pt>
              <c:pt idx="2429">
                <c:v>0.3638758705911182</c:v>
              </c:pt>
              <c:pt idx="2430">
                <c:v>0.3640359067576272</c:v>
              </c:pt>
              <c:pt idx="2431">
                <c:v>0.3640359067576272</c:v>
              </c:pt>
              <c:pt idx="2432">
                <c:v>0.3641959429241362</c:v>
              </c:pt>
              <c:pt idx="2433">
                <c:v>0.3641959429241362</c:v>
              </c:pt>
              <c:pt idx="2434">
                <c:v>0.3643559790906452</c:v>
              </c:pt>
              <c:pt idx="2435">
                <c:v>0.3643559790906452</c:v>
              </c:pt>
              <c:pt idx="2436">
                <c:v>0.36451601525715416</c:v>
              </c:pt>
              <c:pt idx="2437">
                <c:v>0.36451601525715416</c:v>
              </c:pt>
              <c:pt idx="2438">
                <c:v>0.36467605142366316</c:v>
              </c:pt>
              <c:pt idx="2439">
                <c:v>0.36467605142366316</c:v>
              </c:pt>
              <c:pt idx="2440">
                <c:v>0.36483608759017216</c:v>
              </c:pt>
              <c:pt idx="2441">
                <c:v>0.36483608759017216</c:v>
              </c:pt>
              <c:pt idx="2442">
                <c:v>0.36499612375668117</c:v>
              </c:pt>
              <c:pt idx="2443">
                <c:v>0.36499612375668117</c:v>
              </c:pt>
              <c:pt idx="2444">
                <c:v>0.36515615992319017</c:v>
              </c:pt>
              <c:pt idx="2445">
                <c:v>0.36515615992319017</c:v>
              </c:pt>
              <c:pt idx="2446">
                <c:v>0.3653161960896991</c:v>
              </c:pt>
              <c:pt idx="2447">
                <c:v>0.3653161960896991</c:v>
              </c:pt>
              <c:pt idx="2448">
                <c:v>0.3654762322562081</c:v>
              </c:pt>
              <c:pt idx="2449">
                <c:v>0.3654762322562081</c:v>
              </c:pt>
              <c:pt idx="2450">
                <c:v>0.3656362684227171</c:v>
              </c:pt>
              <c:pt idx="2451">
                <c:v>0.3656362684227171</c:v>
              </c:pt>
              <c:pt idx="2452">
                <c:v>0.36579630458922613</c:v>
              </c:pt>
              <c:pt idx="2453">
                <c:v>0.36579630458922613</c:v>
              </c:pt>
              <c:pt idx="2454">
                <c:v>0.36595634075573513</c:v>
              </c:pt>
              <c:pt idx="2455">
                <c:v>0.36595634075573513</c:v>
              </c:pt>
              <c:pt idx="2456">
                <c:v>0.3661163769222441</c:v>
              </c:pt>
              <c:pt idx="2457">
                <c:v>0.3661163769222441</c:v>
              </c:pt>
              <c:pt idx="2458">
                <c:v>0.3662764130887531</c:v>
              </c:pt>
              <c:pt idx="2459">
                <c:v>0.3662764130887531</c:v>
              </c:pt>
              <c:pt idx="2460">
                <c:v>0.3664364492552621</c:v>
              </c:pt>
              <c:pt idx="2461">
                <c:v>0.3664364492552621</c:v>
              </c:pt>
              <c:pt idx="2462">
                <c:v>0.3665964854217711</c:v>
              </c:pt>
              <c:pt idx="2463">
                <c:v>0.3665964854217711</c:v>
              </c:pt>
              <c:pt idx="2464">
                <c:v>0.3667565215882801</c:v>
              </c:pt>
              <c:pt idx="2465">
                <c:v>0.3667565215882801</c:v>
              </c:pt>
              <c:pt idx="2466">
                <c:v>0.36691655775478904</c:v>
              </c:pt>
              <c:pt idx="2467">
                <c:v>0.36691655775478904</c:v>
              </c:pt>
              <c:pt idx="2468">
                <c:v>0.36707659392129804</c:v>
              </c:pt>
              <c:pt idx="2469">
                <c:v>0.36707659392129804</c:v>
              </c:pt>
              <c:pt idx="2470">
                <c:v>0.36723663008780705</c:v>
              </c:pt>
              <c:pt idx="2471">
                <c:v>0.36723663008780705</c:v>
              </c:pt>
              <c:pt idx="2472">
                <c:v>0.36739666625431605</c:v>
              </c:pt>
              <c:pt idx="2473">
                <c:v>0.36739666625431605</c:v>
              </c:pt>
              <c:pt idx="2474">
                <c:v>0.36755670242082505</c:v>
              </c:pt>
              <c:pt idx="2475">
                <c:v>0.36755670242082505</c:v>
              </c:pt>
              <c:pt idx="2476">
                <c:v>0.367716738587334</c:v>
              </c:pt>
              <c:pt idx="2477">
                <c:v>0.367716738587334</c:v>
              </c:pt>
              <c:pt idx="2478">
                <c:v>0.367876774753843</c:v>
              </c:pt>
              <c:pt idx="2479">
                <c:v>0.367876774753843</c:v>
              </c:pt>
              <c:pt idx="2480">
                <c:v>0.368036810920352</c:v>
              </c:pt>
              <c:pt idx="2481">
                <c:v>0.368036810920352</c:v>
              </c:pt>
              <c:pt idx="2482">
                <c:v>0.368196847086861</c:v>
              </c:pt>
              <c:pt idx="2483">
                <c:v>0.368196847086861</c:v>
              </c:pt>
              <c:pt idx="2484">
                <c:v>0.36835688325337</c:v>
              </c:pt>
              <c:pt idx="2485">
                <c:v>0.36835688325337</c:v>
              </c:pt>
              <c:pt idx="2486">
                <c:v>0.36851691941987896</c:v>
              </c:pt>
              <c:pt idx="2487">
                <c:v>0.36851691941987896</c:v>
              </c:pt>
              <c:pt idx="2488">
                <c:v>0.36867695558638797</c:v>
              </c:pt>
              <c:pt idx="2489">
                <c:v>0.36867695558638797</c:v>
              </c:pt>
              <c:pt idx="2490">
                <c:v>0.36883699175289697</c:v>
              </c:pt>
              <c:pt idx="2491">
                <c:v>0.36883699175289697</c:v>
              </c:pt>
              <c:pt idx="2492">
                <c:v>0.368997027919406</c:v>
              </c:pt>
              <c:pt idx="2493">
                <c:v>0.368997027919406</c:v>
              </c:pt>
              <c:pt idx="2494">
                <c:v>0.369157064085915</c:v>
              </c:pt>
              <c:pt idx="2495">
                <c:v>0.369157064085915</c:v>
              </c:pt>
              <c:pt idx="2496">
                <c:v>0.369317100252424</c:v>
              </c:pt>
              <c:pt idx="2497">
                <c:v>0.369317100252424</c:v>
              </c:pt>
              <c:pt idx="2498">
                <c:v>0.3694771364189329</c:v>
              </c:pt>
              <c:pt idx="2499">
                <c:v>0.3694771364189329</c:v>
              </c:pt>
              <c:pt idx="2500">
                <c:v>0.36963717258544193</c:v>
              </c:pt>
              <c:pt idx="2501">
                <c:v>0.36963717258544193</c:v>
              </c:pt>
              <c:pt idx="2502">
                <c:v>0.36979720875195093</c:v>
              </c:pt>
              <c:pt idx="2503">
                <c:v>0.36979720875195093</c:v>
              </c:pt>
              <c:pt idx="2504">
                <c:v>0.36995724491845994</c:v>
              </c:pt>
              <c:pt idx="2505">
                <c:v>0.36995724491845994</c:v>
              </c:pt>
              <c:pt idx="2506">
                <c:v>0.37011728108496894</c:v>
              </c:pt>
              <c:pt idx="2507">
                <c:v>0.37011728108496894</c:v>
              </c:pt>
              <c:pt idx="2508">
                <c:v>0.3702773172514779</c:v>
              </c:pt>
              <c:pt idx="2509">
                <c:v>0.3702773172514779</c:v>
              </c:pt>
              <c:pt idx="2510">
                <c:v>0.3704373534179869</c:v>
              </c:pt>
              <c:pt idx="2511">
                <c:v>0.3704373534179869</c:v>
              </c:pt>
              <c:pt idx="2512">
                <c:v>0.37050594034649076</c:v>
              </c:pt>
              <c:pt idx="2513">
                <c:v>0.37050594034649076</c:v>
              </c:pt>
              <c:pt idx="2514">
                <c:v>0.37050594034649076</c:v>
              </c:pt>
              <c:pt idx="2515">
                <c:v>0.37050594034649076</c:v>
              </c:pt>
              <c:pt idx="2516">
                <c:v>0.37050594034649076</c:v>
              </c:pt>
              <c:pt idx="2517">
                <c:v>0.37050594034649076</c:v>
              </c:pt>
              <c:pt idx="2518">
                <c:v>0.37066597651299976</c:v>
              </c:pt>
              <c:pt idx="2519">
                <c:v>0.37066597651299976</c:v>
              </c:pt>
              <c:pt idx="2520">
                <c:v>0.37082601267950877</c:v>
              </c:pt>
              <c:pt idx="2521">
                <c:v>0.37082601267950877</c:v>
              </c:pt>
              <c:pt idx="2522">
                <c:v>0.3709860488460177</c:v>
              </c:pt>
              <c:pt idx="2523">
                <c:v>0.3709860488460177</c:v>
              </c:pt>
              <c:pt idx="2524">
                <c:v>0.3711460850125267</c:v>
              </c:pt>
              <c:pt idx="2525">
                <c:v>0.3711460850125267</c:v>
              </c:pt>
              <c:pt idx="2526">
                <c:v>0.3713061211790357</c:v>
              </c:pt>
              <c:pt idx="2527">
                <c:v>0.3713061211790357</c:v>
              </c:pt>
              <c:pt idx="2528">
                <c:v>0.3714661573455447</c:v>
              </c:pt>
              <c:pt idx="2529">
                <c:v>0.3714661573455447</c:v>
              </c:pt>
              <c:pt idx="2530">
                <c:v>0.3716261935120537</c:v>
              </c:pt>
              <c:pt idx="2531">
                <c:v>0.3716261935120537</c:v>
              </c:pt>
              <c:pt idx="2532">
                <c:v>0.3717862296785627</c:v>
              </c:pt>
              <c:pt idx="2533">
                <c:v>0.3717862296785627</c:v>
              </c:pt>
              <c:pt idx="2534">
                <c:v>0.3719462658450717</c:v>
              </c:pt>
              <c:pt idx="2535">
                <c:v>0.3719462658450717</c:v>
              </c:pt>
              <c:pt idx="2536">
                <c:v>0.3721063020115807</c:v>
              </c:pt>
              <c:pt idx="2537">
                <c:v>0.3721063020115807</c:v>
              </c:pt>
              <c:pt idx="2538">
                <c:v>0.3722663381780897</c:v>
              </c:pt>
              <c:pt idx="2539">
                <c:v>0.3722663381780897</c:v>
              </c:pt>
              <c:pt idx="2540">
                <c:v>0.3724263743445987</c:v>
              </c:pt>
              <c:pt idx="2541">
                <c:v>0.3724263743445987</c:v>
              </c:pt>
              <c:pt idx="2542">
                <c:v>0.37258641051110764</c:v>
              </c:pt>
              <c:pt idx="2543">
                <c:v>0.37258641051110764</c:v>
              </c:pt>
              <c:pt idx="2544">
                <c:v>0.37274644667761664</c:v>
              </c:pt>
              <c:pt idx="2545">
                <c:v>0.37274644667761664</c:v>
              </c:pt>
              <c:pt idx="2546">
                <c:v>0.37290648284412564</c:v>
              </c:pt>
              <c:pt idx="2547">
                <c:v>0.37290648284412564</c:v>
              </c:pt>
              <c:pt idx="2548">
                <c:v>0.37306651901063465</c:v>
              </c:pt>
              <c:pt idx="2549">
                <c:v>0.37306651901063465</c:v>
              </c:pt>
              <c:pt idx="2550">
                <c:v>0.37322655517714365</c:v>
              </c:pt>
              <c:pt idx="2551">
                <c:v>0.37322655517714365</c:v>
              </c:pt>
              <c:pt idx="2552">
                <c:v>0.3733865913436526</c:v>
              </c:pt>
              <c:pt idx="2553">
                <c:v>0.3733865913436526</c:v>
              </c:pt>
              <c:pt idx="2554">
                <c:v>0.3735466275101616</c:v>
              </c:pt>
              <c:pt idx="2555">
                <c:v>0.3735466275101616</c:v>
              </c:pt>
              <c:pt idx="2556">
                <c:v>0.3737066636766706</c:v>
              </c:pt>
              <c:pt idx="2557">
                <c:v>0.3737066636766706</c:v>
              </c:pt>
              <c:pt idx="2558">
                <c:v>0.3738666998431796</c:v>
              </c:pt>
              <c:pt idx="2559">
                <c:v>0.3738666998431796</c:v>
              </c:pt>
              <c:pt idx="2560">
                <c:v>0.3740267360096886</c:v>
              </c:pt>
              <c:pt idx="2561">
                <c:v>0.3740267360096886</c:v>
              </c:pt>
              <c:pt idx="2562">
                <c:v>0.3741867721761976</c:v>
              </c:pt>
              <c:pt idx="2563">
                <c:v>0.3741867721761976</c:v>
              </c:pt>
              <c:pt idx="2564">
                <c:v>0.37434680834270656</c:v>
              </c:pt>
              <c:pt idx="2565">
                <c:v>0.37434680834270656</c:v>
              </c:pt>
              <c:pt idx="2566">
                <c:v>0.37450684450921556</c:v>
              </c:pt>
              <c:pt idx="2567">
                <c:v>0.37450684450921556</c:v>
              </c:pt>
              <c:pt idx="2568">
                <c:v>0.37466688067572457</c:v>
              </c:pt>
              <c:pt idx="2569">
                <c:v>0.37466688067572457</c:v>
              </c:pt>
              <c:pt idx="2570">
                <c:v>0.37482691684223357</c:v>
              </c:pt>
              <c:pt idx="2571">
                <c:v>0.37482691684223357</c:v>
              </c:pt>
              <c:pt idx="2572">
                <c:v>0.3749869530087426</c:v>
              </c:pt>
              <c:pt idx="2573">
                <c:v>0.3749869530087426</c:v>
              </c:pt>
              <c:pt idx="2574">
                <c:v>0.3751469891752515</c:v>
              </c:pt>
              <c:pt idx="2575">
                <c:v>0.3751469891752515</c:v>
              </c:pt>
              <c:pt idx="2576">
                <c:v>0.3753070253417605</c:v>
              </c:pt>
              <c:pt idx="2577">
                <c:v>0.3753070253417605</c:v>
              </c:pt>
              <c:pt idx="2578">
                <c:v>0.37546706150826953</c:v>
              </c:pt>
              <c:pt idx="2579">
                <c:v>0.37546706150826953</c:v>
              </c:pt>
              <c:pt idx="2580">
                <c:v>0.37562709767477853</c:v>
              </c:pt>
              <c:pt idx="2581">
                <c:v>0.37562709767477853</c:v>
              </c:pt>
              <c:pt idx="2582">
                <c:v>0.37578713384128754</c:v>
              </c:pt>
              <c:pt idx="2583">
                <c:v>0.37578713384128754</c:v>
              </c:pt>
              <c:pt idx="2584">
                <c:v>0.3759471700077965</c:v>
              </c:pt>
              <c:pt idx="2585">
                <c:v>0.3759471700077965</c:v>
              </c:pt>
              <c:pt idx="2586">
                <c:v>0.3761072061743055</c:v>
              </c:pt>
              <c:pt idx="2587">
                <c:v>0.3761072061743055</c:v>
              </c:pt>
              <c:pt idx="2588">
                <c:v>0.3762672423408145</c:v>
              </c:pt>
              <c:pt idx="2589">
                <c:v>0.3762672423408145</c:v>
              </c:pt>
              <c:pt idx="2590">
                <c:v>0.3764272785073235</c:v>
              </c:pt>
              <c:pt idx="2591">
                <c:v>0.3764272785073235</c:v>
              </c:pt>
              <c:pt idx="2592">
                <c:v>0.3765873146738325</c:v>
              </c:pt>
              <c:pt idx="2593">
                <c:v>0.3765873146738325</c:v>
              </c:pt>
              <c:pt idx="2594">
                <c:v>0.37674735084034144</c:v>
              </c:pt>
              <c:pt idx="2595">
                <c:v>0.37674735084034144</c:v>
              </c:pt>
              <c:pt idx="2596">
                <c:v>0.37690738700685045</c:v>
              </c:pt>
              <c:pt idx="2597">
                <c:v>0.37690738700685045</c:v>
              </c:pt>
              <c:pt idx="2598">
                <c:v>0.37706742317335945</c:v>
              </c:pt>
              <c:pt idx="2599">
                <c:v>0.37706742317335945</c:v>
              </c:pt>
              <c:pt idx="2600">
                <c:v>0.37722745933986845</c:v>
              </c:pt>
              <c:pt idx="2601">
                <c:v>0.37722745933986845</c:v>
              </c:pt>
              <c:pt idx="2602">
                <c:v>0.37738749550637746</c:v>
              </c:pt>
              <c:pt idx="2603">
                <c:v>0.37738749550637746</c:v>
              </c:pt>
              <c:pt idx="2604">
                <c:v>0.3775475316728864</c:v>
              </c:pt>
              <c:pt idx="2605">
                <c:v>0.3775475316728864</c:v>
              </c:pt>
              <c:pt idx="2606">
                <c:v>0.3777075678393954</c:v>
              </c:pt>
              <c:pt idx="2607">
                <c:v>0.3777075678393954</c:v>
              </c:pt>
              <c:pt idx="2608">
                <c:v>0.3778676040059044</c:v>
              </c:pt>
              <c:pt idx="2609">
                <c:v>0.3778676040059044</c:v>
              </c:pt>
              <c:pt idx="2610">
                <c:v>0.3780276401724134</c:v>
              </c:pt>
              <c:pt idx="2611">
                <c:v>0.3780276401724134</c:v>
              </c:pt>
              <c:pt idx="2612">
                <c:v>0.3781876763389224</c:v>
              </c:pt>
              <c:pt idx="2613">
                <c:v>0.3781876763389224</c:v>
              </c:pt>
              <c:pt idx="2614">
                <c:v>0.37834771250543137</c:v>
              </c:pt>
              <c:pt idx="2615">
                <c:v>0.37834771250543137</c:v>
              </c:pt>
              <c:pt idx="2616">
                <c:v>0.37850774867194037</c:v>
              </c:pt>
              <c:pt idx="2617">
                <c:v>0.37850774867194037</c:v>
              </c:pt>
              <c:pt idx="2618">
                <c:v>0.3786677848384494</c:v>
              </c:pt>
              <c:pt idx="2619">
                <c:v>0.3786677848384494</c:v>
              </c:pt>
              <c:pt idx="2620">
                <c:v>0.3788278210049584</c:v>
              </c:pt>
              <c:pt idx="2621">
                <c:v>0.3788278210049584</c:v>
              </c:pt>
              <c:pt idx="2622">
                <c:v>0.3789878571714674</c:v>
              </c:pt>
              <c:pt idx="2623">
                <c:v>0.3789878571714674</c:v>
              </c:pt>
              <c:pt idx="2624">
                <c:v>0.3791478933379763</c:v>
              </c:pt>
              <c:pt idx="2625">
                <c:v>0.3791478933379763</c:v>
              </c:pt>
              <c:pt idx="2626">
                <c:v>0.37930792950448533</c:v>
              </c:pt>
              <c:pt idx="2627">
                <c:v>0.37930792950448533</c:v>
              </c:pt>
              <c:pt idx="2628">
                <c:v>0.37946796567099433</c:v>
              </c:pt>
              <c:pt idx="2629">
                <c:v>0.37946796567099433</c:v>
              </c:pt>
              <c:pt idx="2630">
                <c:v>0.37962800183750334</c:v>
              </c:pt>
              <c:pt idx="2631">
                <c:v>0.37962800183750334</c:v>
              </c:pt>
              <c:pt idx="2632">
                <c:v>0.37978803800401234</c:v>
              </c:pt>
              <c:pt idx="2633">
                <c:v>0.37978803800401234</c:v>
              </c:pt>
              <c:pt idx="2634">
                <c:v>0.37994807417052134</c:v>
              </c:pt>
              <c:pt idx="2635">
                <c:v>0.37994807417052134</c:v>
              </c:pt>
              <c:pt idx="2636">
                <c:v>0.3801081103370303</c:v>
              </c:pt>
              <c:pt idx="2637">
                <c:v>0.3801081103370303</c:v>
              </c:pt>
              <c:pt idx="2638">
                <c:v>0.3802681465035393</c:v>
              </c:pt>
              <c:pt idx="2639">
                <c:v>0.3802681465035393</c:v>
              </c:pt>
              <c:pt idx="2640">
                <c:v>0.3804281826700483</c:v>
              </c:pt>
              <c:pt idx="2641">
                <c:v>0.3804281826700483</c:v>
              </c:pt>
              <c:pt idx="2642">
                <c:v>0.3805882188365573</c:v>
              </c:pt>
              <c:pt idx="2643">
                <c:v>0.3805882188365573</c:v>
              </c:pt>
              <c:pt idx="2644">
                <c:v>0.3807482550030663</c:v>
              </c:pt>
              <c:pt idx="2645">
                <c:v>0.3807482550030663</c:v>
              </c:pt>
              <c:pt idx="2646">
                <c:v>0.38090829116957525</c:v>
              </c:pt>
              <c:pt idx="2647">
                <c:v>0.38090829116957525</c:v>
              </c:pt>
              <c:pt idx="2648">
                <c:v>0.38106832733608426</c:v>
              </c:pt>
              <c:pt idx="2649">
                <c:v>0.38106832733608426</c:v>
              </c:pt>
              <c:pt idx="2650">
                <c:v>0.38122836350259326</c:v>
              </c:pt>
              <c:pt idx="2651">
                <c:v>0.38122836350259326</c:v>
              </c:pt>
              <c:pt idx="2652">
                <c:v>0.38138839966910226</c:v>
              </c:pt>
              <c:pt idx="2653">
                <c:v>0.38138839966910226</c:v>
              </c:pt>
              <c:pt idx="2654">
                <c:v>0.38154843583561127</c:v>
              </c:pt>
              <c:pt idx="2655">
                <c:v>0.38154843583561127</c:v>
              </c:pt>
              <c:pt idx="2656">
                <c:v>0.3817084720021202</c:v>
              </c:pt>
              <c:pt idx="2657">
                <c:v>0.3817084720021202</c:v>
              </c:pt>
              <c:pt idx="2658">
                <c:v>0.3818685081686292</c:v>
              </c:pt>
              <c:pt idx="2659">
                <c:v>0.3818685081686292</c:v>
              </c:pt>
              <c:pt idx="2660">
                <c:v>0.3819370950971331</c:v>
              </c:pt>
              <c:pt idx="2661">
                <c:v>0.3819370950971331</c:v>
              </c:pt>
              <c:pt idx="2662">
                <c:v>0.3819370950971331</c:v>
              </c:pt>
              <c:pt idx="2663">
                <c:v>0.3819370950971331</c:v>
              </c:pt>
              <c:pt idx="2664">
                <c:v>0.3819370950971331</c:v>
              </c:pt>
              <c:pt idx="2665">
                <c:v>0.3819370950971331</c:v>
              </c:pt>
              <c:pt idx="2666">
                <c:v>0.3820971312636421</c:v>
              </c:pt>
              <c:pt idx="2667">
                <c:v>0.3820971312636421</c:v>
              </c:pt>
              <c:pt idx="2668">
                <c:v>0.3822571674301511</c:v>
              </c:pt>
              <c:pt idx="2669">
                <c:v>0.3822571674301511</c:v>
              </c:pt>
              <c:pt idx="2670">
                <c:v>0.38241720359666004</c:v>
              </c:pt>
              <c:pt idx="2671">
                <c:v>0.38241720359666004</c:v>
              </c:pt>
              <c:pt idx="2672">
                <c:v>0.38257723976316904</c:v>
              </c:pt>
              <c:pt idx="2673">
                <c:v>0.38257723976316904</c:v>
              </c:pt>
              <c:pt idx="2674">
                <c:v>0.38273727592967804</c:v>
              </c:pt>
              <c:pt idx="2675">
                <c:v>0.38273727592967804</c:v>
              </c:pt>
              <c:pt idx="2676">
                <c:v>0.38289731209618705</c:v>
              </c:pt>
              <c:pt idx="2677">
                <c:v>0.38289731209618705</c:v>
              </c:pt>
              <c:pt idx="2678">
                <c:v>0.38305734826269605</c:v>
              </c:pt>
              <c:pt idx="2679">
                <c:v>0.38305734826269605</c:v>
              </c:pt>
              <c:pt idx="2680">
                <c:v>0.383217384429205</c:v>
              </c:pt>
              <c:pt idx="2681">
                <c:v>0.383217384429205</c:v>
              </c:pt>
              <c:pt idx="2682">
                <c:v>0.383377420595714</c:v>
              </c:pt>
              <c:pt idx="2683">
                <c:v>0.383377420595714</c:v>
              </c:pt>
              <c:pt idx="2684">
                <c:v>0.383537456762223</c:v>
              </c:pt>
              <c:pt idx="2685">
                <c:v>0.383537456762223</c:v>
              </c:pt>
              <c:pt idx="2686">
                <c:v>0.383697492928732</c:v>
              </c:pt>
              <c:pt idx="2687">
                <c:v>0.383697492928732</c:v>
              </c:pt>
              <c:pt idx="2688">
                <c:v>0.383857529095241</c:v>
              </c:pt>
              <c:pt idx="2689">
                <c:v>0.383857529095241</c:v>
              </c:pt>
              <c:pt idx="2690">
                <c:v>0.38401756526174996</c:v>
              </c:pt>
              <c:pt idx="2691">
                <c:v>0.38401756526174996</c:v>
              </c:pt>
              <c:pt idx="2692">
                <c:v>0.38417760142825896</c:v>
              </c:pt>
              <c:pt idx="2693">
                <c:v>0.38417760142825896</c:v>
              </c:pt>
              <c:pt idx="2694">
                <c:v>0.38433763759476797</c:v>
              </c:pt>
              <c:pt idx="2695">
                <c:v>0.38433763759476797</c:v>
              </c:pt>
              <c:pt idx="2696">
                <c:v>0.38449767376127697</c:v>
              </c:pt>
              <c:pt idx="2697">
                <c:v>0.38449767376127697</c:v>
              </c:pt>
              <c:pt idx="2698">
                <c:v>0.384657709927786</c:v>
              </c:pt>
              <c:pt idx="2699">
                <c:v>0.384657709927786</c:v>
              </c:pt>
              <c:pt idx="2700">
                <c:v>0.3848177460942949</c:v>
              </c:pt>
              <c:pt idx="2701">
                <c:v>0.3848177460942949</c:v>
              </c:pt>
              <c:pt idx="2702">
                <c:v>0.3849777822608039</c:v>
              </c:pt>
              <c:pt idx="2703">
                <c:v>0.3849777822608039</c:v>
              </c:pt>
              <c:pt idx="2704">
                <c:v>0.38513781842731293</c:v>
              </c:pt>
              <c:pt idx="2705">
                <c:v>0.38513781842731293</c:v>
              </c:pt>
              <c:pt idx="2706">
                <c:v>0.38529785459382193</c:v>
              </c:pt>
              <c:pt idx="2707">
                <c:v>0.38529785459382193</c:v>
              </c:pt>
              <c:pt idx="2708">
                <c:v>0.38545789076033093</c:v>
              </c:pt>
              <c:pt idx="2709">
                <c:v>0.38545789076033093</c:v>
              </c:pt>
              <c:pt idx="2710">
                <c:v>0.38561792692683994</c:v>
              </c:pt>
              <c:pt idx="2711">
                <c:v>0.38561792692683994</c:v>
              </c:pt>
              <c:pt idx="2712">
                <c:v>0.3857779630933489</c:v>
              </c:pt>
              <c:pt idx="2713">
                <c:v>0.3857779630933489</c:v>
              </c:pt>
              <c:pt idx="2714">
                <c:v>0.3859379992598579</c:v>
              </c:pt>
              <c:pt idx="2715">
                <c:v>0.3859379992598579</c:v>
              </c:pt>
              <c:pt idx="2716">
                <c:v>0.3860980354263669</c:v>
              </c:pt>
              <c:pt idx="2717">
                <c:v>0.3860980354263669</c:v>
              </c:pt>
              <c:pt idx="2718">
                <c:v>0.3862580715928759</c:v>
              </c:pt>
              <c:pt idx="2719">
                <c:v>0.3862580715928759</c:v>
              </c:pt>
              <c:pt idx="2720">
                <c:v>0.3864181077593849</c:v>
              </c:pt>
              <c:pt idx="2721">
                <c:v>0.3864181077593849</c:v>
              </c:pt>
              <c:pt idx="2722">
                <c:v>0.38657814392589385</c:v>
              </c:pt>
              <c:pt idx="2723">
                <c:v>0.38657814392589385</c:v>
              </c:pt>
              <c:pt idx="2724">
                <c:v>0.38673818009240285</c:v>
              </c:pt>
              <c:pt idx="2725">
                <c:v>0.38673818009240285</c:v>
              </c:pt>
              <c:pt idx="2726">
                <c:v>0.38689821625891185</c:v>
              </c:pt>
              <c:pt idx="2727">
                <c:v>0.38689821625891185</c:v>
              </c:pt>
              <c:pt idx="2728">
                <c:v>0.38705825242542086</c:v>
              </c:pt>
              <c:pt idx="2729">
                <c:v>0.38705825242542086</c:v>
              </c:pt>
              <c:pt idx="2730">
                <c:v>0.38721828859192986</c:v>
              </c:pt>
              <c:pt idx="2731">
                <c:v>0.38721828859192986</c:v>
              </c:pt>
              <c:pt idx="2732">
                <c:v>0.3873783247584388</c:v>
              </c:pt>
              <c:pt idx="2733">
                <c:v>0.3873783247584388</c:v>
              </c:pt>
              <c:pt idx="2734">
                <c:v>0.3875383609249478</c:v>
              </c:pt>
              <c:pt idx="2735">
                <c:v>0.3875383609249478</c:v>
              </c:pt>
              <c:pt idx="2736">
                <c:v>0.3876983970914568</c:v>
              </c:pt>
              <c:pt idx="2737">
                <c:v>0.3876983970914568</c:v>
              </c:pt>
              <c:pt idx="2738">
                <c:v>0.3878584332579658</c:v>
              </c:pt>
              <c:pt idx="2739">
                <c:v>0.3878584332579658</c:v>
              </c:pt>
              <c:pt idx="2740">
                <c:v>0.3880184694244748</c:v>
              </c:pt>
              <c:pt idx="2741">
                <c:v>0.3880184694244748</c:v>
              </c:pt>
              <c:pt idx="2742">
                <c:v>0.38817850559098377</c:v>
              </c:pt>
              <c:pt idx="2743">
                <c:v>0.38817850559098377</c:v>
              </c:pt>
              <c:pt idx="2744">
                <c:v>0.3883385417574928</c:v>
              </c:pt>
              <c:pt idx="2745">
                <c:v>0.3883385417574928</c:v>
              </c:pt>
              <c:pt idx="2746">
                <c:v>0.3884985779240018</c:v>
              </c:pt>
              <c:pt idx="2747">
                <c:v>0.3884985779240018</c:v>
              </c:pt>
              <c:pt idx="2748">
                <c:v>0.3886586140905108</c:v>
              </c:pt>
              <c:pt idx="2749">
                <c:v>0.3886586140905108</c:v>
              </c:pt>
              <c:pt idx="2750">
                <c:v>0.3888186502570198</c:v>
              </c:pt>
              <c:pt idx="2751">
                <c:v>0.3888186502570198</c:v>
              </c:pt>
              <c:pt idx="2752">
                <c:v>0.38897868642352873</c:v>
              </c:pt>
              <c:pt idx="2753">
                <c:v>0.38897868642352873</c:v>
              </c:pt>
              <c:pt idx="2754">
                <c:v>0.38913872259003773</c:v>
              </c:pt>
              <c:pt idx="2755">
                <c:v>0.38913872259003773</c:v>
              </c:pt>
              <c:pt idx="2756">
                <c:v>0.38929875875654674</c:v>
              </c:pt>
              <c:pt idx="2757">
                <c:v>0.38929875875654674</c:v>
              </c:pt>
              <c:pt idx="2758">
                <c:v>0.38945879492305574</c:v>
              </c:pt>
              <c:pt idx="2759">
                <c:v>0.38945879492305574</c:v>
              </c:pt>
              <c:pt idx="2760">
                <c:v>0.38961883108956474</c:v>
              </c:pt>
              <c:pt idx="2761">
                <c:v>0.38961883108956474</c:v>
              </c:pt>
              <c:pt idx="2762">
                <c:v>0.3897788672560737</c:v>
              </c:pt>
              <c:pt idx="2763">
                <c:v>0.3897788672560737</c:v>
              </c:pt>
              <c:pt idx="2764">
                <c:v>0.3899389034225827</c:v>
              </c:pt>
              <c:pt idx="2765">
                <c:v>0.3899389034225827</c:v>
              </c:pt>
              <c:pt idx="2766">
                <c:v>0.3900989395890917</c:v>
              </c:pt>
              <c:pt idx="2767">
                <c:v>0.3900989395890917</c:v>
              </c:pt>
              <c:pt idx="2768">
                <c:v>0.3902589757556007</c:v>
              </c:pt>
              <c:pt idx="2769">
                <c:v>0.3902589757556007</c:v>
              </c:pt>
              <c:pt idx="2770">
                <c:v>0.3904190119221097</c:v>
              </c:pt>
              <c:pt idx="2771">
                <c:v>0.3904190119221097</c:v>
              </c:pt>
              <c:pt idx="2772">
                <c:v>0.39057904808861865</c:v>
              </c:pt>
              <c:pt idx="2773">
                <c:v>0.39057904808861865</c:v>
              </c:pt>
              <c:pt idx="2774">
                <c:v>0.39073908425512766</c:v>
              </c:pt>
              <c:pt idx="2775">
                <c:v>0.39073908425512766</c:v>
              </c:pt>
              <c:pt idx="2776">
                <c:v>0.39089912042163666</c:v>
              </c:pt>
              <c:pt idx="2777">
                <c:v>0.39089912042163666</c:v>
              </c:pt>
              <c:pt idx="2778">
                <c:v>0.39105915658814566</c:v>
              </c:pt>
              <c:pt idx="2779">
                <c:v>0.39105915658814566</c:v>
              </c:pt>
              <c:pt idx="2780">
                <c:v>0.39121919275465467</c:v>
              </c:pt>
              <c:pt idx="2781">
                <c:v>0.39121919275465467</c:v>
              </c:pt>
              <c:pt idx="2782">
                <c:v>0.3913792289211636</c:v>
              </c:pt>
              <c:pt idx="2783">
                <c:v>0.3913792289211636</c:v>
              </c:pt>
              <c:pt idx="2784">
                <c:v>0.3915392650876726</c:v>
              </c:pt>
              <c:pt idx="2785">
                <c:v>0.3915392650876726</c:v>
              </c:pt>
              <c:pt idx="2786">
                <c:v>0.3916993012541816</c:v>
              </c:pt>
              <c:pt idx="2787">
                <c:v>0.3916993012541816</c:v>
              </c:pt>
              <c:pt idx="2788">
                <c:v>0.3918593374206906</c:v>
              </c:pt>
              <c:pt idx="2789">
                <c:v>0.3918593374206906</c:v>
              </c:pt>
              <c:pt idx="2790">
                <c:v>0.3920193735871996</c:v>
              </c:pt>
              <c:pt idx="2791">
                <c:v>0.3920193735871996</c:v>
              </c:pt>
              <c:pt idx="2792">
                <c:v>0.39217940975370863</c:v>
              </c:pt>
              <c:pt idx="2793">
                <c:v>0.39217940975370863</c:v>
              </c:pt>
              <c:pt idx="2794">
                <c:v>0.3923394459202176</c:v>
              </c:pt>
              <c:pt idx="2795">
                <c:v>0.3923394459202176</c:v>
              </c:pt>
              <c:pt idx="2796">
                <c:v>0.3924994820867266</c:v>
              </c:pt>
              <c:pt idx="2797">
                <c:v>0.3924994820867266</c:v>
              </c:pt>
              <c:pt idx="2798">
                <c:v>0.3926595182532356</c:v>
              </c:pt>
              <c:pt idx="2799">
                <c:v>0.3926595182532356</c:v>
              </c:pt>
              <c:pt idx="2800">
                <c:v>0.3928195544197446</c:v>
              </c:pt>
              <c:pt idx="2801">
                <c:v>0.3928195544197446</c:v>
              </c:pt>
              <c:pt idx="2802">
                <c:v>0.3929795905862536</c:v>
              </c:pt>
              <c:pt idx="2803">
                <c:v>0.3929795905862536</c:v>
              </c:pt>
              <c:pt idx="2804">
                <c:v>0.39313962675276254</c:v>
              </c:pt>
              <c:pt idx="2805">
                <c:v>0.39313962675276254</c:v>
              </c:pt>
              <c:pt idx="2806">
                <c:v>0.39329966291927154</c:v>
              </c:pt>
              <c:pt idx="2807">
                <c:v>0.39329966291927154</c:v>
              </c:pt>
              <c:pt idx="2808">
                <c:v>0.3933682498477754</c:v>
              </c:pt>
              <c:pt idx="2809">
                <c:v>0.3933682498477754</c:v>
              </c:pt>
              <c:pt idx="2810">
                <c:v>0.3933682498477754</c:v>
              </c:pt>
              <c:pt idx="2811">
                <c:v>0.3933682498477754</c:v>
              </c:pt>
              <c:pt idx="2812">
                <c:v>0.3933682498477754</c:v>
              </c:pt>
              <c:pt idx="2813">
                <c:v>0.3933682498477754</c:v>
              </c:pt>
              <c:pt idx="2814">
                <c:v>0.3935282860142844</c:v>
              </c:pt>
              <c:pt idx="2815">
                <c:v>0.3935282860142844</c:v>
              </c:pt>
              <c:pt idx="2816">
                <c:v>0.3936883221807934</c:v>
              </c:pt>
              <c:pt idx="2817">
                <c:v>0.3936883221807934</c:v>
              </c:pt>
              <c:pt idx="2818">
                <c:v>0.39384835834730236</c:v>
              </c:pt>
              <c:pt idx="2819">
                <c:v>0.39384835834730236</c:v>
              </c:pt>
              <c:pt idx="2820">
                <c:v>0.39400839451381137</c:v>
              </c:pt>
              <c:pt idx="2821">
                <c:v>0.39400839451381137</c:v>
              </c:pt>
              <c:pt idx="2822">
                <c:v>0.39416843068032037</c:v>
              </c:pt>
              <c:pt idx="2823">
                <c:v>0.39416843068032037</c:v>
              </c:pt>
              <c:pt idx="2824">
                <c:v>0.3943284668468294</c:v>
              </c:pt>
              <c:pt idx="2825">
                <c:v>0.3943284668468294</c:v>
              </c:pt>
              <c:pt idx="2826">
                <c:v>0.3944885030133384</c:v>
              </c:pt>
              <c:pt idx="2827">
                <c:v>0.3944885030133384</c:v>
              </c:pt>
              <c:pt idx="2828">
                <c:v>0.3946485391798473</c:v>
              </c:pt>
              <c:pt idx="2829">
                <c:v>0.3946485391798473</c:v>
              </c:pt>
              <c:pt idx="2830">
                <c:v>0.3948085753463563</c:v>
              </c:pt>
              <c:pt idx="2831">
                <c:v>0.3948085753463563</c:v>
              </c:pt>
              <c:pt idx="2832">
                <c:v>0.39496861151286533</c:v>
              </c:pt>
              <c:pt idx="2833">
                <c:v>0.39496861151286533</c:v>
              </c:pt>
              <c:pt idx="2834">
                <c:v>0.39512864767937433</c:v>
              </c:pt>
              <c:pt idx="2835">
                <c:v>0.39512864767937433</c:v>
              </c:pt>
              <c:pt idx="2836">
                <c:v>0.39528868384588334</c:v>
              </c:pt>
              <c:pt idx="2837">
                <c:v>0.39528868384588334</c:v>
              </c:pt>
              <c:pt idx="2838">
                <c:v>0.3954487200123923</c:v>
              </c:pt>
              <c:pt idx="2839">
                <c:v>0.3954487200123923</c:v>
              </c:pt>
              <c:pt idx="2840">
                <c:v>0.3956087561789013</c:v>
              </c:pt>
              <c:pt idx="2841">
                <c:v>0.3956087561789013</c:v>
              </c:pt>
              <c:pt idx="2842">
                <c:v>0.3957687923454103</c:v>
              </c:pt>
              <c:pt idx="2843">
                <c:v>0.3957687923454103</c:v>
              </c:pt>
              <c:pt idx="2844">
                <c:v>0.3959288285119193</c:v>
              </c:pt>
              <c:pt idx="2845">
                <c:v>0.3959288285119193</c:v>
              </c:pt>
              <c:pt idx="2846">
                <c:v>0.3960888646784283</c:v>
              </c:pt>
              <c:pt idx="2847">
                <c:v>0.3960888646784283</c:v>
              </c:pt>
              <c:pt idx="2848">
                <c:v>0.39624890084493725</c:v>
              </c:pt>
              <c:pt idx="2849">
                <c:v>0.39624890084493725</c:v>
              </c:pt>
              <c:pt idx="2850">
                <c:v>0.39640893701144625</c:v>
              </c:pt>
              <c:pt idx="2851">
                <c:v>0.39640893701144625</c:v>
              </c:pt>
              <c:pt idx="2852">
                <c:v>0.39656897317795525</c:v>
              </c:pt>
              <c:pt idx="2853">
                <c:v>0.39656897317795525</c:v>
              </c:pt>
              <c:pt idx="2854">
                <c:v>0.39672900934446426</c:v>
              </c:pt>
              <c:pt idx="2855">
                <c:v>0.39672900934446426</c:v>
              </c:pt>
              <c:pt idx="2856">
                <c:v>0.39688904551097326</c:v>
              </c:pt>
              <c:pt idx="2857">
                <c:v>0.39688904551097326</c:v>
              </c:pt>
              <c:pt idx="2858">
                <c:v>0.39704908167748226</c:v>
              </c:pt>
              <c:pt idx="2859">
                <c:v>0.39704908167748226</c:v>
              </c:pt>
              <c:pt idx="2860">
                <c:v>0.3972091178439912</c:v>
              </c:pt>
              <c:pt idx="2861">
                <c:v>0.3972091178439912</c:v>
              </c:pt>
              <c:pt idx="2862">
                <c:v>0.3973691540105002</c:v>
              </c:pt>
              <c:pt idx="2863">
                <c:v>0.3973691540105002</c:v>
              </c:pt>
              <c:pt idx="2864">
                <c:v>0.3975291901770092</c:v>
              </c:pt>
              <c:pt idx="2865">
                <c:v>0.3975291901770092</c:v>
              </c:pt>
              <c:pt idx="2866">
                <c:v>0.3976892263435182</c:v>
              </c:pt>
              <c:pt idx="2867">
                <c:v>0.3976892263435182</c:v>
              </c:pt>
              <c:pt idx="2868">
                <c:v>0.3978492625100272</c:v>
              </c:pt>
              <c:pt idx="2869">
                <c:v>0.3978492625100272</c:v>
              </c:pt>
              <c:pt idx="2870">
                <c:v>0.39800929867653617</c:v>
              </c:pt>
              <c:pt idx="2871">
                <c:v>0.39800929867653617</c:v>
              </c:pt>
              <c:pt idx="2872">
                <c:v>0.3981693348430452</c:v>
              </c:pt>
              <c:pt idx="2873">
                <c:v>0.3981693348430452</c:v>
              </c:pt>
              <c:pt idx="2874">
                <c:v>0.3983293710095542</c:v>
              </c:pt>
              <c:pt idx="2875">
                <c:v>0.3983293710095542</c:v>
              </c:pt>
              <c:pt idx="2876">
                <c:v>0.3984894071760632</c:v>
              </c:pt>
              <c:pt idx="2877">
                <c:v>0.3984894071760632</c:v>
              </c:pt>
              <c:pt idx="2878">
                <c:v>0.3986494433425722</c:v>
              </c:pt>
              <c:pt idx="2879">
                <c:v>0.3986494433425722</c:v>
              </c:pt>
              <c:pt idx="2880">
                <c:v>0.39880947950908113</c:v>
              </c:pt>
              <c:pt idx="2881">
                <c:v>0.39880947950908113</c:v>
              </c:pt>
              <c:pt idx="2882">
                <c:v>0.39896951567559014</c:v>
              </c:pt>
              <c:pt idx="2883">
                <c:v>0.39896951567559014</c:v>
              </c:pt>
              <c:pt idx="2884">
                <c:v>0.39912955184209914</c:v>
              </c:pt>
              <c:pt idx="2885">
                <c:v>0.39912955184209914</c:v>
              </c:pt>
              <c:pt idx="2886">
                <c:v>0.39928958800860814</c:v>
              </c:pt>
              <c:pt idx="2887">
                <c:v>0.39928958800860814</c:v>
              </c:pt>
              <c:pt idx="2888">
                <c:v>0.39944962417511715</c:v>
              </c:pt>
              <c:pt idx="2889">
                <c:v>0.39944962417511715</c:v>
              </c:pt>
              <c:pt idx="2890">
                <c:v>0.3996096603416261</c:v>
              </c:pt>
              <c:pt idx="2891">
                <c:v>0.3996096603416261</c:v>
              </c:pt>
              <c:pt idx="2892">
                <c:v>0.3997696965081351</c:v>
              </c:pt>
              <c:pt idx="2893">
                <c:v>0.3997696965081351</c:v>
              </c:pt>
              <c:pt idx="2894">
                <c:v>0.3999297326746441</c:v>
              </c:pt>
              <c:pt idx="2895">
                <c:v>0.3999297326746441</c:v>
              </c:pt>
              <c:pt idx="2896">
                <c:v>0.4000897688411531</c:v>
              </c:pt>
              <c:pt idx="2897">
                <c:v>0.4000897688411531</c:v>
              </c:pt>
              <c:pt idx="2898">
                <c:v>0.4002498050076621</c:v>
              </c:pt>
              <c:pt idx="2899">
                <c:v>0.4002498050076621</c:v>
              </c:pt>
              <c:pt idx="2900">
                <c:v>0.40040984117417106</c:v>
              </c:pt>
              <c:pt idx="2901">
                <c:v>0.40040984117417106</c:v>
              </c:pt>
              <c:pt idx="2902">
                <c:v>0.40056987734068006</c:v>
              </c:pt>
              <c:pt idx="2903">
                <c:v>0.40056987734068006</c:v>
              </c:pt>
              <c:pt idx="2904">
                <c:v>0.40072991350718906</c:v>
              </c:pt>
              <c:pt idx="2905">
                <c:v>0.40072991350718906</c:v>
              </c:pt>
              <c:pt idx="2906">
                <c:v>0.40088994967369806</c:v>
              </c:pt>
              <c:pt idx="2907">
                <c:v>0.40088994967369806</c:v>
              </c:pt>
              <c:pt idx="2908">
                <c:v>0.40104998584020707</c:v>
              </c:pt>
              <c:pt idx="2909">
                <c:v>0.40104998584020707</c:v>
              </c:pt>
              <c:pt idx="2910">
                <c:v>0.401210022006716</c:v>
              </c:pt>
              <c:pt idx="2911">
                <c:v>0.401210022006716</c:v>
              </c:pt>
              <c:pt idx="2912">
                <c:v>0.401370058173225</c:v>
              </c:pt>
              <c:pt idx="2913">
                <c:v>0.401370058173225</c:v>
              </c:pt>
              <c:pt idx="2914">
                <c:v>0.401530094339734</c:v>
              </c:pt>
              <c:pt idx="2915">
                <c:v>0.401530094339734</c:v>
              </c:pt>
              <c:pt idx="2916">
                <c:v>0.401690130506243</c:v>
              </c:pt>
              <c:pt idx="2917">
                <c:v>0.401690130506243</c:v>
              </c:pt>
              <c:pt idx="2918">
                <c:v>0.40185016667275203</c:v>
              </c:pt>
              <c:pt idx="2919">
                <c:v>0.40185016667275203</c:v>
              </c:pt>
              <c:pt idx="2920">
                <c:v>0.402010202839261</c:v>
              </c:pt>
              <c:pt idx="2921">
                <c:v>0.402010202839261</c:v>
              </c:pt>
              <c:pt idx="2922">
                <c:v>0.40217023900577</c:v>
              </c:pt>
              <c:pt idx="2923">
                <c:v>0.40217023900577</c:v>
              </c:pt>
              <c:pt idx="2924">
                <c:v>0.402330275172279</c:v>
              </c:pt>
              <c:pt idx="2925">
                <c:v>0.402330275172279</c:v>
              </c:pt>
              <c:pt idx="2926">
                <c:v>0.402490311338788</c:v>
              </c:pt>
              <c:pt idx="2927">
                <c:v>0.402490311338788</c:v>
              </c:pt>
              <c:pt idx="2928">
                <c:v>0.402650347505297</c:v>
              </c:pt>
              <c:pt idx="2929">
                <c:v>0.402650347505297</c:v>
              </c:pt>
              <c:pt idx="2930">
                <c:v>0.402810383671806</c:v>
              </c:pt>
              <c:pt idx="2931">
                <c:v>0.402810383671806</c:v>
              </c:pt>
              <c:pt idx="2932">
                <c:v>0.40297041983831494</c:v>
              </c:pt>
              <c:pt idx="2933">
                <c:v>0.40297041983831494</c:v>
              </c:pt>
              <c:pt idx="2934">
                <c:v>0.40313045600482394</c:v>
              </c:pt>
              <c:pt idx="2935">
                <c:v>0.40313045600482394</c:v>
              </c:pt>
              <c:pt idx="2936">
                <c:v>0.40329049217133295</c:v>
              </c:pt>
              <c:pt idx="2937">
                <c:v>0.40329049217133295</c:v>
              </c:pt>
              <c:pt idx="2938">
                <c:v>0.40345052833784195</c:v>
              </c:pt>
              <c:pt idx="2939">
                <c:v>0.40345052833784195</c:v>
              </c:pt>
              <c:pt idx="2940">
                <c:v>0.40361056450435095</c:v>
              </c:pt>
              <c:pt idx="2941">
                <c:v>0.40361056450435095</c:v>
              </c:pt>
              <c:pt idx="2942">
                <c:v>0.4037706006708599</c:v>
              </c:pt>
              <c:pt idx="2943">
                <c:v>0.4037706006708599</c:v>
              </c:pt>
              <c:pt idx="2944">
                <c:v>0.4039306368373689</c:v>
              </c:pt>
              <c:pt idx="2945">
                <c:v>0.4039306368373689</c:v>
              </c:pt>
              <c:pt idx="2946">
                <c:v>0.4040906730038779</c:v>
              </c:pt>
              <c:pt idx="2947">
                <c:v>0.4040906730038779</c:v>
              </c:pt>
              <c:pt idx="2948">
                <c:v>0.4042507091703869</c:v>
              </c:pt>
              <c:pt idx="2949">
                <c:v>0.4042507091703869</c:v>
              </c:pt>
              <c:pt idx="2950">
                <c:v>0.4044107453368959</c:v>
              </c:pt>
              <c:pt idx="2951">
                <c:v>0.4044107453368959</c:v>
              </c:pt>
              <c:pt idx="2952">
                <c:v>0.40457078150340486</c:v>
              </c:pt>
              <c:pt idx="2953">
                <c:v>0.40457078150340486</c:v>
              </c:pt>
              <c:pt idx="2954">
                <c:v>0.40473081766991387</c:v>
              </c:pt>
              <c:pt idx="2955">
                <c:v>0.40473081766991387</c:v>
              </c:pt>
              <c:pt idx="2956">
                <c:v>0.40479940459841773</c:v>
              </c:pt>
              <c:pt idx="2957">
                <c:v>0.40479940459841773</c:v>
              </c:pt>
              <c:pt idx="2958">
                <c:v>0.40479940459841773</c:v>
              </c:pt>
              <c:pt idx="2959">
                <c:v>0.40479940459841773</c:v>
              </c:pt>
              <c:pt idx="2960">
                <c:v>0.40479940459841773</c:v>
              </c:pt>
              <c:pt idx="2961">
                <c:v>0.40479940459841773</c:v>
              </c:pt>
              <c:pt idx="2962">
                <c:v>0.40495944076492674</c:v>
              </c:pt>
              <c:pt idx="2963">
                <c:v>0.40495944076492674</c:v>
              </c:pt>
              <c:pt idx="2964">
                <c:v>0.40511947693143574</c:v>
              </c:pt>
              <c:pt idx="2965">
                <c:v>0.40511947693143574</c:v>
              </c:pt>
              <c:pt idx="2966">
                <c:v>0.4052795130979447</c:v>
              </c:pt>
              <c:pt idx="2967">
                <c:v>0.4052795130979447</c:v>
              </c:pt>
              <c:pt idx="2968">
                <c:v>0.4054395492644537</c:v>
              </c:pt>
              <c:pt idx="2969">
                <c:v>0.4054395492644537</c:v>
              </c:pt>
              <c:pt idx="2970">
                <c:v>0.4055995854309627</c:v>
              </c:pt>
              <c:pt idx="2971">
                <c:v>0.4055995854309627</c:v>
              </c:pt>
              <c:pt idx="2972">
                <c:v>0.4057596215974717</c:v>
              </c:pt>
              <c:pt idx="2973">
                <c:v>0.4057596215974717</c:v>
              </c:pt>
              <c:pt idx="2974">
                <c:v>0.4059196577639807</c:v>
              </c:pt>
              <c:pt idx="2975">
                <c:v>0.4059196577639807</c:v>
              </c:pt>
              <c:pt idx="2976">
                <c:v>0.40607969393048965</c:v>
              </c:pt>
              <c:pt idx="2977">
                <c:v>0.40607969393048965</c:v>
              </c:pt>
              <c:pt idx="2978">
                <c:v>0.40623973009699865</c:v>
              </c:pt>
              <c:pt idx="2979">
                <c:v>0.40623973009699865</c:v>
              </c:pt>
              <c:pt idx="2980">
                <c:v>0.40639976626350766</c:v>
              </c:pt>
              <c:pt idx="2981">
                <c:v>0.40639976626350766</c:v>
              </c:pt>
              <c:pt idx="2982">
                <c:v>0.40655980243001666</c:v>
              </c:pt>
              <c:pt idx="2983">
                <c:v>0.40655980243001666</c:v>
              </c:pt>
              <c:pt idx="2984">
                <c:v>0.40671983859652566</c:v>
              </c:pt>
              <c:pt idx="2985">
                <c:v>0.40671983859652566</c:v>
              </c:pt>
              <c:pt idx="2986">
                <c:v>0.4068798747630346</c:v>
              </c:pt>
              <c:pt idx="2987">
                <c:v>0.4068798747630346</c:v>
              </c:pt>
              <c:pt idx="2988">
                <c:v>0.4070399109295436</c:v>
              </c:pt>
              <c:pt idx="2989">
                <c:v>0.4070399109295436</c:v>
              </c:pt>
              <c:pt idx="2990">
                <c:v>0.4071999470960526</c:v>
              </c:pt>
              <c:pt idx="2991">
                <c:v>0.4071999470960526</c:v>
              </c:pt>
              <c:pt idx="2992">
                <c:v>0.4073599832625616</c:v>
              </c:pt>
              <c:pt idx="2993">
                <c:v>0.4073599832625616</c:v>
              </c:pt>
              <c:pt idx="2994">
                <c:v>0.4075200194290706</c:v>
              </c:pt>
              <c:pt idx="2995">
                <c:v>0.4075200194290706</c:v>
              </c:pt>
              <c:pt idx="2996">
                <c:v>0.40768005559557957</c:v>
              </c:pt>
              <c:pt idx="2997">
                <c:v>0.40768005559557957</c:v>
              </c:pt>
              <c:pt idx="2998">
                <c:v>0.4078400917620886</c:v>
              </c:pt>
              <c:pt idx="2999">
                <c:v>0.4078400917620886</c:v>
              </c:pt>
              <c:pt idx="3000">
                <c:v>0.4080001279285976</c:v>
              </c:pt>
              <c:pt idx="3001">
                <c:v>0.4080001279285976</c:v>
              </c:pt>
              <c:pt idx="3002">
                <c:v>0.4081601640951066</c:v>
              </c:pt>
              <c:pt idx="3003">
                <c:v>0.4081601640951066</c:v>
              </c:pt>
              <c:pt idx="3004">
                <c:v>0.4083202002616156</c:v>
              </c:pt>
              <c:pt idx="3005">
                <c:v>0.4083202002616156</c:v>
              </c:pt>
              <c:pt idx="3006">
                <c:v>0.4084802364281246</c:v>
              </c:pt>
              <c:pt idx="3007">
                <c:v>0.4084802364281246</c:v>
              </c:pt>
              <c:pt idx="3008">
                <c:v>0.40864027259463354</c:v>
              </c:pt>
              <c:pt idx="3009">
                <c:v>0.40864027259463354</c:v>
              </c:pt>
              <c:pt idx="3010">
                <c:v>0.40880030876114254</c:v>
              </c:pt>
              <c:pt idx="3011">
                <c:v>0.40880030876114254</c:v>
              </c:pt>
              <c:pt idx="3012">
                <c:v>0.40896034492765154</c:v>
              </c:pt>
              <c:pt idx="3013">
                <c:v>0.40896034492765154</c:v>
              </c:pt>
              <c:pt idx="3014">
                <c:v>0.40912038109416055</c:v>
              </c:pt>
              <c:pt idx="3015">
                <c:v>0.40912038109416055</c:v>
              </c:pt>
              <c:pt idx="3016">
                <c:v>0.40928041726066955</c:v>
              </c:pt>
              <c:pt idx="3017">
                <c:v>0.40928041726066955</c:v>
              </c:pt>
              <c:pt idx="3018">
                <c:v>0.4094404534271785</c:v>
              </c:pt>
              <c:pt idx="3019">
                <c:v>0.4094404534271785</c:v>
              </c:pt>
              <c:pt idx="3020">
                <c:v>0.4096004895936875</c:v>
              </c:pt>
              <c:pt idx="3021">
                <c:v>0.4096004895936875</c:v>
              </c:pt>
              <c:pt idx="3022">
                <c:v>0.4097605257601965</c:v>
              </c:pt>
              <c:pt idx="3023">
                <c:v>0.4097605257601965</c:v>
              </c:pt>
              <c:pt idx="3024">
                <c:v>0.4099205619267055</c:v>
              </c:pt>
              <c:pt idx="3025">
                <c:v>0.4099205619267055</c:v>
              </c:pt>
              <c:pt idx="3026">
                <c:v>0.4100805980932145</c:v>
              </c:pt>
              <c:pt idx="3027">
                <c:v>0.4100805980932145</c:v>
              </c:pt>
              <c:pt idx="3028">
                <c:v>0.41024063425972346</c:v>
              </c:pt>
              <c:pt idx="3029">
                <c:v>0.41024063425972346</c:v>
              </c:pt>
              <c:pt idx="3030">
                <c:v>0.41040067042623246</c:v>
              </c:pt>
              <c:pt idx="3031">
                <c:v>0.41040067042623246</c:v>
              </c:pt>
              <c:pt idx="3032">
                <c:v>0.41056070659274146</c:v>
              </c:pt>
              <c:pt idx="3033">
                <c:v>0.41056070659274146</c:v>
              </c:pt>
              <c:pt idx="3034">
                <c:v>0.41072074275925047</c:v>
              </c:pt>
              <c:pt idx="3035">
                <c:v>0.41072074275925047</c:v>
              </c:pt>
              <c:pt idx="3036">
                <c:v>0.41088077892575947</c:v>
              </c:pt>
              <c:pt idx="3037">
                <c:v>0.41088077892575947</c:v>
              </c:pt>
              <c:pt idx="3038">
                <c:v>0.4110408150922684</c:v>
              </c:pt>
              <c:pt idx="3039">
                <c:v>0.4110408150922684</c:v>
              </c:pt>
              <c:pt idx="3040">
                <c:v>0.4112008512587774</c:v>
              </c:pt>
              <c:pt idx="3041">
                <c:v>0.4112008512587774</c:v>
              </c:pt>
              <c:pt idx="3042">
                <c:v>0.4113608874252864</c:v>
              </c:pt>
              <c:pt idx="3043">
                <c:v>0.4113608874252864</c:v>
              </c:pt>
              <c:pt idx="3044">
                <c:v>0.41152092359179543</c:v>
              </c:pt>
              <c:pt idx="3045">
                <c:v>0.41152092359179543</c:v>
              </c:pt>
              <c:pt idx="3046">
                <c:v>0.41168095975830443</c:v>
              </c:pt>
              <c:pt idx="3047">
                <c:v>0.41168095975830443</c:v>
              </c:pt>
              <c:pt idx="3048">
                <c:v>0.4118409959248134</c:v>
              </c:pt>
              <c:pt idx="3049">
                <c:v>0.4118409959248134</c:v>
              </c:pt>
              <c:pt idx="3050">
                <c:v>0.4120010320913224</c:v>
              </c:pt>
              <c:pt idx="3051">
                <c:v>0.4120010320913224</c:v>
              </c:pt>
              <c:pt idx="3052">
                <c:v>0.4121610682578314</c:v>
              </c:pt>
              <c:pt idx="3053">
                <c:v>0.4121610682578314</c:v>
              </c:pt>
              <c:pt idx="3054">
                <c:v>0.4123211044243404</c:v>
              </c:pt>
              <c:pt idx="3055">
                <c:v>0.4123211044243404</c:v>
              </c:pt>
              <c:pt idx="3056">
                <c:v>0.4124811405908494</c:v>
              </c:pt>
              <c:pt idx="3057">
                <c:v>0.4124811405908494</c:v>
              </c:pt>
              <c:pt idx="3058">
                <c:v>0.41264117675735834</c:v>
              </c:pt>
              <c:pt idx="3059">
                <c:v>0.41264117675735834</c:v>
              </c:pt>
              <c:pt idx="3060">
                <c:v>0.41280121292386734</c:v>
              </c:pt>
              <c:pt idx="3061">
                <c:v>0.41280121292386734</c:v>
              </c:pt>
              <c:pt idx="3062">
                <c:v>0.41296124909037635</c:v>
              </c:pt>
              <c:pt idx="3063">
                <c:v>0.41296124909037635</c:v>
              </c:pt>
              <c:pt idx="3064">
                <c:v>0.41312128525688535</c:v>
              </c:pt>
              <c:pt idx="3065">
                <c:v>0.41312128525688535</c:v>
              </c:pt>
              <c:pt idx="3066">
                <c:v>0.41328132142339435</c:v>
              </c:pt>
              <c:pt idx="3067">
                <c:v>0.41328132142339435</c:v>
              </c:pt>
              <c:pt idx="3068">
                <c:v>0.4134413575899033</c:v>
              </c:pt>
              <c:pt idx="3069">
                <c:v>0.4134413575899033</c:v>
              </c:pt>
              <c:pt idx="3070">
                <c:v>0.4136013937564123</c:v>
              </c:pt>
              <c:pt idx="3071">
                <c:v>0.4136013937564123</c:v>
              </c:pt>
              <c:pt idx="3072">
                <c:v>0.4137614299229213</c:v>
              </c:pt>
              <c:pt idx="3073">
                <c:v>0.4137614299229213</c:v>
              </c:pt>
              <c:pt idx="3074">
                <c:v>0.4139214660894303</c:v>
              </c:pt>
              <c:pt idx="3075">
                <c:v>0.4139214660894303</c:v>
              </c:pt>
              <c:pt idx="3076">
                <c:v>0.4140815022559393</c:v>
              </c:pt>
              <c:pt idx="3077">
                <c:v>0.4140815022559393</c:v>
              </c:pt>
              <c:pt idx="3078">
                <c:v>0.41424153842244826</c:v>
              </c:pt>
              <c:pt idx="3079">
                <c:v>0.41424153842244826</c:v>
              </c:pt>
              <c:pt idx="3080">
                <c:v>0.41440157458895727</c:v>
              </c:pt>
              <c:pt idx="3081">
                <c:v>0.41440157458895727</c:v>
              </c:pt>
              <c:pt idx="3082">
                <c:v>0.41456161075546627</c:v>
              </c:pt>
              <c:pt idx="3083">
                <c:v>0.41456161075546627</c:v>
              </c:pt>
              <c:pt idx="3084">
                <c:v>0.4147216469219753</c:v>
              </c:pt>
              <c:pt idx="3085">
                <c:v>0.4147216469219753</c:v>
              </c:pt>
              <c:pt idx="3086">
                <c:v>0.4148816830884843</c:v>
              </c:pt>
              <c:pt idx="3087">
                <c:v>0.4148816830884843</c:v>
              </c:pt>
              <c:pt idx="3088">
                <c:v>0.4150417192549933</c:v>
              </c:pt>
              <c:pt idx="3089">
                <c:v>0.4150417192549933</c:v>
              </c:pt>
              <c:pt idx="3090">
                <c:v>0.4152017554215022</c:v>
              </c:pt>
              <c:pt idx="3091">
                <c:v>0.4152017554215022</c:v>
              </c:pt>
              <c:pt idx="3092">
                <c:v>0.41536179158801123</c:v>
              </c:pt>
              <c:pt idx="3093">
                <c:v>0.41536179158801123</c:v>
              </c:pt>
              <c:pt idx="3094">
                <c:v>0.41552182775452023</c:v>
              </c:pt>
              <c:pt idx="3095">
                <c:v>0.41552182775452023</c:v>
              </c:pt>
              <c:pt idx="3096">
                <c:v>0.41568186392102924</c:v>
              </c:pt>
              <c:pt idx="3097">
                <c:v>0.41568186392102924</c:v>
              </c:pt>
              <c:pt idx="3098">
                <c:v>0.41584190008753824</c:v>
              </c:pt>
              <c:pt idx="3099">
                <c:v>0.41584190008753824</c:v>
              </c:pt>
              <c:pt idx="3100">
                <c:v>0.4160019362540472</c:v>
              </c:pt>
              <c:pt idx="3101">
                <c:v>0.4160019362540472</c:v>
              </c:pt>
              <c:pt idx="3102">
                <c:v>0.4161619724205562</c:v>
              </c:pt>
              <c:pt idx="3103">
                <c:v>0.4161619724205562</c:v>
              </c:pt>
              <c:pt idx="3104">
                <c:v>0.41623055934906006</c:v>
              </c:pt>
              <c:pt idx="3105">
                <c:v>0.41623055934906006</c:v>
              </c:pt>
              <c:pt idx="3106">
                <c:v>0.41623055934906006</c:v>
              </c:pt>
            </c:numLit>
          </c:xVal>
          <c:yVal>
            <c:numLit>
              <c:ptCount val="3107"/>
              <c:pt idx="0">
                <c:v>0</c:v>
              </c:pt>
              <c:pt idx="1">
                <c:v>0.05248813554608607</c:v>
              </c:pt>
              <c:pt idx="2">
                <c:v>0.05248813554608607</c:v>
              </c:pt>
              <c:pt idx="3">
                <c:v>0</c:v>
              </c:pt>
              <c:pt idx="4">
                <c:v>0</c:v>
              </c:pt>
              <c:pt idx="5">
                <c:v>0.05248813554608607</c:v>
              </c:pt>
              <c:pt idx="6">
                <c:v>0.05248813554608607</c:v>
              </c:pt>
              <c:pt idx="7">
                <c:v>0</c:v>
              </c:pt>
              <c:pt idx="8">
                <c:v>0</c:v>
              </c:pt>
              <c:pt idx="9">
                <c:v>0.05248813554608607</c:v>
              </c:pt>
              <c:pt idx="10">
                <c:v>0.05248813554608607</c:v>
              </c:pt>
              <c:pt idx="11">
                <c:v>0</c:v>
              </c:pt>
              <c:pt idx="12">
                <c:v>0</c:v>
              </c:pt>
              <c:pt idx="13">
                <c:v>0.05248813554608607</c:v>
              </c:pt>
              <c:pt idx="14">
                <c:v>0.05248813554608607</c:v>
              </c:pt>
              <c:pt idx="15">
                <c:v>0</c:v>
              </c:pt>
              <c:pt idx="16">
                <c:v>0</c:v>
              </c:pt>
              <c:pt idx="17">
                <c:v>0.05248813554608607</c:v>
              </c:pt>
              <c:pt idx="18">
                <c:v>0.05248813554608607</c:v>
              </c:pt>
              <c:pt idx="19">
                <c:v>0</c:v>
              </c:pt>
              <c:pt idx="20">
                <c:v>0</c:v>
              </c:pt>
              <c:pt idx="21">
                <c:v>0.05248813554608607</c:v>
              </c:pt>
              <c:pt idx="22">
                <c:v>0.05248813554608607</c:v>
              </c:pt>
              <c:pt idx="23">
                <c:v>0</c:v>
              </c:pt>
              <c:pt idx="24">
                <c:v>0</c:v>
              </c:pt>
              <c:pt idx="25">
                <c:v>0.05248813554608607</c:v>
              </c:pt>
              <c:pt idx="26">
                <c:v>0.05248813554608607</c:v>
              </c:pt>
              <c:pt idx="27">
                <c:v>0</c:v>
              </c:pt>
              <c:pt idx="28">
                <c:v>0</c:v>
              </c:pt>
              <c:pt idx="29">
                <c:v>0.05248813554608607</c:v>
              </c:pt>
              <c:pt idx="30">
                <c:v>0.05248813554608607</c:v>
              </c:pt>
              <c:pt idx="31">
                <c:v>0</c:v>
              </c:pt>
              <c:pt idx="32">
                <c:v>0</c:v>
              </c:pt>
              <c:pt idx="33">
                <c:v>0.05248813554608607</c:v>
              </c:pt>
              <c:pt idx="34">
                <c:v>0.05248813554608607</c:v>
              </c:pt>
              <c:pt idx="35">
                <c:v>0</c:v>
              </c:pt>
              <c:pt idx="36">
                <c:v>0</c:v>
              </c:pt>
              <c:pt idx="37">
                <c:v>0.05248813554608607</c:v>
              </c:pt>
              <c:pt idx="38">
                <c:v>0.05248813554608607</c:v>
              </c:pt>
              <c:pt idx="39">
                <c:v>0</c:v>
              </c:pt>
              <c:pt idx="40">
                <c:v>0</c:v>
              </c:pt>
              <c:pt idx="41">
                <c:v>0.05248813554608607</c:v>
              </c:pt>
              <c:pt idx="42">
                <c:v>0.05248813554608607</c:v>
              </c:pt>
              <c:pt idx="43">
                <c:v>0</c:v>
              </c:pt>
              <c:pt idx="44">
                <c:v>0</c:v>
              </c:pt>
              <c:pt idx="45">
                <c:v>0.05248813554608607</c:v>
              </c:pt>
              <c:pt idx="46">
                <c:v>0.05248813554608607</c:v>
              </c:pt>
              <c:pt idx="47">
                <c:v>0</c:v>
              </c:pt>
              <c:pt idx="48">
                <c:v>0</c:v>
              </c:pt>
              <c:pt idx="49">
                <c:v>0.05248813554608607</c:v>
              </c:pt>
              <c:pt idx="50">
                <c:v>0.05248813554608607</c:v>
              </c:pt>
              <c:pt idx="51">
                <c:v>0</c:v>
              </c:pt>
              <c:pt idx="52">
                <c:v>0</c:v>
              </c:pt>
              <c:pt idx="53">
                <c:v>0.05248813554608607</c:v>
              </c:pt>
              <c:pt idx="54">
                <c:v>0.05248813554608607</c:v>
              </c:pt>
              <c:pt idx="55">
                <c:v>0</c:v>
              </c:pt>
              <c:pt idx="56">
                <c:v>0</c:v>
              </c:pt>
              <c:pt idx="57">
                <c:v>0.05248813554608607</c:v>
              </c:pt>
              <c:pt idx="58">
                <c:v>0.05248813554608607</c:v>
              </c:pt>
              <c:pt idx="59">
                <c:v>0</c:v>
              </c:pt>
              <c:pt idx="60">
                <c:v>0</c:v>
              </c:pt>
              <c:pt idx="61">
                <c:v>0.05248813554608607</c:v>
              </c:pt>
              <c:pt idx="62">
                <c:v>0.05248813554608607</c:v>
              </c:pt>
              <c:pt idx="63">
                <c:v>0</c:v>
              </c:pt>
              <c:pt idx="64">
                <c:v>0</c:v>
              </c:pt>
              <c:pt idx="65">
                <c:v>0.05248813554608607</c:v>
              </c:pt>
              <c:pt idx="66">
                <c:v>0.05248813554608607</c:v>
              </c:pt>
              <c:pt idx="67">
                <c:v>0</c:v>
              </c:pt>
              <c:pt idx="68">
                <c:v>0</c:v>
              </c:pt>
              <c:pt idx="69">
                <c:v>0.05248813554608607</c:v>
              </c:pt>
              <c:pt idx="70">
                <c:v>0.05248813554608607</c:v>
              </c:pt>
              <c:pt idx="71">
                <c:v>0</c:v>
              </c:pt>
              <c:pt idx="72">
                <c:v>0</c:v>
              </c:pt>
              <c:pt idx="73">
                <c:v>0.05248813554608607</c:v>
              </c:pt>
              <c:pt idx="74">
                <c:v>0.05248813554608607</c:v>
              </c:pt>
              <c:pt idx="75">
                <c:v>0</c:v>
              </c:pt>
              <c:pt idx="76">
                <c:v>0</c:v>
              </c:pt>
              <c:pt idx="77">
                <c:v>0.05248813554608607</c:v>
              </c:pt>
              <c:pt idx="78">
                <c:v>0.05248813554608607</c:v>
              </c:pt>
              <c:pt idx="79">
                <c:v>0</c:v>
              </c:pt>
              <c:pt idx="80">
                <c:v>0</c:v>
              </c:pt>
              <c:pt idx="81">
                <c:v>0.05248813554608607</c:v>
              </c:pt>
              <c:pt idx="82">
                <c:v>0.05248813554608607</c:v>
              </c:pt>
              <c:pt idx="83">
                <c:v>0</c:v>
              </c:pt>
              <c:pt idx="84">
                <c:v>0</c:v>
              </c:pt>
              <c:pt idx="85">
                <c:v>0.05248813554608607</c:v>
              </c:pt>
              <c:pt idx="86">
                <c:v>0.05248813554608607</c:v>
              </c:pt>
              <c:pt idx="87">
                <c:v>0</c:v>
              </c:pt>
              <c:pt idx="88">
                <c:v>0</c:v>
              </c:pt>
              <c:pt idx="89">
                <c:v>0.05248813554608607</c:v>
              </c:pt>
              <c:pt idx="90">
                <c:v>0.05248813554608607</c:v>
              </c:pt>
              <c:pt idx="91">
                <c:v>0</c:v>
              </c:pt>
              <c:pt idx="92">
                <c:v>0</c:v>
              </c:pt>
              <c:pt idx="93">
                <c:v>0.05248813554608607</c:v>
              </c:pt>
              <c:pt idx="94">
                <c:v>0.05248813554608607</c:v>
              </c:pt>
              <c:pt idx="95">
                <c:v>0</c:v>
              </c:pt>
              <c:pt idx="96">
                <c:v>0</c:v>
              </c:pt>
              <c:pt idx="97">
                <c:v>0.05248813554608607</c:v>
              </c:pt>
              <c:pt idx="98">
                <c:v>0.05248813554608607</c:v>
              </c:pt>
              <c:pt idx="99">
                <c:v>0</c:v>
              </c:pt>
              <c:pt idx="100">
                <c:v>0</c:v>
              </c:pt>
              <c:pt idx="101">
                <c:v>0.05248813554608607</c:v>
              </c:pt>
              <c:pt idx="102">
                <c:v>0.05248813554608607</c:v>
              </c:pt>
              <c:pt idx="103">
                <c:v>0</c:v>
              </c:pt>
              <c:pt idx="104">
                <c:v>0</c:v>
              </c:pt>
              <c:pt idx="105">
                <c:v>0.05248813554608607</c:v>
              </c:pt>
              <c:pt idx="106">
                <c:v>0.05248813554608607</c:v>
              </c:pt>
              <c:pt idx="107">
                <c:v>0</c:v>
              </c:pt>
              <c:pt idx="108">
                <c:v>0</c:v>
              </c:pt>
              <c:pt idx="109">
                <c:v>0.05248813554608607</c:v>
              </c:pt>
              <c:pt idx="110">
                <c:v>0.05248813554608607</c:v>
              </c:pt>
              <c:pt idx="111">
                <c:v>0</c:v>
              </c:pt>
              <c:pt idx="112">
                <c:v>0</c:v>
              </c:pt>
              <c:pt idx="113">
                <c:v>0.05248813554608607</c:v>
              </c:pt>
              <c:pt idx="114">
                <c:v>0.05248813554608607</c:v>
              </c:pt>
              <c:pt idx="115">
                <c:v>0</c:v>
              </c:pt>
              <c:pt idx="116">
                <c:v>0</c:v>
              </c:pt>
              <c:pt idx="117">
                <c:v>0.05248813554608607</c:v>
              </c:pt>
              <c:pt idx="118">
                <c:v>0.05248813554608607</c:v>
              </c:pt>
              <c:pt idx="119">
                <c:v>0</c:v>
              </c:pt>
              <c:pt idx="120">
                <c:v>0</c:v>
              </c:pt>
              <c:pt idx="121">
                <c:v>0.05248813554608607</c:v>
              </c:pt>
              <c:pt idx="122">
                <c:v>0.05248813554608607</c:v>
              </c:pt>
              <c:pt idx="123">
                <c:v>0</c:v>
              </c:pt>
              <c:pt idx="124">
                <c:v>0</c:v>
              </c:pt>
              <c:pt idx="125">
                <c:v>0.05248813554608607</c:v>
              </c:pt>
              <c:pt idx="126">
                <c:v>0.05248813554608607</c:v>
              </c:pt>
              <c:pt idx="127">
                <c:v>0</c:v>
              </c:pt>
              <c:pt idx="128">
                <c:v>0</c:v>
              </c:pt>
              <c:pt idx="129">
                <c:v>0.05248813554608607</c:v>
              </c:pt>
              <c:pt idx="130">
                <c:v>0.05248813554608607</c:v>
              </c:pt>
              <c:pt idx="131">
                <c:v>0</c:v>
              </c:pt>
              <c:pt idx="132">
                <c:v>0</c:v>
              </c:pt>
              <c:pt idx="133">
                <c:v>0.05248813554608607</c:v>
              </c:pt>
              <c:pt idx="134">
                <c:v>0.05248813554608607</c:v>
              </c:pt>
              <c:pt idx="135">
                <c:v>0</c:v>
              </c:pt>
              <c:pt idx="136">
                <c:v>0</c:v>
              </c:pt>
              <c:pt idx="137">
                <c:v>0.05248813554608607</c:v>
              </c:pt>
              <c:pt idx="138">
                <c:v>0.05248813554608607</c:v>
              </c:pt>
              <c:pt idx="139">
                <c:v>0</c:v>
              </c:pt>
              <c:pt idx="140">
                <c:v>0</c:v>
              </c:pt>
              <c:pt idx="141">
                <c:v>0.05248813554608607</c:v>
              </c:pt>
              <c:pt idx="142">
                <c:v>0.05248813554608607</c:v>
              </c:pt>
              <c:pt idx="143">
                <c:v>0</c:v>
              </c:pt>
              <c:pt idx="144">
                <c:v>0.05248813554608607</c:v>
              </c:pt>
              <c:pt idx="145">
                <c:v>0</c:v>
              </c:pt>
              <c:pt idx="148">
                <c:v>0</c:v>
              </c:pt>
              <c:pt idx="149">
                <c:v>0.15746440663825823</c:v>
              </c:pt>
              <c:pt idx="150">
                <c:v>0.15746440663825823</c:v>
              </c:pt>
              <c:pt idx="151">
                <c:v>0</c:v>
              </c:pt>
              <c:pt idx="152">
                <c:v>0</c:v>
              </c:pt>
              <c:pt idx="153">
                <c:v>0.15746440663825823</c:v>
              </c:pt>
              <c:pt idx="154">
                <c:v>0.15746440663825823</c:v>
              </c:pt>
              <c:pt idx="155">
                <c:v>0</c:v>
              </c:pt>
              <c:pt idx="156">
                <c:v>0</c:v>
              </c:pt>
              <c:pt idx="157">
                <c:v>0.15746440663825823</c:v>
              </c:pt>
              <c:pt idx="158">
                <c:v>0.15746440663825823</c:v>
              </c:pt>
              <c:pt idx="159">
                <c:v>0</c:v>
              </c:pt>
              <c:pt idx="160">
                <c:v>0</c:v>
              </c:pt>
              <c:pt idx="161">
                <c:v>0.15746440663825823</c:v>
              </c:pt>
              <c:pt idx="162">
                <c:v>0.15746440663825823</c:v>
              </c:pt>
              <c:pt idx="163">
                <c:v>0</c:v>
              </c:pt>
              <c:pt idx="164">
                <c:v>0</c:v>
              </c:pt>
              <c:pt idx="165">
                <c:v>0.15746440663825823</c:v>
              </c:pt>
              <c:pt idx="166">
                <c:v>0.15746440663825823</c:v>
              </c:pt>
              <c:pt idx="167">
                <c:v>0</c:v>
              </c:pt>
              <c:pt idx="168">
                <c:v>0</c:v>
              </c:pt>
              <c:pt idx="169">
                <c:v>0.15746440663825823</c:v>
              </c:pt>
              <c:pt idx="170">
                <c:v>0.15746440663825823</c:v>
              </c:pt>
              <c:pt idx="171">
                <c:v>0</c:v>
              </c:pt>
              <c:pt idx="172">
                <c:v>0</c:v>
              </c:pt>
              <c:pt idx="173">
                <c:v>0.15746440663825823</c:v>
              </c:pt>
              <c:pt idx="174">
                <c:v>0.15746440663825823</c:v>
              </c:pt>
              <c:pt idx="175">
                <c:v>0</c:v>
              </c:pt>
              <c:pt idx="176">
                <c:v>0</c:v>
              </c:pt>
              <c:pt idx="177">
                <c:v>0.15746440663825823</c:v>
              </c:pt>
              <c:pt idx="178">
                <c:v>0.15746440663825823</c:v>
              </c:pt>
              <c:pt idx="179">
                <c:v>0</c:v>
              </c:pt>
              <c:pt idx="180">
                <c:v>0</c:v>
              </c:pt>
              <c:pt idx="181">
                <c:v>0.15746440663825823</c:v>
              </c:pt>
              <c:pt idx="182">
                <c:v>0.15746440663825823</c:v>
              </c:pt>
              <c:pt idx="183">
                <c:v>0</c:v>
              </c:pt>
              <c:pt idx="184">
                <c:v>0</c:v>
              </c:pt>
              <c:pt idx="185">
                <c:v>0.15746440663825823</c:v>
              </c:pt>
              <c:pt idx="186">
                <c:v>0.15746440663825823</c:v>
              </c:pt>
              <c:pt idx="187">
                <c:v>0</c:v>
              </c:pt>
              <c:pt idx="188">
                <c:v>0</c:v>
              </c:pt>
              <c:pt idx="189">
                <c:v>0.15746440663825823</c:v>
              </c:pt>
              <c:pt idx="190">
                <c:v>0.15746440663825823</c:v>
              </c:pt>
              <c:pt idx="191">
                <c:v>0</c:v>
              </c:pt>
              <c:pt idx="192">
                <c:v>0</c:v>
              </c:pt>
              <c:pt idx="193">
                <c:v>0.15746440663825823</c:v>
              </c:pt>
              <c:pt idx="194">
                <c:v>0.15746440663825823</c:v>
              </c:pt>
              <c:pt idx="195">
                <c:v>0</c:v>
              </c:pt>
              <c:pt idx="196">
                <c:v>0</c:v>
              </c:pt>
              <c:pt idx="197">
                <c:v>0.15746440663825823</c:v>
              </c:pt>
              <c:pt idx="198">
                <c:v>0.15746440663825823</c:v>
              </c:pt>
              <c:pt idx="199">
                <c:v>0</c:v>
              </c:pt>
              <c:pt idx="200">
                <c:v>0</c:v>
              </c:pt>
              <c:pt idx="201">
                <c:v>0.15746440663825823</c:v>
              </c:pt>
              <c:pt idx="202">
                <c:v>0.15746440663825823</c:v>
              </c:pt>
              <c:pt idx="203">
                <c:v>0</c:v>
              </c:pt>
              <c:pt idx="204">
                <c:v>0</c:v>
              </c:pt>
              <c:pt idx="205">
                <c:v>0.15746440663825823</c:v>
              </c:pt>
              <c:pt idx="206">
                <c:v>0.15746440663825823</c:v>
              </c:pt>
              <c:pt idx="207">
                <c:v>0</c:v>
              </c:pt>
              <c:pt idx="208">
                <c:v>0</c:v>
              </c:pt>
              <c:pt idx="209">
                <c:v>0.15746440663825823</c:v>
              </c:pt>
              <c:pt idx="210">
                <c:v>0.15746440663825823</c:v>
              </c:pt>
              <c:pt idx="211">
                <c:v>0</c:v>
              </c:pt>
              <c:pt idx="212">
                <c:v>0</c:v>
              </c:pt>
              <c:pt idx="213">
                <c:v>0.15746440663825823</c:v>
              </c:pt>
              <c:pt idx="214">
                <c:v>0.15746440663825823</c:v>
              </c:pt>
              <c:pt idx="215">
                <c:v>0</c:v>
              </c:pt>
              <c:pt idx="216">
                <c:v>0</c:v>
              </c:pt>
              <c:pt idx="217">
                <c:v>0.15746440663825823</c:v>
              </c:pt>
              <c:pt idx="218">
                <c:v>0.15746440663825823</c:v>
              </c:pt>
              <c:pt idx="219">
                <c:v>0</c:v>
              </c:pt>
              <c:pt idx="220">
                <c:v>0</c:v>
              </c:pt>
              <c:pt idx="221">
                <c:v>0.15746440663825823</c:v>
              </c:pt>
              <c:pt idx="222">
                <c:v>0.15746440663825823</c:v>
              </c:pt>
              <c:pt idx="223">
                <c:v>0</c:v>
              </c:pt>
              <c:pt idx="224">
                <c:v>0</c:v>
              </c:pt>
              <c:pt idx="225">
                <c:v>0.15746440663825823</c:v>
              </c:pt>
              <c:pt idx="226">
                <c:v>0.15746440663825823</c:v>
              </c:pt>
              <c:pt idx="227">
                <c:v>0</c:v>
              </c:pt>
              <c:pt idx="228">
                <c:v>0</c:v>
              </c:pt>
              <c:pt idx="229">
                <c:v>0.15746440663825823</c:v>
              </c:pt>
              <c:pt idx="230">
                <c:v>0.15746440663825823</c:v>
              </c:pt>
              <c:pt idx="231">
                <c:v>0</c:v>
              </c:pt>
              <c:pt idx="232">
                <c:v>0</c:v>
              </c:pt>
              <c:pt idx="233">
                <c:v>0.15746440663825823</c:v>
              </c:pt>
              <c:pt idx="234">
                <c:v>0.15746440663825823</c:v>
              </c:pt>
              <c:pt idx="235">
                <c:v>0</c:v>
              </c:pt>
              <c:pt idx="236">
                <c:v>0</c:v>
              </c:pt>
              <c:pt idx="237">
                <c:v>0.15746440663825823</c:v>
              </c:pt>
              <c:pt idx="238">
                <c:v>0.15746440663825823</c:v>
              </c:pt>
              <c:pt idx="239">
                <c:v>0</c:v>
              </c:pt>
              <c:pt idx="240">
                <c:v>0</c:v>
              </c:pt>
              <c:pt idx="241">
                <c:v>0.15746440663825823</c:v>
              </c:pt>
              <c:pt idx="242">
                <c:v>0.15746440663825823</c:v>
              </c:pt>
              <c:pt idx="243">
                <c:v>0</c:v>
              </c:pt>
              <c:pt idx="244">
                <c:v>0</c:v>
              </c:pt>
              <c:pt idx="245">
                <c:v>0.15746440663825823</c:v>
              </c:pt>
              <c:pt idx="246">
                <c:v>0.15746440663825823</c:v>
              </c:pt>
              <c:pt idx="247">
                <c:v>0</c:v>
              </c:pt>
              <c:pt idx="248">
                <c:v>0</c:v>
              </c:pt>
              <c:pt idx="249">
                <c:v>0.15746440663825823</c:v>
              </c:pt>
              <c:pt idx="250">
                <c:v>0.15746440663825823</c:v>
              </c:pt>
              <c:pt idx="251">
                <c:v>0</c:v>
              </c:pt>
              <c:pt idx="252">
                <c:v>0</c:v>
              </c:pt>
              <c:pt idx="253">
                <c:v>0.15746440663825823</c:v>
              </c:pt>
              <c:pt idx="254">
                <c:v>0.15746440663825823</c:v>
              </c:pt>
              <c:pt idx="255">
                <c:v>0</c:v>
              </c:pt>
              <c:pt idx="256">
                <c:v>0</c:v>
              </c:pt>
              <c:pt idx="257">
                <c:v>0.15746440663825823</c:v>
              </c:pt>
              <c:pt idx="258">
                <c:v>0.15746440663825823</c:v>
              </c:pt>
              <c:pt idx="259">
                <c:v>0</c:v>
              </c:pt>
              <c:pt idx="260">
                <c:v>0</c:v>
              </c:pt>
              <c:pt idx="261">
                <c:v>0.15746440663825823</c:v>
              </c:pt>
              <c:pt idx="262">
                <c:v>0.15746440663825823</c:v>
              </c:pt>
              <c:pt idx="263">
                <c:v>0</c:v>
              </c:pt>
              <c:pt idx="264">
                <c:v>0</c:v>
              </c:pt>
              <c:pt idx="265">
                <c:v>0.15746440663825823</c:v>
              </c:pt>
              <c:pt idx="266">
                <c:v>0.15746440663825823</c:v>
              </c:pt>
              <c:pt idx="267">
                <c:v>0</c:v>
              </c:pt>
              <c:pt idx="268">
                <c:v>0</c:v>
              </c:pt>
              <c:pt idx="269">
                <c:v>0.15746440663825823</c:v>
              </c:pt>
              <c:pt idx="270">
                <c:v>0.15746440663825823</c:v>
              </c:pt>
              <c:pt idx="271">
                <c:v>0</c:v>
              </c:pt>
              <c:pt idx="272">
                <c:v>0</c:v>
              </c:pt>
              <c:pt idx="273">
                <c:v>0.15746440663825823</c:v>
              </c:pt>
              <c:pt idx="274">
                <c:v>0.15746440663825823</c:v>
              </c:pt>
              <c:pt idx="275">
                <c:v>0</c:v>
              </c:pt>
              <c:pt idx="276">
                <c:v>0</c:v>
              </c:pt>
              <c:pt idx="277">
                <c:v>0.15746440663825823</c:v>
              </c:pt>
              <c:pt idx="278">
                <c:v>0.15746440663825823</c:v>
              </c:pt>
              <c:pt idx="279">
                <c:v>0</c:v>
              </c:pt>
              <c:pt idx="280">
                <c:v>0</c:v>
              </c:pt>
              <c:pt idx="281">
                <c:v>0.15746440663825823</c:v>
              </c:pt>
              <c:pt idx="282">
                <c:v>0.15746440663825823</c:v>
              </c:pt>
              <c:pt idx="283">
                <c:v>0</c:v>
              </c:pt>
              <c:pt idx="284">
                <c:v>0</c:v>
              </c:pt>
              <c:pt idx="285">
                <c:v>0.15746440663825823</c:v>
              </c:pt>
              <c:pt idx="286">
                <c:v>0.15746440663825823</c:v>
              </c:pt>
              <c:pt idx="287">
                <c:v>0</c:v>
              </c:pt>
              <c:pt idx="288">
                <c:v>0</c:v>
              </c:pt>
              <c:pt idx="289">
                <c:v>0.15746440663825823</c:v>
              </c:pt>
              <c:pt idx="290">
                <c:v>0.15746440663825823</c:v>
              </c:pt>
              <c:pt idx="291">
                <c:v>0</c:v>
              </c:pt>
              <c:pt idx="292">
                <c:v>0.15746440663825823</c:v>
              </c:pt>
              <c:pt idx="293">
                <c:v>0</c:v>
              </c:pt>
              <c:pt idx="296">
                <c:v>0</c:v>
              </c:pt>
              <c:pt idx="297">
                <c:v>0.33242485845854514</c:v>
              </c:pt>
              <c:pt idx="298">
                <c:v>0.33242485845854514</c:v>
              </c:pt>
              <c:pt idx="299">
                <c:v>0</c:v>
              </c:pt>
              <c:pt idx="300">
                <c:v>0</c:v>
              </c:pt>
              <c:pt idx="301">
                <c:v>0.33242485845854514</c:v>
              </c:pt>
              <c:pt idx="302">
                <c:v>0.33242485845854514</c:v>
              </c:pt>
              <c:pt idx="303">
                <c:v>0</c:v>
              </c:pt>
              <c:pt idx="304">
                <c:v>0</c:v>
              </c:pt>
              <c:pt idx="305">
                <c:v>0.33242485845854514</c:v>
              </c:pt>
              <c:pt idx="306">
                <c:v>0.33242485845854514</c:v>
              </c:pt>
              <c:pt idx="307">
                <c:v>0</c:v>
              </c:pt>
              <c:pt idx="308">
                <c:v>0</c:v>
              </c:pt>
              <c:pt idx="309">
                <c:v>0.33242485845854514</c:v>
              </c:pt>
              <c:pt idx="310">
                <c:v>0.33242485845854514</c:v>
              </c:pt>
              <c:pt idx="311">
                <c:v>0</c:v>
              </c:pt>
              <c:pt idx="312">
                <c:v>0</c:v>
              </c:pt>
              <c:pt idx="313">
                <c:v>0.33242485845854514</c:v>
              </c:pt>
              <c:pt idx="314">
                <c:v>0.33242485845854514</c:v>
              </c:pt>
              <c:pt idx="315">
                <c:v>0</c:v>
              </c:pt>
              <c:pt idx="316">
                <c:v>0</c:v>
              </c:pt>
              <c:pt idx="317">
                <c:v>0.33242485845854514</c:v>
              </c:pt>
              <c:pt idx="318">
                <c:v>0.33242485845854514</c:v>
              </c:pt>
              <c:pt idx="319">
                <c:v>0</c:v>
              </c:pt>
              <c:pt idx="320">
                <c:v>0</c:v>
              </c:pt>
              <c:pt idx="321">
                <c:v>0.33242485845854514</c:v>
              </c:pt>
              <c:pt idx="322">
                <c:v>0.33242485845854514</c:v>
              </c:pt>
              <c:pt idx="323">
                <c:v>0</c:v>
              </c:pt>
              <c:pt idx="324">
                <c:v>0</c:v>
              </c:pt>
              <c:pt idx="325">
                <c:v>0.33242485845854514</c:v>
              </c:pt>
              <c:pt idx="326">
                <c:v>0.33242485845854514</c:v>
              </c:pt>
              <c:pt idx="327">
                <c:v>0</c:v>
              </c:pt>
              <c:pt idx="328">
                <c:v>0</c:v>
              </c:pt>
              <c:pt idx="329">
                <c:v>0.33242485845854514</c:v>
              </c:pt>
              <c:pt idx="330">
                <c:v>0.33242485845854514</c:v>
              </c:pt>
              <c:pt idx="331">
                <c:v>0</c:v>
              </c:pt>
              <c:pt idx="332">
                <c:v>0</c:v>
              </c:pt>
              <c:pt idx="333">
                <c:v>0.33242485845854514</c:v>
              </c:pt>
              <c:pt idx="334">
                <c:v>0.33242485845854514</c:v>
              </c:pt>
              <c:pt idx="335">
                <c:v>0</c:v>
              </c:pt>
              <c:pt idx="336">
                <c:v>0</c:v>
              </c:pt>
              <c:pt idx="337">
                <c:v>0.33242485845854514</c:v>
              </c:pt>
              <c:pt idx="338">
                <c:v>0.33242485845854514</c:v>
              </c:pt>
              <c:pt idx="339">
                <c:v>0</c:v>
              </c:pt>
              <c:pt idx="340">
                <c:v>0</c:v>
              </c:pt>
              <c:pt idx="341">
                <c:v>0.33242485845854514</c:v>
              </c:pt>
              <c:pt idx="342">
                <c:v>0.33242485845854514</c:v>
              </c:pt>
              <c:pt idx="343">
                <c:v>0</c:v>
              </c:pt>
              <c:pt idx="344">
                <c:v>0</c:v>
              </c:pt>
              <c:pt idx="345">
                <c:v>0.33242485845854514</c:v>
              </c:pt>
              <c:pt idx="346">
                <c:v>0.33242485845854514</c:v>
              </c:pt>
              <c:pt idx="347">
                <c:v>0</c:v>
              </c:pt>
              <c:pt idx="348">
                <c:v>0</c:v>
              </c:pt>
              <c:pt idx="349">
                <c:v>0.33242485845854514</c:v>
              </c:pt>
              <c:pt idx="350">
                <c:v>0.33242485845854514</c:v>
              </c:pt>
              <c:pt idx="351">
                <c:v>0</c:v>
              </c:pt>
              <c:pt idx="352">
                <c:v>0</c:v>
              </c:pt>
              <c:pt idx="353">
                <c:v>0.33242485845854514</c:v>
              </c:pt>
              <c:pt idx="354">
                <c:v>0.33242485845854514</c:v>
              </c:pt>
              <c:pt idx="355">
                <c:v>0</c:v>
              </c:pt>
              <c:pt idx="356">
                <c:v>0</c:v>
              </c:pt>
              <c:pt idx="357">
                <c:v>0.33242485845854514</c:v>
              </c:pt>
              <c:pt idx="358">
                <c:v>0.33242485845854514</c:v>
              </c:pt>
              <c:pt idx="359">
                <c:v>0</c:v>
              </c:pt>
              <c:pt idx="360">
                <c:v>0</c:v>
              </c:pt>
              <c:pt idx="361">
                <c:v>0.33242485845854514</c:v>
              </c:pt>
              <c:pt idx="362">
                <c:v>0.33242485845854514</c:v>
              </c:pt>
              <c:pt idx="363">
                <c:v>0</c:v>
              </c:pt>
              <c:pt idx="364">
                <c:v>0</c:v>
              </c:pt>
              <c:pt idx="365">
                <c:v>0.33242485845854514</c:v>
              </c:pt>
              <c:pt idx="366">
                <c:v>0.33242485845854514</c:v>
              </c:pt>
              <c:pt idx="367">
                <c:v>0</c:v>
              </c:pt>
              <c:pt idx="368">
                <c:v>0</c:v>
              </c:pt>
              <c:pt idx="369">
                <c:v>0.33242485845854514</c:v>
              </c:pt>
              <c:pt idx="370">
                <c:v>0.33242485845854514</c:v>
              </c:pt>
              <c:pt idx="371">
                <c:v>0</c:v>
              </c:pt>
              <c:pt idx="372">
                <c:v>0</c:v>
              </c:pt>
              <c:pt idx="373">
                <c:v>0.33242485845854514</c:v>
              </c:pt>
              <c:pt idx="374">
                <c:v>0.33242485845854514</c:v>
              </c:pt>
              <c:pt idx="375">
                <c:v>0</c:v>
              </c:pt>
              <c:pt idx="376">
                <c:v>0</c:v>
              </c:pt>
              <c:pt idx="377">
                <c:v>0.33242485845854514</c:v>
              </c:pt>
              <c:pt idx="378">
                <c:v>0.33242485845854514</c:v>
              </c:pt>
              <c:pt idx="379">
                <c:v>0</c:v>
              </c:pt>
              <c:pt idx="380">
                <c:v>0</c:v>
              </c:pt>
              <c:pt idx="381">
                <c:v>0.33242485845854514</c:v>
              </c:pt>
              <c:pt idx="382">
                <c:v>0.33242485845854514</c:v>
              </c:pt>
              <c:pt idx="383">
                <c:v>0</c:v>
              </c:pt>
              <c:pt idx="384">
                <c:v>0</c:v>
              </c:pt>
              <c:pt idx="385">
                <c:v>0.33242485845854514</c:v>
              </c:pt>
              <c:pt idx="386">
                <c:v>0.33242485845854514</c:v>
              </c:pt>
              <c:pt idx="387">
                <c:v>0</c:v>
              </c:pt>
              <c:pt idx="388">
                <c:v>0</c:v>
              </c:pt>
              <c:pt idx="389">
                <c:v>0.33242485845854514</c:v>
              </c:pt>
              <c:pt idx="390">
                <c:v>0.33242485845854514</c:v>
              </c:pt>
              <c:pt idx="391">
                <c:v>0</c:v>
              </c:pt>
              <c:pt idx="392">
                <c:v>0</c:v>
              </c:pt>
              <c:pt idx="393">
                <c:v>0.33242485845854514</c:v>
              </c:pt>
              <c:pt idx="394">
                <c:v>0.33242485845854514</c:v>
              </c:pt>
              <c:pt idx="395">
                <c:v>0</c:v>
              </c:pt>
              <c:pt idx="396">
                <c:v>0</c:v>
              </c:pt>
              <c:pt idx="397">
                <c:v>0.33242485845854514</c:v>
              </c:pt>
              <c:pt idx="398">
                <c:v>0.33242485845854514</c:v>
              </c:pt>
              <c:pt idx="399">
                <c:v>0</c:v>
              </c:pt>
              <c:pt idx="400">
                <c:v>0</c:v>
              </c:pt>
              <c:pt idx="401">
                <c:v>0.33242485845854514</c:v>
              </c:pt>
              <c:pt idx="402">
                <c:v>0.33242485845854514</c:v>
              </c:pt>
              <c:pt idx="403">
                <c:v>0</c:v>
              </c:pt>
              <c:pt idx="404">
                <c:v>0</c:v>
              </c:pt>
              <c:pt idx="405">
                <c:v>0.33242485845854514</c:v>
              </c:pt>
              <c:pt idx="406">
                <c:v>0.33242485845854514</c:v>
              </c:pt>
              <c:pt idx="407">
                <c:v>0</c:v>
              </c:pt>
              <c:pt idx="408">
                <c:v>0</c:v>
              </c:pt>
              <c:pt idx="409">
                <c:v>0.33242485845854514</c:v>
              </c:pt>
              <c:pt idx="410">
                <c:v>0.33242485845854514</c:v>
              </c:pt>
              <c:pt idx="411">
                <c:v>0</c:v>
              </c:pt>
              <c:pt idx="412">
                <c:v>0</c:v>
              </c:pt>
              <c:pt idx="413">
                <c:v>0.33242485845854514</c:v>
              </c:pt>
              <c:pt idx="414">
                <c:v>0.33242485845854514</c:v>
              </c:pt>
              <c:pt idx="415">
                <c:v>0</c:v>
              </c:pt>
              <c:pt idx="416">
                <c:v>0</c:v>
              </c:pt>
              <c:pt idx="417">
                <c:v>0.33242485845854514</c:v>
              </c:pt>
              <c:pt idx="418">
                <c:v>0.33242485845854514</c:v>
              </c:pt>
              <c:pt idx="419">
                <c:v>0</c:v>
              </c:pt>
              <c:pt idx="420">
                <c:v>0</c:v>
              </c:pt>
              <c:pt idx="421">
                <c:v>0.33242485845854514</c:v>
              </c:pt>
              <c:pt idx="422">
                <c:v>0.33242485845854514</c:v>
              </c:pt>
              <c:pt idx="423">
                <c:v>0</c:v>
              </c:pt>
              <c:pt idx="424">
                <c:v>0</c:v>
              </c:pt>
              <c:pt idx="425">
                <c:v>0.33242485845854514</c:v>
              </c:pt>
              <c:pt idx="426">
                <c:v>0.33242485845854514</c:v>
              </c:pt>
              <c:pt idx="427">
                <c:v>0</c:v>
              </c:pt>
              <c:pt idx="428">
                <c:v>0</c:v>
              </c:pt>
              <c:pt idx="429">
                <c:v>0.33242485845854514</c:v>
              </c:pt>
              <c:pt idx="430">
                <c:v>0.33242485845854514</c:v>
              </c:pt>
              <c:pt idx="431">
                <c:v>0</c:v>
              </c:pt>
              <c:pt idx="432">
                <c:v>0</c:v>
              </c:pt>
              <c:pt idx="433">
                <c:v>0.33242485845854514</c:v>
              </c:pt>
              <c:pt idx="434">
                <c:v>0.33242485845854514</c:v>
              </c:pt>
              <c:pt idx="435">
                <c:v>0</c:v>
              </c:pt>
              <c:pt idx="436">
                <c:v>0</c:v>
              </c:pt>
              <c:pt idx="437">
                <c:v>0.33242485845854514</c:v>
              </c:pt>
              <c:pt idx="438">
                <c:v>0.33242485845854514</c:v>
              </c:pt>
              <c:pt idx="439">
                <c:v>0</c:v>
              </c:pt>
              <c:pt idx="440">
                <c:v>0.33242485845854514</c:v>
              </c:pt>
              <c:pt idx="441">
                <c:v>0</c:v>
              </c:pt>
              <c:pt idx="444">
                <c:v>0</c:v>
              </c:pt>
              <c:pt idx="445">
                <c:v>0.5598734458249182</c:v>
              </c:pt>
              <c:pt idx="446">
                <c:v>0.5598734458249182</c:v>
              </c:pt>
              <c:pt idx="447">
                <c:v>0</c:v>
              </c:pt>
              <c:pt idx="448">
                <c:v>0</c:v>
              </c:pt>
              <c:pt idx="449">
                <c:v>0.5598734458249182</c:v>
              </c:pt>
              <c:pt idx="450">
                <c:v>0.5598734458249182</c:v>
              </c:pt>
              <c:pt idx="451">
                <c:v>0</c:v>
              </c:pt>
              <c:pt idx="452">
                <c:v>0</c:v>
              </c:pt>
              <c:pt idx="453">
                <c:v>0.5598734458249182</c:v>
              </c:pt>
              <c:pt idx="454">
                <c:v>0.5598734458249182</c:v>
              </c:pt>
              <c:pt idx="455">
                <c:v>0</c:v>
              </c:pt>
              <c:pt idx="456">
                <c:v>0</c:v>
              </c:pt>
              <c:pt idx="457">
                <c:v>0.5598734458249182</c:v>
              </c:pt>
              <c:pt idx="458">
                <c:v>0.5598734458249182</c:v>
              </c:pt>
              <c:pt idx="459">
                <c:v>0</c:v>
              </c:pt>
              <c:pt idx="460">
                <c:v>0</c:v>
              </c:pt>
              <c:pt idx="461">
                <c:v>0.5598734458249182</c:v>
              </c:pt>
              <c:pt idx="462">
                <c:v>0.5598734458249182</c:v>
              </c:pt>
              <c:pt idx="463">
                <c:v>0</c:v>
              </c:pt>
              <c:pt idx="464">
                <c:v>0</c:v>
              </c:pt>
              <c:pt idx="465">
                <c:v>0.5598734458249182</c:v>
              </c:pt>
              <c:pt idx="466">
                <c:v>0.5598734458249182</c:v>
              </c:pt>
              <c:pt idx="467">
                <c:v>0</c:v>
              </c:pt>
              <c:pt idx="468">
                <c:v>0</c:v>
              </c:pt>
              <c:pt idx="469">
                <c:v>0.5598734458249182</c:v>
              </c:pt>
              <c:pt idx="470">
                <c:v>0.5598734458249182</c:v>
              </c:pt>
              <c:pt idx="471">
                <c:v>0</c:v>
              </c:pt>
              <c:pt idx="472">
                <c:v>0</c:v>
              </c:pt>
              <c:pt idx="473">
                <c:v>0.5598734458249182</c:v>
              </c:pt>
              <c:pt idx="474">
                <c:v>0.5598734458249182</c:v>
              </c:pt>
              <c:pt idx="475">
                <c:v>0</c:v>
              </c:pt>
              <c:pt idx="476">
                <c:v>0</c:v>
              </c:pt>
              <c:pt idx="477">
                <c:v>0.5598734458249182</c:v>
              </c:pt>
              <c:pt idx="478">
                <c:v>0.5598734458249182</c:v>
              </c:pt>
              <c:pt idx="479">
                <c:v>0</c:v>
              </c:pt>
              <c:pt idx="480">
                <c:v>0</c:v>
              </c:pt>
              <c:pt idx="481">
                <c:v>0.5598734458249182</c:v>
              </c:pt>
              <c:pt idx="482">
                <c:v>0.5598734458249182</c:v>
              </c:pt>
              <c:pt idx="483">
                <c:v>0</c:v>
              </c:pt>
              <c:pt idx="484">
                <c:v>0</c:v>
              </c:pt>
              <c:pt idx="485">
                <c:v>0.5598734458249182</c:v>
              </c:pt>
              <c:pt idx="486">
                <c:v>0.5598734458249182</c:v>
              </c:pt>
              <c:pt idx="487">
                <c:v>0</c:v>
              </c:pt>
              <c:pt idx="488">
                <c:v>0</c:v>
              </c:pt>
              <c:pt idx="489">
                <c:v>0.5598734458249182</c:v>
              </c:pt>
              <c:pt idx="490">
                <c:v>0.5598734458249182</c:v>
              </c:pt>
              <c:pt idx="491">
                <c:v>0</c:v>
              </c:pt>
              <c:pt idx="492">
                <c:v>0</c:v>
              </c:pt>
              <c:pt idx="493">
                <c:v>0.5598734458249182</c:v>
              </c:pt>
              <c:pt idx="494">
                <c:v>0.5598734458249182</c:v>
              </c:pt>
              <c:pt idx="495">
                <c:v>0</c:v>
              </c:pt>
              <c:pt idx="496">
                <c:v>0</c:v>
              </c:pt>
              <c:pt idx="497">
                <c:v>0.5598734458249182</c:v>
              </c:pt>
              <c:pt idx="498">
                <c:v>0.5598734458249182</c:v>
              </c:pt>
              <c:pt idx="499">
                <c:v>0</c:v>
              </c:pt>
              <c:pt idx="500">
                <c:v>0</c:v>
              </c:pt>
              <c:pt idx="501">
                <c:v>0.5598734458249182</c:v>
              </c:pt>
              <c:pt idx="502">
                <c:v>0.5598734458249182</c:v>
              </c:pt>
              <c:pt idx="503">
                <c:v>0</c:v>
              </c:pt>
              <c:pt idx="504">
                <c:v>0</c:v>
              </c:pt>
              <c:pt idx="505">
                <c:v>0.5598734458249182</c:v>
              </c:pt>
              <c:pt idx="506">
                <c:v>0.5598734458249182</c:v>
              </c:pt>
              <c:pt idx="507">
                <c:v>0</c:v>
              </c:pt>
              <c:pt idx="508">
                <c:v>0</c:v>
              </c:pt>
              <c:pt idx="509">
                <c:v>0.5598734458249182</c:v>
              </c:pt>
              <c:pt idx="510">
                <c:v>0.5598734458249182</c:v>
              </c:pt>
              <c:pt idx="511">
                <c:v>0</c:v>
              </c:pt>
              <c:pt idx="512">
                <c:v>0</c:v>
              </c:pt>
              <c:pt idx="513">
                <c:v>0.5598734458249182</c:v>
              </c:pt>
              <c:pt idx="514">
                <c:v>0.5598734458249182</c:v>
              </c:pt>
              <c:pt idx="515">
                <c:v>0</c:v>
              </c:pt>
              <c:pt idx="516">
                <c:v>0</c:v>
              </c:pt>
              <c:pt idx="517">
                <c:v>0.5598734458249182</c:v>
              </c:pt>
              <c:pt idx="518">
                <c:v>0.5598734458249182</c:v>
              </c:pt>
              <c:pt idx="519">
                <c:v>0</c:v>
              </c:pt>
              <c:pt idx="520">
                <c:v>0</c:v>
              </c:pt>
              <c:pt idx="521">
                <c:v>0.5598734458249182</c:v>
              </c:pt>
              <c:pt idx="522">
                <c:v>0.5598734458249182</c:v>
              </c:pt>
              <c:pt idx="523">
                <c:v>0</c:v>
              </c:pt>
              <c:pt idx="524">
                <c:v>0</c:v>
              </c:pt>
              <c:pt idx="525">
                <c:v>0.5598734458249182</c:v>
              </c:pt>
              <c:pt idx="526">
                <c:v>0.5598734458249182</c:v>
              </c:pt>
              <c:pt idx="527">
                <c:v>0</c:v>
              </c:pt>
              <c:pt idx="528">
                <c:v>0</c:v>
              </c:pt>
              <c:pt idx="529">
                <c:v>0.5598734458249182</c:v>
              </c:pt>
              <c:pt idx="530">
                <c:v>0.5598734458249182</c:v>
              </c:pt>
              <c:pt idx="531">
                <c:v>0</c:v>
              </c:pt>
              <c:pt idx="532">
                <c:v>0</c:v>
              </c:pt>
              <c:pt idx="533">
                <c:v>0.5598734458249182</c:v>
              </c:pt>
              <c:pt idx="534">
                <c:v>0.5598734458249182</c:v>
              </c:pt>
              <c:pt idx="535">
                <c:v>0</c:v>
              </c:pt>
              <c:pt idx="536">
                <c:v>0</c:v>
              </c:pt>
              <c:pt idx="537">
                <c:v>0.5598734458249182</c:v>
              </c:pt>
              <c:pt idx="538">
                <c:v>0.5598734458249182</c:v>
              </c:pt>
              <c:pt idx="539">
                <c:v>0</c:v>
              </c:pt>
              <c:pt idx="540">
                <c:v>0</c:v>
              </c:pt>
              <c:pt idx="541">
                <c:v>0.5598734458249182</c:v>
              </c:pt>
              <c:pt idx="542">
                <c:v>0.5598734458249182</c:v>
              </c:pt>
              <c:pt idx="543">
                <c:v>0</c:v>
              </c:pt>
              <c:pt idx="544">
                <c:v>0</c:v>
              </c:pt>
              <c:pt idx="545">
                <c:v>0.5598734458249182</c:v>
              </c:pt>
              <c:pt idx="546">
                <c:v>0.5598734458249182</c:v>
              </c:pt>
              <c:pt idx="547">
                <c:v>0</c:v>
              </c:pt>
              <c:pt idx="548">
                <c:v>0</c:v>
              </c:pt>
              <c:pt idx="549">
                <c:v>0.5598734458249182</c:v>
              </c:pt>
              <c:pt idx="550">
                <c:v>0.5598734458249182</c:v>
              </c:pt>
              <c:pt idx="551">
                <c:v>0</c:v>
              </c:pt>
              <c:pt idx="552">
                <c:v>0</c:v>
              </c:pt>
              <c:pt idx="553">
                <c:v>0.5598734458249182</c:v>
              </c:pt>
              <c:pt idx="554">
                <c:v>0.5598734458249182</c:v>
              </c:pt>
              <c:pt idx="555">
                <c:v>0</c:v>
              </c:pt>
              <c:pt idx="556">
                <c:v>0</c:v>
              </c:pt>
              <c:pt idx="557">
                <c:v>0.5598734458249182</c:v>
              </c:pt>
              <c:pt idx="558">
                <c:v>0.5598734458249182</c:v>
              </c:pt>
              <c:pt idx="559">
                <c:v>0</c:v>
              </c:pt>
              <c:pt idx="560">
                <c:v>0</c:v>
              </c:pt>
              <c:pt idx="561">
                <c:v>0.5598734458249182</c:v>
              </c:pt>
              <c:pt idx="562">
                <c:v>0.5598734458249182</c:v>
              </c:pt>
              <c:pt idx="563">
                <c:v>0</c:v>
              </c:pt>
              <c:pt idx="564">
                <c:v>0</c:v>
              </c:pt>
              <c:pt idx="565">
                <c:v>0.5598734458249182</c:v>
              </c:pt>
              <c:pt idx="566">
                <c:v>0.5598734458249182</c:v>
              </c:pt>
              <c:pt idx="567">
                <c:v>0</c:v>
              </c:pt>
              <c:pt idx="568">
                <c:v>0</c:v>
              </c:pt>
              <c:pt idx="569">
                <c:v>0.5598734458249182</c:v>
              </c:pt>
              <c:pt idx="570">
                <c:v>0.5598734458249182</c:v>
              </c:pt>
              <c:pt idx="571">
                <c:v>0</c:v>
              </c:pt>
              <c:pt idx="572">
                <c:v>0</c:v>
              </c:pt>
              <c:pt idx="573">
                <c:v>0.5598734458249182</c:v>
              </c:pt>
              <c:pt idx="574">
                <c:v>0.5598734458249182</c:v>
              </c:pt>
              <c:pt idx="575">
                <c:v>0</c:v>
              </c:pt>
              <c:pt idx="576">
                <c:v>0</c:v>
              </c:pt>
              <c:pt idx="577">
                <c:v>0.5598734458249182</c:v>
              </c:pt>
              <c:pt idx="578">
                <c:v>0.5598734458249182</c:v>
              </c:pt>
              <c:pt idx="579">
                <c:v>0</c:v>
              </c:pt>
              <c:pt idx="580">
                <c:v>0</c:v>
              </c:pt>
              <c:pt idx="581">
                <c:v>0.5598734458249182</c:v>
              </c:pt>
              <c:pt idx="582">
                <c:v>0.5598734458249182</c:v>
              </c:pt>
              <c:pt idx="583">
                <c:v>0</c:v>
              </c:pt>
              <c:pt idx="584">
                <c:v>0</c:v>
              </c:pt>
              <c:pt idx="585">
                <c:v>0.5598734458249182</c:v>
              </c:pt>
              <c:pt idx="586">
                <c:v>0.5598734458249182</c:v>
              </c:pt>
              <c:pt idx="587">
                <c:v>0</c:v>
              </c:pt>
              <c:pt idx="588">
                <c:v>0.5598734458249182</c:v>
              </c:pt>
              <c:pt idx="589">
                <c:v>0</c:v>
              </c:pt>
              <c:pt idx="592">
                <c:v>0</c:v>
              </c:pt>
              <c:pt idx="593">
                <c:v>1.8545807892950414</c:v>
              </c:pt>
              <c:pt idx="594">
                <c:v>1.8545807892950414</c:v>
              </c:pt>
              <c:pt idx="595">
                <c:v>0</c:v>
              </c:pt>
              <c:pt idx="596">
                <c:v>0</c:v>
              </c:pt>
              <c:pt idx="597">
                <c:v>1.8545807892950414</c:v>
              </c:pt>
              <c:pt idx="598">
                <c:v>1.8545807892950414</c:v>
              </c:pt>
              <c:pt idx="599">
                <c:v>0</c:v>
              </c:pt>
              <c:pt idx="600">
                <c:v>0</c:v>
              </c:pt>
              <c:pt idx="601">
                <c:v>1.8545807892950414</c:v>
              </c:pt>
              <c:pt idx="602">
                <c:v>1.8545807892950414</c:v>
              </c:pt>
              <c:pt idx="603">
                <c:v>0</c:v>
              </c:pt>
              <c:pt idx="604">
                <c:v>0</c:v>
              </c:pt>
              <c:pt idx="605">
                <c:v>1.8545807892950414</c:v>
              </c:pt>
              <c:pt idx="606">
                <c:v>1.8545807892950414</c:v>
              </c:pt>
              <c:pt idx="607">
                <c:v>0</c:v>
              </c:pt>
              <c:pt idx="608">
                <c:v>0</c:v>
              </c:pt>
              <c:pt idx="609">
                <c:v>1.8545807892950414</c:v>
              </c:pt>
              <c:pt idx="610">
                <c:v>1.8545807892950414</c:v>
              </c:pt>
              <c:pt idx="611">
                <c:v>0</c:v>
              </c:pt>
              <c:pt idx="612">
                <c:v>0</c:v>
              </c:pt>
              <c:pt idx="613">
                <c:v>1.8545807892950414</c:v>
              </c:pt>
              <c:pt idx="614">
                <c:v>1.8545807892950414</c:v>
              </c:pt>
              <c:pt idx="615">
                <c:v>0</c:v>
              </c:pt>
              <c:pt idx="616">
                <c:v>0</c:v>
              </c:pt>
              <c:pt idx="617">
                <c:v>1.8545807892950414</c:v>
              </c:pt>
              <c:pt idx="618">
                <c:v>1.8545807892950414</c:v>
              </c:pt>
              <c:pt idx="619">
                <c:v>0</c:v>
              </c:pt>
              <c:pt idx="620">
                <c:v>0</c:v>
              </c:pt>
              <c:pt idx="621">
                <c:v>1.8545807892950414</c:v>
              </c:pt>
              <c:pt idx="622">
                <c:v>1.8545807892950414</c:v>
              </c:pt>
              <c:pt idx="623">
                <c:v>0</c:v>
              </c:pt>
              <c:pt idx="624">
                <c:v>0</c:v>
              </c:pt>
              <c:pt idx="625">
                <c:v>1.8545807892950414</c:v>
              </c:pt>
              <c:pt idx="626">
                <c:v>1.8545807892950414</c:v>
              </c:pt>
              <c:pt idx="627">
                <c:v>0</c:v>
              </c:pt>
              <c:pt idx="628">
                <c:v>0</c:v>
              </c:pt>
              <c:pt idx="629">
                <c:v>1.8545807892950414</c:v>
              </c:pt>
              <c:pt idx="630">
                <c:v>1.8545807892950414</c:v>
              </c:pt>
              <c:pt idx="631">
                <c:v>0</c:v>
              </c:pt>
              <c:pt idx="632">
                <c:v>0</c:v>
              </c:pt>
              <c:pt idx="633">
                <c:v>1.8545807892950414</c:v>
              </c:pt>
              <c:pt idx="634">
                <c:v>1.8545807892950414</c:v>
              </c:pt>
              <c:pt idx="635">
                <c:v>0</c:v>
              </c:pt>
              <c:pt idx="636">
                <c:v>0</c:v>
              </c:pt>
              <c:pt idx="637">
                <c:v>1.8545807892950414</c:v>
              </c:pt>
              <c:pt idx="638">
                <c:v>1.8545807892950414</c:v>
              </c:pt>
              <c:pt idx="639">
                <c:v>0</c:v>
              </c:pt>
              <c:pt idx="640">
                <c:v>0</c:v>
              </c:pt>
              <c:pt idx="641">
                <c:v>1.8545807892950414</c:v>
              </c:pt>
              <c:pt idx="642">
                <c:v>1.8545807892950414</c:v>
              </c:pt>
              <c:pt idx="643">
                <c:v>0</c:v>
              </c:pt>
              <c:pt idx="644">
                <c:v>0</c:v>
              </c:pt>
              <c:pt idx="645">
                <c:v>1.8545807892950414</c:v>
              </c:pt>
              <c:pt idx="646">
                <c:v>1.8545807892950414</c:v>
              </c:pt>
              <c:pt idx="647">
                <c:v>0</c:v>
              </c:pt>
              <c:pt idx="648">
                <c:v>0</c:v>
              </c:pt>
              <c:pt idx="649">
                <c:v>1.8545807892950414</c:v>
              </c:pt>
              <c:pt idx="650">
                <c:v>1.8545807892950414</c:v>
              </c:pt>
              <c:pt idx="651">
                <c:v>0</c:v>
              </c:pt>
              <c:pt idx="652">
                <c:v>0</c:v>
              </c:pt>
              <c:pt idx="653">
                <c:v>1.8545807892950414</c:v>
              </c:pt>
              <c:pt idx="654">
                <c:v>1.8545807892950414</c:v>
              </c:pt>
              <c:pt idx="655">
                <c:v>0</c:v>
              </c:pt>
              <c:pt idx="656">
                <c:v>0</c:v>
              </c:pt>
              <c:pt idx="657">
                <c:v>1.8545807892950414</c:v>
              </c:pt>
              <c:pt idx="658">
                <c:v>1.8545807892950414</c:v>
              </c:pt>
              <c:pt idx="659">
                <c:v>0</c:v>
              </c:pt>
              <c:pt idx="660">
                <c:v>0</c:v>
              </c:pt>
              <c:pt idx="661">
                <c:v>1.8545807892950414</c:v>
              </c:pt>
              <c:pt idx="662">
                <c:v>1.8545807892950414</c:v>
              </c:pt>
              <c:pt idx="663">
                <c:v>0</c:v>
              </c:pt>
              <c:pt idx="664">
                <c:v>0</c:v>
              </c:pt>
              <c:pt idx="665">
                <c:v>1.8545807892950414</c:v>
              </c:pt>
              <c:pt idx="666">
                <c:v>1.8545807892950414</c:v>
              </c:pt>
              <c:pt idx="667">
                <c:v>0</c:v>
              </c:pt>
              <c:pt idx="668">
                <c:v>0</c:v>
              </c:pt>
              <c:pt idx="669">
                <c:v>1.8545807892950414</c:v>
              </c:pt>
              <c:pt idx="670">
                <c:v>1.8545807892950414</c:v>
              </c:pt>
              <c:pt idx="671">
                <c:v>0</c:v>
              </c:pt>
              <c:pt idx="672">
                <c:v>0</c:v>
              </c:pt>
              <c:pt idx="673">
                <c:v>1.8545807892950414</c:v>
              </c:pt>
              <c:pt idx="674">
                <c:v>1.8545807892950414</c:v>
              </c:pt>
              <c:pt idx="675">
                <c:v>0</c:v>
              </c:pt>
              <c:pt idx="676">
                <c:v>0</c:v>
              </c:pt>
              <c:pt idx="677">
                <c:v>1.8545807892950414</c:v>
              </c:pt>
              <c:pt idx="678">
                <c:v>1.8545807892950414</c:v>
              </c:pt>
              <c:pt idx="679">
                <c:v>0</c:v>
              </c:pt>
              <c:pt idx="680">
                <c:v>0</c:v>
              </c:pt>
              <c:pt idx="681">
                <c:v>1.8545807892950414</c:v>
              </c:pt>
              <c:pt idx="682">
                <c:v>1.8545807892950414</c:v>
              </c:pt>
              <c:pt idx="683">
                <c:v>0</c:v>
              </c:pt>
              <c:pt idx="684">
                <c:v>0</c:v>
              </c:pt>
              <c:pt idx="685">
                <c:v>1.8545807892950414</c:v>
              </c:pt>
              <c:pt idx="686">
                <c:v>1.8545807892950414</c:v>
              </c:pt>
              <c:pt idx="687">
                <c:v>0</c:v>
              </c:pt>
              <c:pt idx="688">
                <c:v>0</c:v>
              </c:pt>
              <c:pt idx="689">
                <c:v>1.8545807892950414</c:v>
              </c:pt>
              <c:pt idx="690">
                <c:v>1.8545807892950414</c:v>
              </c:pt>
              <c:pt idx="691">
                <c:v>0</c:v>
              </c:pt>
              <c:pt idx="692">
                <c:v>0</c:v>
              </c:pt>
              <c:pt idx="693">
                <c:v>1.8545807892950414</c:v>
              </c:pt>
              <c:pt idx="694">
                <c:v>1.8545807892950414</c:v>
              </c:pt>
              <c:pt idx="695">
                <c:v>0</c:v>
              </c:pt>
              <c:pt idx="696">
                <c:v>0</c:v>
              </c:pt>
              <c:pt idx="697">
                <c:v>1.8545807892950414</c:v>
              </c:pt>
              <c:pt idx="698">
                <c:v>1.8545807892950414</c:v>
              </c:pt>
              <c:pt idx="699">
                <c:v>0</c:v>
              </c:pt>
              <c:pt idx="700">
                <c:v>0</c:v>
              </c:pt>
              <c:pt idx="701">
                <c:v>1.8545807892950414</c:v>
              </c:pt>
              <c:pt idx="702">
                <c:v>1.8545807892950414</c:v>
              </c:pt>
              <c:pt idx="703">
                <c:v>0</c:v>
              </c:pt>
              <c:pt idx="704">
                <c:v>0</c:v>
              </c:pt>
              <c:pt idx="705">
                <c:v>1.8545807892950414</c:v>
              </c:pt>
              <c:pt idx="706">
                <c:v>1.8545807892950414</c:v>
              </c:pt>
              <c:pt idx="707">
                <c:v>0</c:v>
              </c:pt>
              <c:pt idx="708">
                <c:v>0</c:v>
              </c:pt>
              <c:pt idx="709">
                <c:v>1.8545807892950414</c:v>
              </c:pt>
              <c:pt idx="710">
                <c:v>1.8545807892950414</c:v>
              </c:pt>
              <c:pt idx="711">
                <c:v>0</c:v>
              </c:pt>
              <c:pt idx="712">
                <c:v>0</c:v>
              </c:pt>
              <c:pt idx="713">
                <c:v>1.8545807892950414</c:v>
              </c:pt>
              <c:pt idx="714">
                <c:v>1.8545807892950414</c:v>
              </c:pt>
              <c:pt idx="715">
                <c:v>0</c:v>
              </c:pt>
              <c:pt idx="716">
                <c:v>0</c:v>
              </c:pt>
              <c:pt idx="717">
                <c:v>1.8545807892950414</c:v>
              </c:pt>
              <c:pt idx="718">
                <c:v>1.8545807892950414</c:v>
              </c:pt>
              <c:pt idx="719">
                <c:v>0</c:v>
              </c:pt>
              <c:pt idx="720">
                <c:v>0</c:v>
              </c:pt>
              <c:pt idx="721">
                <c:v>1.8545807892950414</c:v>
              </c:pt>
              <c:pt idx="722">
                <c:v>1.8545807892950414</c:v>
              </c:pt>
              <c:pt idx="723">
                <c:v>0</c:v>
              </c:pt>
              <c:pt idx="724">
                <c:v>0</c:v>
              </c:pt>
              <c:pt idx="725">
                <c:v>1.8545807892950414</c:v>
              </c:pt>
              <c:pt idx="726">
                <c:v>1.8545807892950414</c:v>
              </c:pt>
              <c:pt idx="727">
                <c:v>0</c:v>
              </c:pt>
              <c:pt idx="728">
                <c:v>0</c:v>
              </c:pt>
              <c:pt idx="729">
                <c:v>1.8545807892950414</c:v>
              </c:pt>
              <c:pt idx="730">
                <c:v>1.8545807892950414</c:v>
              </c:pt>
              <c:pt idx="731">
                <c:v>0</c:v>
              </c:pt>
              <c:pt idx="732">
                <c:v>0</c:v>
              </c:pt>
              <c:pt idx="733">
                <c:v>1.8545807892950414</c:v>
              </c:pt>
              <c:pt idx="734">
                <c:v>1.8545807892950414</c:v>
              </c:pt>
              <c:pt idx="735">
                <c:v>0</c:v>
              </c:pt>
              <c:pt idx="736">
                <c:v>1.8545807892950414</c:v>
              </c:pt>
              <c:pt idx="737">
                <c:v>0</c:v>
              </c:pt>
              <c:pt idx="740">
                <c:v>0</c:v>
              </c:pt>
              <c:pt idx="741">
                <c:v>2.9918237261269063</c:v>
              </c:pt>
              <c:pt idx="742">
                <c:v>2.9918237261269063</c:v>
              </c:pt>
              <c:pt idx="743">
                <c:v>0</c:v>
              </c:pt>
              <c:pt idx="744">
                <c:v>0</c:v>
              </c:pt>
              <c:pt idx="745">
                <c:v>2.9918237261269063</c:v>
              </c:pt>
              <c:pt idx="746">
                <c:v>2.9918237261269063</c:v>
              </c:pt>
              <c:pt idx="747">
                <c:v>0</c:v>
              </c:pt>
              <c:pt idx="748">
                <c:v>0</c:v>
              </c:pt>
              <c:pt idx="749">
                <c:v>2.9918237261269063</c:v>
              </c:pt>
              <c:pt idx="750">
                <c:v>2.9918237261269063</c:v>
              </c:pt>
              <c:pt idx="751">
                <c:v>0</c:v>
              </c:pt>
              <c:pt idx="752">
                <c:v>0</c:v>
              </c:pt>
              <c:pt idx="753">
                <c:v>2.9918237261269063</c:v>
              </c:pt>
              <c:pt idx="754">
                <c:v>2.9918237261269063</c:v>
              </c:pt>
              <c:pt idx="755">
                <c:v>0</c:v>
              </c:pt>
              <c:pt idx="756">
                <c:v>0</c:v>
              </c:pt>
              <c:pt idx="757">
                <c:v>2.9918237261269063</c:v>
              </c:pt>
              <c:pt idx="758">
                <c:v>2.9918237261269063</c:v>
              </c:pt>
              <c:pt idx="759">
                <c:v>0</c:v>
              </c:pt>
              <c:pt idx="760">
                <c:v>0</c:v>
              </c:pt>
              <c:pt idx="761">
                <c:v>2.9918237261269063</c:v>
              </c:pt>
              <c:pt idx="762">
                <c:v>2.9918237261269063</c:v>
              </c:pt>
              <c:pt idx="763">
                <c:v>0</c:v>
              </c:pt>
              <c:pt idx="764">
                <c:v>0</c:v>
              </c:pt>
              <c:pt idx="765">
                <c:v>2.9918237261269063</c:v>
              </c:pt>
              <c:pt idx="766">
                <c:v>2.9918237261269063</c:v>
              </c:pt>
              <c:pt idx="767">
                <c:v>0</c:v>
              </c:pt>
              <c:pt idx="768">
                <c:v>0</c:v>
              </c:pt>
              <c:pt idx="769">
                <c:v>2.9918237261269063</c:v>
              </c:pt>
              <c:pt idx="770">
                <c:v>2.9918237261269063</c:v>
              </c:pt>
              <c:pt idx="771">
                <c:v>0</c:v>
              </c:pt>
              <c:pt idx="772">
                <c:v>0</c:v>
              </c:pt>
              <c:pt idx="773">
                <c:v>2.9918237261269063</c:v>
              </c:pt>
              <c:pt idx="774">
                <c:v>2.9918237261269063</c:v>
              </c:pt>
              <c:pt idx="775">
                <c:v>0</c:v>
              </c:pt>
              <c:pt idx="776">
                <c:v>0</c:v>
              </c:pt>
              <c:pt idx="777">
                <c:v>2.9918237261269063</c:v>
              </c:pt>
              <c:pt idx="778">
                <c:v>2.9918237261269063</c:v>
              </c:pt>
              <c:pt idx="779">
                <c:v>0</c:v>
              </c:pt>
              <c:pt idx="780">
                <c:v>0</c:v>
              </c:pt>
              <c:pt idx="781">
                <c:v>2.9918237261269063</c:v>
              </c:pt>
              <c:pt idx="782">
                <c:v>2.9918237261269063</c:v>
              </c:pt>
              <c:pt idx="783">
                <c:v>0</c:v>
              </c:pt>
              <c:pt idx="784">
                <c:v>0</c:v>
              </c:pt>
              <c:pt idx="785">
                <c:v>2.9918237261269063</c:v>
              </c:pt>
              <c:pt idx="786">
                <c:v>2.9918237261269063</c:v>
              </c:pt>
              <c:pt idx="787">
                <c:v>0</c:v>
              </c:pt>
              <c:pt idx="788">
                <c:v>0</c:v>
              </c:pt>
              <c:pt idx="789">
                <c:v>2.9918237261269063</c:v>
              </c:pt>
              <c:pt idx="790">
                <c:v>2.9918237261269063</c:v>
              </c:pt>
              <c:pt idx="791">
                <c:v>0</c:v>
              </c:pt>
              <c:pt idx="792">
                <c:v>0</c:v>
              </c:pt>
              <c:pt idx="793">
                <c:v>2.9918237261269063</c:v>
              </c:pt>
              <c:pt idx="794">
                <c:v>2.9918237261269063</c:v>
              </c:pt>
              <c:pt idx="795">
                <c:v>0</c:v>
              </c:pt>
              <c:pt idx="796">
                <c:v>0</c:v>
              </c:pt>
              <c:pt idx="797">
                <c:v>2.9918237261269063</c:v>
              </c:pt>
              <c:pt idx="798">
                <c:v>2.9918237261269063</c:v>
              </c:pt>
              <c:pt idx="799">
                <c:v>0</c:v>
              </c:pt>
              <c:pt idx="800">
                <c:v>0</c:v>
              </c:pt>
              <c:pt idx="801">
                <c:v>2.9918237261269063</c:v>
              </c:pt>
              <c:pt idx="802">
                <c:v>2.9918237261269063</c:v>
              </c:pt>
              <c:pt idx="803">
                <c:v>0</c:v>
              </c:pt>
              <c:pt idx="804">
                <c:v>0</c:v>
              </c:pt>
              <c:pt idx="805">
                <c:v>2.9918237261269063</c:v>
              </c:pt>
              <c:pt idx="806">
                <c:v>2.9918237261269063</c:v>
              </c:pt>
              <c:pt idx="807">
                <c:v>0</c:v>
              </c:pt>
              <c:pt idx="808">
                <c:v>0</c:v>
              </c:pt>
              <c:pt idx="809">
                <c:v>2.9918237261269063</c:v>
              </c:pt>
              <c:pt idx="810">
                <c:v>2.9918237261269063</c:v>
              </c:pt>
              <c:pt idx="811">
                <c:v>0</c:v>
              </c:pt>
              <c:pt idx="812">
                <c:v>0</c:v>
              </c:pt>
              <c:pt idx="813">
                <c:v>2.9918237261269063</c:v>
              </c:pt>
              <c:pt idx="814">
                <c:v>2.9918237261269063</c:v>
              </c:pt>
              <c:pt idx="815">
                <c:v>0</c:v>
              </c:pt>
              <c:pt idx="816">
                <c:v>0</c:v>
              </c:pt>
              <c:pt idx="817">
                <c:v>2.9918237261269063</c:v>
              </c:pt>
              <c:pt idx="818">
                <c:v>2.9918237261269063</c:v>
              </c:pt>
              <c:pt idx="819">
                <c:v>0</c:v>
              </c:pt>
              <c:pt idx="820">
                <c:v>0</c:v>
              </c:pt>
              <c:pt idx="821">
                <c:v>2.9918237261269063</c:v>
              </c:pt>
              <c:pt idx="822">
                <c:v>2.9918237261269063</c:v>
              </c:pt>
              <c:pt idx="823">
                <c:v>0</c:v>
              </c:pt>
              <c:pt idx="824">
                <c:v>0</c:v>
              </c:pt>
              <c:pt idx="825">
                <c:v>2.9918237261269063</c:v>
              </c:pt>
              <c:pt idx="826">
                <c:v>2.9918237261269063</c:v>
              </c:pt>
              <c:pt idx="827">
                <c:v>0</c:v>
              </c:pt>
              <c:pt idx="828">
                <c:v>0</c:v>
              </c:pt>
              <c:pt idx="829">
                <c:v>2.9918237261269063</c:v>
              </c:pt>
              <c:pt idx="830">
                <c:v>2.9918237261269063</c:v>
              </c:pt>
              <c:pt idx="831">
                <c:v>0</c:v>
              </c:pt>
              <c:pt idx="832">
                <c:v>0</c:v>
              </c:pt>
              <c:pt idx="833">
                <c:v>2.9918237261269063</c:v>
              </c:pt>
              <c:pt idx="834">
                <c:v>2.9918237261269063</c:v>
              </c:pt>
              <c:pt idx="835">
                <c:v>0</c:v>
              </c:pt>
              <c:pt idx="836">
                <c:v>0</c:v>
              </c:pt>
              <c:pt idx="837">
                <c:v>2.9918237261269063</c:v>
              </c:pt>
              <c:pt idx="838">
                <c:v>2.9918237261269063</c:v>
              </c:pt>
              <c:pt idx="839">
                <c:v>0</c:v>
              </c:pt>
              <c:pt idx="840">
                <c:v>0</c:v>
              </c:pt>
              <c:pt idx="841">
                <c:v>2.9918237261269063</c:v>
              </c:pt>
              <c:pt idx="842">
                <c:v>2.9918237261269063</c:v>
              </c:pt>
              <c:pt idx="843">
                <c:v>0</c:v>
              </c:pt>
              <c:pt idx="844">
                <c:v>0</c:v>
              </c:pt>
              <c:pt idx="845">
                <c:v>2.9918237261269063</c:v>
              </c:pt>
              <c:pt idx="846">
                <c:v>2.9918237261269063</c:v>
              </c:pt>
              <c:pt idx="847">
                <c:v>0</c:v>
              </c:pt>
              <c:pt idx="848">
                <c:v>0</c:v>
              </c:pt>
              <c:pt idx="849">
                <c:v>2.9918237261269063</c:v>
              </c:pt>
              <c:pt idx="850">
                <c:v>2.9918237261269063</c:v>
              </c:pt>
              <c:pt idx="851">
                <c:v>0</c:v>
              </c:pt>
              <c:pt idx="852">
                <c:v>0</c:v>
              </c:pt>
              <c:pt idx="853">
                <c:v>2.9918237261269063</c:v>
              </c:pt>
              <c:pt idx="854">
                <c:v>2.9918237261269063</c:v>
              </c:pt>
              <c:pt idx="855">
                <c:v>0</c:v>
              </c:pt>
              <c:pt idx="856">
                <c:v>0</c:v>
              </c:pt>
              <c:pt idx="857">
                <c:v>2.9918237261269063</c:v>
              </c:pt>
              <c:pt idx="858">
                <c:v>2.9918237261269063</c:v>
              </c:pt>
              <c:pt idx="859">
                <c:v>0</c:v>
              </c:pt>
              <c:pt idx="860">
                <c:v>0</c:v>
              </c:pt>
              <c:pt idx="861">
                <c:v>2.9918237261269063</c:v>
              </c:pt>
              <c:pt idx="862">
                <c:v>2.9918237261269063</c:v>
              </c:pt>
              <c:pt idx="863">
                <c:v>0</c:v>
              </c:pt>
              <c:pt idx="864">
                <c:v>0</c:v>
              </c:pt>
              <c:pt idx="865">
                <c:v>2.9918237261269063</c:v>
              </c:pt>
              <c:pt idx="866">
                <c:v>2.9918237261269063</c:v>
              </c:pt>
              <c:pt idx="867">
                <c:v>0</c:v>
              </c:pt>
              <c:pt idx="868">
                <c:v>0</c:v>
              </c:pt>
              <c:pt idx="869">
                <c:v>2.9918237261269063</c:v>
              </c:pt>
              <c:pt idx="870">
                <c:v>2.9918237261269063</c:v>
              </c:pt>
              <c:pt idx="871">
                <c:v>0</c:v>
              </c:pt>
              <c:pt idx="872">
                <c:v>0</c:v>
              </c:pt>
              <c:pt idx="873">
                <c:v>2.9918237261269063</c:v>
              </c:pt>
              <c:pt idx="874">
                <c:v>2.9918237261269063</c:v>
              </c:pt>
              <c:pt idx="875">
                <c:v>0</c:v>
              </c:pt>
              <c:pt idx="876">
                <c:v>0</c:v>
              </c:pt>
              <c:pt idx="877">
                <c:v>2.9918237261269063</c:v>
              </c:pt>
              <c:pt idx="878">
                <c:v>2.9918237261269063</c:v>
              </c:pt>
              <c:pt idx="879">
                <c:v>0</c:v>
              </c:pt>
              <c:pt idx="880">
                <c:v>0</c:v>
              </c:pt>
              <c:pt idx="881">
                <c:v>2.9918237261269063</c:v>
              </c:pt>
              <c:pt idx="882">
                <c:v>2.9918237261269063</c:v>
              </c:pt>
              <c:pt idx="883">
                <c:v>0</c:v>
              </c:pt>
              <c:pt idx="884">
                <c:v>2.9918237261269063</c:v>
              </c:pt>
              <c:pt idx="885">
                <c:v>0</c:v>
              </c:pt>
              <c:pt idx="888">
                <c:v>0</c:v>
              </c:pt>
              <c:pt idx="889">
                <c:v>4.199050843686886</c:v>
              </c:pt>
              <c:pt idx="890">
                <c:v>4.199050843686886</c:v>
              </c:pt>
              <c:pt idx="891">
                <c:v>0</c:v>
              </c:pt>
              <c:pt idx="892">
                <c:v>0</c:v>
              </c:pt>
              <c:pt idx="893">
                <c:v>4.199050843686886</c:v>
              </c:pt>
              <c:pt idx="894">
                <c:v>4.199050843686886</c:v>
              </c:pt>
              <c:pt idx="895">
                <c:v>0</c:v>
              </c:pt>
              <c:pt idx="896">
                <c:v>0</c:v>
              </c:pt>
              <c:pt idx="897">
                <c:v>4.199050843686886</c:v>
              </c:pt>
              <c:pt idx="898">
                <c:v>4.199050843686886</c:v>
              </c:pt>
              <c:pt idx="899">
                <c:v>0</c:v>
              </c:pt>
              <c:pt idx="900">
                <c:v>0</c:v>
              </c:pt>
              <c:pt idx="901">
                <c:v>4.199050843686886</c:v>
              </c:pt>
              <c:pt idx="902">
                <c:v>4.199050843686886</c:v>
              </c:pt>
              <c:pt idx="903">
                <c:v>0</c:v>
              </c:pt>
              <c:pt idx="904">
                <c:v>0</c:v>
              </c:pt>
              <c:pt idx="905">
                <c:v>4.199050843686886</c:v>
              </c:pt>
              <c:pt idx="906">
                <c:v>4.199050843686886</c:v>
              </c:pt>
              <c:pt idx="907">
                <c:v>0</c:v>
              </c:pt>
              <c:pt idx="908">
                <c:v>0</c:v>
              </c:pt>
              <c:pt idx="909">
                <c:v>4.199050843686886</c:v>
              </c:pt>
              <c:pt idx="910">
                <c:v>4.199050843686886</c:v>
              </c:pt>
              <c:pt idx="911">
                <c:v>0</c:v>
              </c:pt>
              <c:pt idx="912">
                <c:v>0</c:v>
              </c:pt>
              <c:pt idx="913">
                <c:v>4.199050843686886</c:v>
              </c:pt>
              <c:pt idx="914">
                <c:v>4.199050843686886</c:v>
              </c:pt>
              <c:pt idx="915">
                <c:v>0</c:v>
              </c:pt>
              <c:pt idx="916">
                <c:v>0</c:v>
              </c:pt>
              <c:pt idx="917">
                <c:v>4.199050843686886</c:v>
              </c:pt>
              <c:pt idx="918">
                <c:v>4.199050843686886</c:v>
              </c:pt>
              <c:pt idx="919">
                <c:v>0</c:v>
              </c:pt>
              <c:pt idx="920">
                <c:v>0</c:v>
              </c:pt>
              <c:pt idx="921">
                <c:v>4.199050843686886</c:v>
              </c:pt>
              <c:pt idx="922">
                <c:v>4.199050843686886</c:v>
              </c:pt>
              <c:pt idx="923">
                <c:v>0</c:v>
              </c:pt>
              <c:pt idx="924">
                <c:v>0</c:v>
              </c:pt>
              <c:pt idx="925">
                <c:v>4.199050843686886</c:v>
              </c:pt>
              <c:pt idx="926">
                <c:v>4.199050843686886</c:v>
              </c:pt>
              <c:pt idx="927">
                <c:v>0</c:v>
              </c:pt>
              <c:pt idx="928">
                <c:v>0</c:v>
              </c:pt>
              <c:pt idx="929">
                <c:v>4.199050843686886</c:v>
              </c:pt>
              <c:pt idx="930">
                <c:v>4.199050843686886</c:v>
              </c:pt>
              <c:pt idx="931">
                <c:v>0</c:v>
              </c:pt>
              <c:pt idx="932">
                <c:v>0</c:v>
              </c:pt>
              <c:pt idx="933">
                <c:v>4.199050843686886</c:v>
              </c:pt>
              <c:pt idx="934">
                <c:v>4.199050843686886</c:v>
              </c:pt>
              <c:pt idx="935">
                <c:v>0</c:v>
              </c:pt>
              <c:pt idx="936">
                <c:v>0</c:v>
              </c:pt>
              <c:pt idx="937">
                <c:v>4.199050843686886</c:v>
              </c:pt>
              <c:pt idx="938">
                <c:v>4.199050843686886</c:v>
              </c:pt>
              <c:pt idx="939">
                <c:v>0</c:v>
              </c:pt>
              <c:pt idx="940">
                <c:v>0</c:v>
              </c:pt>
              <c:pt idx="941">
                <c:v>4.199050843686886</c:v>
              </c:pt>
              <c:pt idx="942">
                <c:v>4.199050843686886</c:v>
              </c:pt>
              <c:pt idx="943">
                <c:v>0</c:v>
              </c:pt>
              <c:pt idx="944">
                <c:v>0</c:v>
              </c:pt>
              <c:pt idx="945">
                <c:v>4.199050843686886</c:v>
              </c:pt>
              <c:pt idx="946">
                <c:v>4.199050843686886</c:v>
              </c:pt>
              <c:pt idx="947">
                <c:v>0</c:v>
              </c:pt>
              <c:pt idx="948">
                <c:v>0</c:v>
              </c:pt>
              <c:pt idx="949">
                <c:v>4.199050843686886</c:v>
              </c:pt>
              <c:pt idx="950">
                <c:v>4.199050843686886</c:v>
              </c:pt>
              <c:pt idx="951">
                <c:v>0</c:v>
              </c:pt>
              <c:pt idx="952">
                <c:v>0</c:v>
              </c:pt>
              <c:pt idx="953">
                <c:v>4.199050843686886</c:v>
              </c:pt>
              <c:pt idx="954">
                <c:v>4.199050843686886</c:v>
              </c:pt>
              <c:pt idx="955">
                <c:v>0</c:v>
              </c:pt>
              <c:pt idx="956">
                <c:v>0</c:v>
              </c:pt>
              <c:pt idx="957">
                <c:v>4.199050843686886</c:v>
              </c:pt>
              <c:pt idx="958">
                <c:v>4.199050843686886</c:v>
              </c:pt>
              <c:pt idx="959">
                <c:v>0</c:v>
              </c:pt>
              <c:pt idx="960">
                <c:v>0</c:v>
              </c:pt>
              <c:pt idx="961">
                <c:v>4.199050843686886</c:v>
              </c:pt>
              <c:pt idx="962">
                <c:v>4.199050843686886</c:v>
              </c:pt>
              <c:pt idx="963">
                <c:v>0</c:v>
              </c:pt>
              <c:pt idx="964">
                <c:v>0</c:v>
              </c:pt>
              <c:pt idx="965">
                <c:v>4.199050843686886</c:v>
              </c:pt>
              <c:pt idx="966">
                <c:v>4.199050843686886</c:v>
              </c:pt>
              <c:pt idx="967">
                <c:v>0</c:v>
              </c:pt>
              <c:pt idx="968">
                <c:v>0</c:v>
              </c:pt>
              <c:pt idx="969">
                <c:v>4.199050843686886</c:v>
              </c:pt>
              <c:pt idx="970">
                <c:v>4.199050843686886</c:v>
              </c:pt>
              <c:pt idx="971">
                <c:v>0</c:v>
              </c:pt>
              <c:pt idx="972">
                <c:v>0</c:v>
              </c:pt>
              <c:pt idx="973">
                <c:v>4.199050843686886</c:v>
              </c:pt>
              <c:pt idx="974">
                <c:v>4.199050843686886</c:v>
              </c:pt>
              <c:pt idx="975">
                <c:v>0</c:v>
              </c:pt>
              <c:pt idx="976">
                <c:v>0</c:v>
              </c:pt>
              <c:pt idx="977">
                <c:v>4.199050843686886</c:v>
              </c:pt>
              <c:pt idx="978">
                <c:v>4.199050843686886</c:v>
              </c:pt>
              <c:pt idx="979">
                <c:v>0</c:v>
              </c:pt>
              <c:pt idx="980">
                <c:v>0</c:v>
              </c:pt>
              <c:pt idx="981">
                <c:v>4.199050843686886</c:v>
              </c:pt>
              <c:pt idx="982">
                <c:v>4.199050843686886</c:v>
              </c:pt>
              <c:pt idx="983">
                <c:v>0</c:v>
              </c:pt>
              <c:pt idx="984">
                <c:v>0</c:v>
              </c:pt>
              <c:pt idx="985">
                <c:v>4.199050843686886</c:v>
              </c:pt>
              <c:pt idx="986">
                <c:v>4.199050843686886</c:v>
              </c:pt>
              <c:pt idx="987">
                <c:v>0</c:v>
              </c:pt>
              <c:pt idx="988">
                <c:v>0</c:v>
              </c:pt>
              <c:pt idx="989">
                <c:v>4.199050843686886</c:v>
              </c:pt>
              <c:pt idx="990">
                <c:v>4.199050843686886</c:v>
              </c:pt>
              <c:pt idx="991">
                <c:v>0</c:v>
              </c:pt>
              <c:pt idx="992">
                <c:v>0</c:v>
              </c:pt>
              <c:pt idx="993">
                <c:v>4.199050843686886</c:v>
              </c:pt>
              <c:pt idx="994">
                <c:v>4.199050843686886</c:v>
              </c:pt>
              <c:pt idx="995">
                <c:v>0</c:v>
              </c:pt>
              <c:pt idx="996">
                <c:v>0</c:v>
              </c:pt>
              <c:pt idx="997">
                <c:v>4.199050843686886</c:v>
              </c:pt>
              <c:pt idx="998">
                <c:v>4.199050843686886</c:v>
              </c:pt>
              <c:pt idx="999">
                <c:v>0</c:v>
              </c:pt>
              <c:pt idx="1000">
                <c:v>0</c:v>
              </c:pt>
              <c:pt idx="1001">
                <c:v>4.199050843686886</c:v>
              </c:pt>
              <c:pt idx="1002">
                <c:v>4.199050843686886</c:v>
              </c:pt>
              <c:pt idx="1003">
                <c:v>0</c:v>
              </c:pt>
              <c:pt idx="1004">
                <c:v>0</c:v>
              </c:pt>
              <c:pt idx="1005">
                <c:v>4.199050843686886</c:v>
              </c:pt>
              <c:pt idx="1006">
                <c:v>4.199050843686886</c:v>
              </c:pt>
              <c:pt idx="1007">
                <c:v>0</c:v>
              </c:pt>
              <c:pt idx="1008">
                <c:v>0</c:v>
              </c:pt>
              <c:pt idx="1009">
                <c:v>4.199050843686886</c:v>
              </c:pt>
              <c:pt idx="1010">
                <c:v>4.199050843686886</c:v>
              </c:pt>
              <c:pt idx="1011">
                <c:v>0</c:v>
              </c:pt>
              <c:pt idx="1012">
                <c:v>0</c:v>
              </c:pt>
              <c:pt idx="1013">
                <c:v>4.199050843686886</c:v>
              </c:pt>
              <c:pt idx="1014">
                <c:v>4.199050843686886</c:v>
              </c:pt>
              <c:pt idx="1015">
                <c:v>0</c:v>
              </c:pt>
              <c:pt idx="1016">
                <c:v>0</c:v>
              </c:pt>
              <c:pt idx="1017">
                <c:v>4.199050843686886</c:v>
              </c:pt>
              <c:pt idx="1018">
                <c:v>4.199050843686886</c:v>
              </c:pt>
              <c:pt idx="1019">
                <c:v>0</c:v>
              </c:pt>
              <c:pt idx="1020">
                <c:v>0</c:v>
              </c:pt>
              <c:pt idx="1021">
                <c:v>4.199050843686886</c:v>
              </c:pt>
              <c:pt idx="1022">
                <c:v>4.199050843686886</c:v>
              </c:pt>
              <c:pt idx="1023">
                <c:v>0</c:v>
              </c:pt>
              <c:pt idx="1024">
                <c:v>0</c:v>
              </c:pt>
              <c:pt idx="1025">
                <c:v>4.199050843686886</c:v>
              </c:pt>
              <c:pt idx="1026">
                <c:v>4.199050843686886</c:v>
              </c:pt>
              <c:pt idx="1027">
                <c:v>0</c:v>
              </c:pt>
              <c:pt idx="1028">
                <c:v>0</c:v>
              </c:pt>
              <c:pt idx="1029">
                <c:v>4.199050843686886</c:v>
              </c:pt>
              <c:pt idx="1030">
                <c:v>4.199050843686886</c:v>
              </c:pt>
              <c:pt idx="1031">
                <c:v>0</c:v>
              </c:pt>
              <c:pt idx="1032">
                <c:v>4.199050843686886</c:v>
              </c:pt>
              <c:pt idx="1033">
                <c:v>0</c:v>
              </c:pt>
              <c:pt idx="1036">
                <c:v>0</c:v>
              </c:pt>
              <c:pt idx="1037">
                <c:v>6.281080220348301</c:v>
              </c:pt>
              <c:pt idx="1038">
                <c:v>6.281080220348301</c:v>
              </c:pt>
              <c:pt idx="1039">
                <c:v>0</c:v>
              </c:pt>
              <c:pt idx="1040">
                <c:v>0</c:v>
              </c:pt>
              <c:pt idx="1041">
                <c:v>6.281080220348301</c:v>
              </c:pt>
              <c:pt idx="1042">
                <c:v>6.281080220348301</c:v>
              </c:pt>
              <c:pt idx="1043">
                <c:v>0</c:v>
              </c:pt>
              <c:pt idx="1044">
                <c:v>0</c:v>
              </c:pt>
              <c:pt idx="1045">
                <c:v>6.281080220348301</c:v>
              </c:pt>
              <c:pt idx="1046">
                <c:v>6.281080220348301</c:v>
              </c:pt>
              <c:pt idx="1047">
                <c:v>0</c:v>
              </c:pt>
              <c:pt idx="1048">
                <c:v>0</c:v>
              </c:pt>
              <c:pt idx="1049">
                <c:v>6.281080220348301</c:v>
              </c:pt>
              <c:pt idx="1050">
                <c:v>6.281080220348301</c:v>
              </c:pt>
              <c:pt idx="1051">
                <c:v>0</c:v>
              </c:pt>
              <c:pt idx="1052">
                <c:v>0</c:v>
              </c:pt>
              <c:pt idx="1053">
                <c:v>6.281080220348301</c:v>
              </c:pt>
              <c:pt idx="1054">
                <c:v>6.281080220348301</c:v>
              </c:pt>
              <c:pt idx="1055">
                <c:v>0</c:v>
              </c:pt>
              <c:pt idx="1056">
                <c:v>0</c:v>
              </c:pt>
              <c:pt idx="1057">
                <c:v>6.281080220348301</c:v>
              </c:pt>
              <c:pt idx="1058">
                <c:v>6.281080220348301</c:v>
              </c:pt>
              <c:pt idx="1059">
                <c:v>0</c:v>
              </c:pt>
              <c:pt idx="1060">
                <c:v>0</c:v>
              </c:pt>
              <c:pt idx="1061">
                <c:v>6.281080220348301</c:v>
              </c:pt>
              <c:pt idx="1062">
                <c:v>6.281080220348301</c:v>
              </c:pt>
              <c:pt idx="1063">
                <c:v>0</c:v>
              </c:pt>
              <c:pt idx="1064">
                <c:v>0</c:v>
              </c:pt>
              <c:pt idx="1065">
                <c:v>6.281080220348301</c:v>
              </c:pt>
              <c:pt idx="1066">
                <c:v>6.281080220348301</c:v>
              </c:pt>
              <c:pt idx="1067">
                <c:v>0</c:v>
              </c:pt>
              <c:pt idx="1068">
                <c:v>0</c:v>
              </c:pt>
              <c:pt idx="1069">
                <c:v>6.281080220348301</c:v>
              </c:pt>
              <c:pt idx="1070">
                <c:v>6.281080220348301</c:v>
              </c:pt>
              <c:pt idx="1071">
                <c:v>0</c:v>
              </c:pt>
              <c:pt idx="1072">
                <c:v>0</c:v>
              </c:pt>
              <c:pt idx="1073">
                <c:v>6.281080220348301</c:v>
              </c:pt>
              <c:pt idx="1074">
                <c:v>6.281080220348301</c:v>
              </c:pt>
              <c:pt idx="1075">
                <c:v>0</c:v>
              </c:pt>
              <c:pt idx="1076">
                <c:v>0</c:v>
              </c:pt>
              <c:pt idx="1077">
                <c:v>6.281080220348301</c:v>
              </c:pt>
              <c:pt idx="1078">
                <c:v>6.281080220348301</c:v>
              </c:pt>
              <c:pt idx="1079">
                <c:v>0</c:v>
              </c:pt>
              <c:pt idx="1080">
                <c:v>0</c:v>
              </c:pt>
              <c:pt idx="1081">
                <c:v>6.281080220348301</c:v>
              </c:pt>
              <c:pt idx="1082">
                <c:v>6.281080220348301</c:v>
              </c:pt>
              <c:pt idx="1083">
                <c:v>0</c:v>
              </c:pt>
              <c:pt idx="1084">
                <c:v>0</c:v>
              </c:pt>
              <c:pt idx="1085">
                <c:v>6.281080220348301</c:v>
              </c:pt>
              <c:pt idx="1086">
                <c:v>6.281080220348301</c:v>
              </c:pt>
              <c:pt idx="1087">
                <c:v>0</c:v>
              </c:pt>
              <c:pt idx="1088">
                <c:v>0</c:v>
              </c:pt>
              <c:pt idx="1089">
                <c:v>6.281080220348301</c:v>
              </c:pt>
              <c:pt idx="1090">
                <c:v>6.281080220348301</c:v>
              </c:pt>
              <c:pt idx="1091">
                <c:v>0</c:v>
              </c:pt>
              <c:pt idx="1092">
                <c:v>0</c:v>
              </c:pt>
              <c:pt idx="1093">
                <c:v>6.281080220348301</c:v>
              </c:pt>
              <c:pt idx="1094">
                <c:v>6.281080220348301</c:v>
              </c:pt>
              <c:pt idx="1095">
                <c:v>0</c:v>
              </c:pt>
              <c:pt idx="1096">
                <c:v>0</c:v>
              </c:pt>
              <c:pt idx="1097">
                <c:v>6.281080220348301</c:v>
              </c:pt>
              <c:pt idx="1098">
                <c:v>6.281080220348301</c:v>
              </c:pt>
              <c:pt idx="1099">
                <c:v>0</c:v>
              </c:pt>
              <c:pt idx="1100">
                <c:v>0</c:v>
              </c:pt>
              <c:pt idx="1101">
                <c:v>6.281080220348301</c:v>
              </c:pt>
              <c:pt idx="1102">
                <c:v>6.281080220348301</c:v>
              </c:pt>
              <c:pt idx="1103">
                <c:v>0</c:v>
              </c:pt>
              <c:pt idx="1104">
                <c:v>0</c:v>
              </c:pt>
              <c:pt idx="1105">
                <c:v>6.281080220348301</c:v>
              </c:pt>
              <c:pt idx="1106">
                <c:v>6.281080220348301</c:v>
              </c:pt>
              <c:pt idx="1107">
                <c:v>0</c:v>
              </c:pt>
              <c:pt idx="1108">
                <c:v>0</c:v>
              </c:pt>
              <c:pt idx="1109">
                <c:v>6.281080220348301</c:v>
              </c:pt>
              <c:pt idx="1110">
                <c:v>6.281080220348301</c:v>
              </c:pt>
              <c:pt idx="1111">
                <c:v>0</c:v>
              </c:pt>
              <c:pt idx="1112">
                <c:v>0</c:v>
              </c:pt>
              <c:pt idx="1113">
                <c:v>6.281080220348301</c:v>
              </c:pt>
              <c:pt idx="1114">
                <c:v>6.281080220348301</c:v>
              </c:pt>
              <c:pt idx="1115">
                <c:v>0</c:v>
              </c:pt>
              <c:pt idx="1116">
                <c:v>0</c:v>
              </c:pt>
              <c:pt idx="1117">
                <c:v>6.281080220348301</c:v>
              </c:pt>
              <c:pt idx="1118">
                <c:v>6.281080220348301</c:v>
              </c:pt>
              <c:pt idx="1119">
                <c:v>0</c:v>
              </c:pt>
              <c:pt idx="1120">
                <c:v>0</c:v>
              </c:pt>
              <c:pt idx="1121">
                <c:v>6.281080220348301</c:v>
              </c:pt>
              <c:pt idx="1122">
                <c:v>6.281080220348301</c:v>
              </c:pt>
              <c:pt idx="1123">
                <c:v>0</c:v>
              </c:pt>
              <c:pt idx="1124">
                <c:v>0</c:v>
              </c:pt>
              <c:pt idx="1125">
                <c:v>6.281080220348301</c:v>
              </c:pt>
              <c:pt idx="1126">
                <c:v>6.281080220348301</c:v>
              </c:pt>
              <c:pt idx="1127">
                <c:v>0</c:v>
              </c:pt>
              <c:pt idx="1128">
                <c:v>0</c:v>
              </c:pt>
              <c:pt idx="1129">
                <c:v>6.281080220348301</c:v>
              </c:pt>
              <c:pt idx="1130">
                <c:v>6.281080220348301</c:v>
              </c:pt>
              <c:pt idx="1131">
                <c:v>0</c:v>
              </c:pt>
              <c:pt idx="1132">
                <c:v>0</c:v>
              </c:pt>
              <c:pt idx="1133">
                <c:v>6.281080220348301</c:v>
              </c:pt>
              <c:pt idx="1134">
                <c:v>6.281080220348301</c:v>
              </c:pt>
              <c:pt idx="1135">
                <c:v>0</c:v>
              </c:pt>
              <c:pt idx="1136">
                <c:v>0</c:v>
              </c:pt>
              <c:pt idx="1137">
                <c:v>6.281080220348301</c:v>
              </c:pt>
              <c:pt idx="1138">
                <c:v>6.281080220348301</c:v>
              </c:pt>
              <c:pt idx="1139">
                <c:v>0</c:v>
              </c:pt>
              <c:pt idx="1140">
                <c:v>0</c:v>
              </c:pt>
              <c:pt idx="1141">
                <c:v>6.281080220348301</c:v>
              </c:pt>
              <c:pt idx="1142">
                <c:v>6.281080220348301</c:v>
              </c:pt>
              <c:pt idx="1143">
                <c:v>0</c:v>
              </c:pt>
              <c:pt idx="1144">
                <c:v>0</c:v>
              </c:pt>
              <c:pt idx="1145">
                <c:v>6.281080220348301</c:v>
              </c:pt>
              <c:pt idx="1146">
                <c:v>6.281080220348301</c:v>
              </c:pt>
              <c:pt idx="1147">
                <c:v>0</c:v>
              </c:pt>
              <c:pt idx="1148">
                <c:v>0</c:v>
              </c:pt>
              <c:pt idx="1149">
                <c:v>6.281080220348301</c:v>
              </c:pt>
              <c:pt idx="1150">
                <c:v>6.281080220348301</c:v>
              </c:pt>
              <c:pt idx="1151">
                <c:v>0</c:v>
              </c:pt>
              <c:pt idx="1152">
                <c:v>0</c:v>
              </c:pt>
              <c:pt idx="1153">
                <c:v>6.281080220348301</c:v>
              </c:pt>
              <c:pt idx="1154">
                <c:v>6.281080220348301</c:v>
              </c:pt>
              <c:pt idx="1155">
                <c:v>0</c:v>
              </c:pt>
              <c:pt idx="1156">
                <c:v>0</c:v>
              </c:pt>
              <c:pt idx="1157">
                <c:v>6.281080220348301</c:v>
              </c:pt>
              <c:pt idx="1158">
                <c:v>6.281080220348301</c:v>
              </c:pt>
              <c:pt idx="1159">
                <c:v>0</c:v>
              </c:pt>
              <c:pt idx="1160">
                <c:v>0</c:v>
              </c:pt>
              <c:pt idx="1161">
                <c:v>6.281080220348301</c:v>
              </c:pt>
              <c:pt idx="1162">
                <c:v>6.281080220348301</c:v>
              </c:pt>
              <c:pt idx="1163">
                <c:v>0</c:v>
              </c:pt>
              <c:pt idx="1164">
                <c:v>0</c:v>
              </c:pt>
              <c:pt idx="1165">
                <c:v>6.281080220348301</c:v>
              </c:pt>
              <c:pt idx="1166">
                <c:v>6.281080220348301</c:v>
              </c:pt>
              <c:pt idx="1167">
                <c:v>0</c:v>
              </c:pt>
              <c:pt idx="1168">
                <c:v>0</c:v>
              </c:pt>
              <c:pt idx="1169">
                <c:v>6.281080220348301</c:v>
              </c:pt>
              <c:pt idx="1170">
                <c:v>6.281080220348301</c:v>
              </c:pt>
              <c:pt idx="1171">
                <c:v>0</c:v>
              </c:pt>
              <c:pt idx="1172">
                <c:v>0</c:v>
              </c:pt>
              <c:pt idx="1173">
                <c:v>6.281080220348301</c:v>
              </c:pt>
              <c:pt idx="1174">
                <c:v>6.281080220348301</c:v>
              </c:pt>
              <c:pt idx="1175">
                <c:v>0</c:v>
              </c:pt>
              <c:pt idx="1176">
                <c:v>0</c:v>
              </c:pt>
              <c:pt idx="1177">
                <c:v>6.281080220348301</c:v>
              </c:pt>
              <c:pt idx="1178">
                <c:v>6.281080220348301</c:v>
              </c:pt>
              <c:pt idx="1179">
                <c:v>0</c:v>
              </c:pt>
              <c:pt idx="1180">
                <c:v>6.281080220348301</c:v>
              </c:pt>
              <c:pt idx="1181">
                <c:v>0</c:v>
              </c:pt>
              <c:pt idx="1184">
                <c:v>0</c:v>
              </c:pt>
              <c:pt idx="1185">
                <c:v>7.9607005578230545</c:v>
              </c:pt>
              <c:pt idx="1186">
                <c:v>7.9607005578230545</c:v>
              </c:pt>
              <c:pt idx="1187">
                <c:v>0</c:v>
              </c:pt>
              <c:pt idx="1188">
                <c:v>0</c:v>
              </c:pt>
              <c:pt idx="1189">
                <c:v>7.9607005578230545</c:v>
              </c:pt>
              <c:pt idx="1190">
                <c:v>7.9607005578230545</c:v>
              </c:pt>
              <c:pt idx="1191">
                <c:v>0</c:v>
              </c:pt>
              <c:pt idx="1192">
                <c:v>0</c:v>
              </c:pt>
              <c:pt idx="1193">
                <c:v>7.9607005578230545</c:v>
              </c:pt>
              <c:pt idx="1194">
                <c:v>7.9607005578230545</c:v>
              </c:pt>
              <c:pt idx="1195">
                <c:v>0</c:v>
              </c:pt>
              <c:pt idx="1196">
                <c:v>0</c:v>
              </c:pt>
              <c:pt idx="1197">
                <c:v>7.9607005578230545</c:v>
              </c:pt>
              <c:pt idx="1198">
                <c:v>7.9607005578230545</c:v>
              </c:pt>
              <c:pt idx="1199">
                <c:v>0</c:v>
              </c:pt>
              <c:pt idx="1200">
                <c:v>0</c:v>
              </c:pt>
              <c:pt idx="1201">
                <c:v>7.9607005578230545</c:v>
              </c:pt>
              <c:pt idx="1202">
                <c:v>7.9607005578230545</c:v>
              </c:pt>
              <c:pt idx="1203">
                <c:v>0</c:v>
              </c:pt>
              <c:pt idx="1204">
                <c:v>0</c:v>
              </c:pt>
              <c:pt idx="1205">
                <c:v>7.9607005578230545</c:v>
              </c:pt>
              <c:pt idx="1206">
                <c:v>7.9607005578230545</c:v>
              </c:pt>
              <c:pt idx="1207">
                <c:v>0</c:v>
              </c:pt>
              <c:pt idx="1208">
                <c:v>0</c:v>
              </c:pt>
              <c:pt idx="1209">
                <c:v>7.9607005578230545</c:v>
              </c:pt>
              <c:pt idx="1210">
                <c:v>7.9607005578230545</c:v>
              </c:pt>
              <c:pt idx="1211">
                <c:v>0</c:v>
              </c:pt>
              <c:pt idx="1212">
                <c:v>0</c:v>
              </c:pt>
              <c:pt idx="1213">
                <c:v>7.9607005578230545</c:v>
              </c:pt>
              <c:pt idx="1214">
                <c:v>7.9607005578230545</c:v>
              </c:pt>
              <c:pt idx="1215">
                <c:v>0</c:v>
              </c:pt>
              <c:pt idx="1216">
                <c:v>0</c:v>
              </c:pt>
              <c:pt idx="1217">
                <c:v>7.9607005578230545</c:v>
              </c:pt>
              <c:pt idx="1218">
                <c:v>7.9607005578230545</c:v>
              </c:pt>
              <c:pt idx="1219">
                <c:v>0</c:v>
              </c:pt>
              <c:pt idx="1220">
                <c:v>0</c:v>
              </c:pt>
              <c:pt idx="1221">
                <c:v>7.9607005578230545</c:v>
              </c:pt>
              <c:pt idx="1222">
                <c:v>7.9607005578230545</c:v>
              </c:pt>
              <c:pt idx="1223">
                <c:v>0</c:v>
              </c:pt>
              <c:pt idx="1224">
                <c:v>0</c:v>
              </c:pt>
              <c:pt idx="1225">
                <c:v>7.9607005578230545</c:v>
              </c:pt>
              <c:pt idx="1226">
                <c:v>7.9607005578230545</c:v>
              </c:pt>
              <c:pt idx="1227">
                <c:v>0</c:v>
              </c:pt>
              <c:pt idx="1228">
                <c:v>0</c:v>
              </c:pt>
              <c:pt idx="1229">
                <c:v>7.9607005578230545</c:v>
              </c:pt>
              <c:pt idx="1230">
                <c:v>7.9607005578230545</c:v>
              </c:pt>
              <c:pt idx="1231">
                <c:v>0</c:v>
              </c:pt>
              <c:pt idx="1232">
                <c:v>0</c:v>
              </c:pt>
              <c:pt idx="1233">
                <c:v>7.9607005578230545</c:v>
              </c:pt>
              <c:pt idx="1234">
                <c:v>7.9607005578230545</c:v>
              </c:pt>
              <c:pt idx="1235">
                <c:v>0</c:v>
              </c:pt>
              <c:pt idx="1236">
                <c:v>0</c:v>
              </c:pt>
              <c:pt idx="1237">
                <c:v>7.9607005578230545</c:v>
              </c:pt>
              <c:pt idx="1238">
                <c:v>7.9607005578230545</c:v>
              </c:pt>
              <c:pt idx="1239">
                <c:v>0</c:v>
              </c:pt>
              <c:pt idx="1240">
                <c:v>0</c:v>
              </c:pt>
              <c:pt idx="1241">
                <c:v>7.9607005578230545</c:v>
              </c:pt>
              <c:pt idx="1242">
                <c:v>7.9607005578230545</c:v>
              </c:pt>
              <c:pt idx="1243">
                <c:v>0</c:v>
              </c:pt>
              <c:pt idx="1244">
                <c:v>0</c:v>
              </c:pt>
              <c:pt idx="1245">
                <c:v>7.9607005578230545</c:v>
              </c:pt>
              <c:pt idx="1246">
                <c:v>7.9607005578230545</c:v>
              </c:pt>
              <c:pt idx="1247">
                <c:v>0</c:v>
              </c:pt>
              <c:pt idx="1248">
                <c:v>0</c:v>
              </c:pt>
              <c:pt idx="1249">
                <c:v>7.9607005578230545</c:v>
              </c:pt>
              <c:pt idx="1250">
                <c:v>7.9607005578230545</c:v>
              </c:pt>
              <c:pt idx="1251">
                <c:v>0</c:v>
              </c:pt>
              <c:pt idx="1252">
                <c:v>0</c:v>
              </c:pt>
              <c:pt idx="1253">
                <c:v>7.9607005578230545</c:v>
              </c:pt>
              <c:pt idx="1254">
                <c:v>7.9607005578230545</c:v>
              </c:pt>
              <c:pt idx="1255">
                <c:v>0</c:v>
              </c:pt>
              <c:pt idx="1256">
                <c:v>0</c:v>
              </c:pt>
              <c:pt idx="1257">
                <c:v>7.9607005578230545</c:v>
              </c:pt>
              <c:pt idx="1258">
                <c:v>7.9607005578230545</c:v>
              </c:pt>
              <c:pt idx="1259">
                <c:v>0</c:v>
              </c:pt>
              <c:pt idx="1260">
                <c:v>0</c:v>
              </c:pt>
              <c:pt idx="1261">
                <c:v>7.9607005578230545</c:v>
              </c:pt>
              <c:pt idx="1262">
                <c:v>7.9607005578230545</c:v>
              </c:pt>
              <c:pt idx="1263">
                <c:v>0</c:v>
              </c:pt>
              <c:pt idx="1264">
                <c:v>0</c:v>
              </c:pt>
              <c:pt idx="1265">
                <c:v>7.9607005578230545</c:v>
              </c:pt>
              <c:pt idx="1266">
                <c:v>7.9607005578230545</c:v>
              </c:pt>
              <c:pt idx="1267">
                <c:v>0</c:v>
              </c:pt>
              <c:pt idx="1268">
                <c:v>0</c:v>
              </c:pt>
              <c:pt idx="1269">
                <c:v>7.9607005578230545</c:v>
              </c:pt>
              <c:pt idx="1270">
                <c:v>7.9607005578230545</c:v>
              </c:pt>
              <c:pt idx="1271">
                <c:v>0</c:v>
              </c:pt>
              <c:pt idx="1272">
                <c:v>0</c:v>
              </c:pt>
              <c:pt idx="1273">
                <c:v>7.9607005578230545</c:v>
              </c:pt>
              <c:pt idx="1274">
                <c:v>7.9607005578230545</c:v>
              </c:pt>
              <c:pt idx="1275">
                <c:v>0</c:v>
              </c:pt>
              <c:pt idx="1276">
                <c:v>0</c:v>
              </c:pt>
              <c:pt idx="1277">
                <c:v>7.9607005578230545</c:v>
              </c:pt>
              <c:pt idx="1278">
                <c:v>7.9607005578230545</c:v>
              </c:pt>
              <c:pt idx="1279">
                <c:v>0</c:v>
              </c:pt>
              <c:pt idx="1280">
                <c:v>0</c:v>
              </c:pt>
              <c:pt idx="1281">
                <c:v>7.9607005578230545</c:v>
              </c:pt>
              <c:pt idx="1282">
                <c:v>7.9607005578230545</c:v>
              </c:pt>
              <c:pt idx="1283">
                <c:v>0</c:v>
              </c:pt>
              <c:pt idx="1284">
                <c:v>0</c:v>
              </c:pt>
              <c:pt idx="1285">
                <c:v>7.9607005578230545</c:v>
              </c:pt>
              <c:pt idx="1286">
                <c:v>7.9607005578230545</c:v>
              </c:pt>
              <c:pt idx="1287">
                <c:v>0</c:v>
              </c:pt>
              <c:pt idx="1288">
                <c:v>0</c:v>
              </c:pt>
              <c:pt idx="1289">
                <c:v>7.9607005578230545</c:v>
              </c:pt>
              <c:pt idx="1290">
                <c:v>7.9607005578230545</c:v>
              </c:pt>
              <c:pt idx="1291">
                <c:v>0</c:v>
              </c:pt>
              <c:pt idx="1292">
                <c:v>0</c:v>
              </c:pt>
              <c:pt idx="1293">
                <c:v>7.9607005578230545</c:v>
              </c:pt>
              <c:pt idx="1294">
                <c:v>7.9607005578230545</c:v>
              </c:pt>
              <c:pt idx="1295">
                <c:v>0</c:v>
              </c:pt>
              <c:pt idx="1296">
                <c:v>0</c:v>
              </c:pt>
              <c:pt idx="1297">
                <c:v>7.9607005578230545</c:v>
              </c:pt>
              <c:pt idx="1298">
                <c:v>7.9607005578230545</c:v>
              </c:pt>
              <c:pt idx="1299">
                <c:v>0</c:v>
              </c:pt>
              <c:pt idx="1300">
                <c:v>0</c:v>
              </c:pt>
              <c:pt idx="1301">
                <c:v>7.9607005578230545</c:v>
              </c:pt>
              <c:pt idx="1302">
                <c:v>7.9607005578230545</c:v>
              </c:pt>
              <c:pt idx="1303">
                <c:v>0</c:v>
              </c:pt>
              <c:pt idx="1304">
                <c:v>0</c:v>
              </c:pt>
              <c:pt idx="1305">
                <c:v>7.9607005578230545</c:v>
              </c:pt>
              <c:pt idx="1306">
                <c:v>7.9607005578230545</c:v>
              </c:pt>
              <c:pt idx="1307">
                <c:v>0</c:v>
              </c:pt>
              <c:pt idx="1308">
                <c:v>0</c:v>
              </c:pt>
              <c:pt idx="1309">
                <c:v>7.9607005578230545</c:v>
              </c:pt>
              <c:pt idx="1310">
                <c:v>7.9607005578230545</c:v>
              </c:pt>
              <c:pt idx="1311">
                <c:v>0</c:v>
              </c:pt>
              <c:pt idx="1312">
                <c:v>0</c:v>
              </c:pt>
              <c:pt idx="1313">
                <c:v>7.9607005578230545</c:v>
              </c:pt>
              <c:pt idx="1314">
                <c:v>7.9607005578230545</c:v>
              </c:pt>
              <c:pt idx="1315">
                <c:v>0</c:v>
              </c:pt>
              <c:pt idx="1316">
                <c:v>0</c:v>
              </c:pt>
              <c:pt idx="1317">
                <c:v>7.9607005578230545</c:v>
              </c:pt>
              <c:pt idx="1318">
                <c:v>7.9607005578230545</c:v>
              </c:pt>
              <c:pt idx="1319">
                <c:v>0</c:v>
              </c:pt>
              <c:pt idx="1320">
                <c:v>0</c:v>
              </c:pt>
              <c:pt idx="1321">
                <c:v>7.9607005578230545</c:v>
              </c:pt>
              <c:pt idx="1322">
                <c:v>7.9607005578230545</c:v>
              </c:pt>
              <c:pt idx="1323">
                <c:v>0</c:v>
              </c:pt>
              <c:pt idx="1324">
                <c:v>0</c:v>
              </c:pt>
              <c:pt idx="1325">
                <c:v>7.9607005578230545</c:v>
              </c:pt>
              <c:pt idx="1326">
                <c:v>7.9607005578230545</c:v>
              </c:pt>
              <c:pt idx="1327">
                <c:v>0</c:v>
              </c:pt>
              <c:pt idx="1328">
                <c:v>7.9607005578230545</c:v>
              </c:pt>
              <c:pt idx="1329">
                <c:v>0</c:v>
              </c:pt>
              <c:pt idx="1332">
                <c:v>0</c:v>
              </c:pt>
              <c:pt idx="1333">
                <c:v>9.412872307931437</c:v>
              </c:pt>
              <c:pt idx="1334">
                <c:v>9.412872307931437</c:v>
              </c:pt>
              <c:pt idx="1335">
                <c:v>0</c:v>
              </c:pt>
              <c:pt idx="1336">
                <c:v>0</c:v>
              </c:pt>
              <c:pt idx="1337">
                <c:v>9.412872307931437</c:v>
              </c:pt>
              <c:pt idx="1338">
                <c:v>9.412872307931437</c:v>
              </c:pt>
              <c:pt idx="1339">
                <c:v>0</c:v>
              </c:pt>
              <c:pt idx="1340">
                <c:v>0</c:v>
              </c:pt>
              <c:pt idx="1341">
                <c:v>9.412872307931437</c:v>
              </c:pt>
              <c:pt idx="1342">
                <c:v>9.412872307931437</c:v>
              </c:pt>
              <c:pt idx="1343">
                <c:v>0</c:v>
              </c:pt>
              <c:pt idx="1344">
                <c:v>0</c:v>
              </c:pt>
              <c:pt idx="1345">
                <c:v>9.412872307931437</c:v>
              </c:pt>
              <c:pt idx="1346">
                <c:v>9.412872307931437</c:v>
              </c:pt>
              <c:pt idx="1347">
                <c:v>0</c:v>
              </c:pt>
              <c:pt idx="1348">
                <c:v>0</c:v>
              </c:pt>
              <c:pt idx="1349">
                <c:v>9.412872307931437</c:v>
              </c:pt>
              <c:pt idx="1350">
                <c:v>9.412872307931437</c:v>
              </c:pt>
              <c:pt idx="1351">
                <c:v>0</c:v>
              </c:pt>
              <c:pt idx="1352">
                <c:v>0</c:v>
              </c:pt>
              <c:pt idx="1353">
                <c:v>9.412872307931437</c:v>
              </c:pt>
              <c:pt idx="1354">
                <c:v>9.412872307931437</c:v>
              </c:pt>
              <c:pt idx="1355">
                <c:v>0</c:v>
              </c:pt>
              <c:pt idx="1356">
                <c:v>0</c:v>
              </c:pt>
              <c:pt idx="1357">
                <c:v>9.412872307931437</c:v>
              </c:pt>
              <c:pt idx="1358">
                <c:v>9.412872307931437</c:v>
              </c:pt>
              <c:pt idx="1359">
                <c:v>0</c:v>
              </c:pt>
              <c:pt idx="1360">
                <c:v>0</c:v>
              </c:pt>
              <c:pt idx="1361">
                <c:v>9.412872307931437</c:v>
              </c:pt>
              <c:pt idx="1362">
                <c:v>9.412872307931437</c:v>
              </c:pt>
              <c:pt idx="1363">
                <c:v>0</c:v>
              </c:pt>
              <c:pt idx="1364">
                <c:v>0</c:v>
              </c:pt>
              <c:pt idx="1365">
                <c:v>9.412872307931437</c:v>
              </c:pt>
              <c:pt idx="1366">
                <c:v>9.412872307931437</c:v>
              </c:pt>
              <c:pt idx="1367">
                <c:v>0</c:v>
              </c:pt>
              <c:pt idx="1368">
                <c:v>0</c:v>
              </c:pt>
              <c:pt idx="1369">
                <c:v>9.412872307931437</c:v>
              </c:pt>
              <c:pt idx="1370">
                <c:v>9.412872307931437</c:v>
              </c:pt>
              <c:pt idx="1371">
                <c:v>0</c:v>
              </c:pt>
              <c:pt idx="1372">
                <c:v>0</c:v>
              </c:pt>
              <c:pt idx="1373">
                <c:v>9.412872307931437</c:v>
              </c:pt>
              <c:pt idx="1374">
                <c:v>9.412872307931437</c:v>
              </c:pt>
              <c:pt idx="1375">
                <c:v>0</c:v>
              </c:pt>
              <c:pt idx="1376">
                <c:v>0</c:v>
              </c:pt>
              <c:pt idx="1377">
                <c:v>9.412872307931437</c:v>
              </c:pt>
              <c:pt idx="1378">
                <c:v>9.412872307931437</c:v>
              </c:pt>
              <c:pt idx="1379">
                <c:v>0</c:v>
              </c:pt>
              <c:pt idx="1380">
                <c:v>0</c:v>
              </c:pt>
              <c:pt idx="1381">
                <c:v>9.412872307931437</c:v>
              </c:pt>
              <c:pt idx="1382">
                <c:v>9.412872307931437</c:v>
              </c:pt>
              <c:pt idx="1383">
                <c:v>0</c:v>
              </c:pt>
              <c:pt idx="1384">
                <c:v>0</c:v>
              </c:pt>
              <c:pt idx="1385">
                <c:v>9.412872307931437</c:v>
              </c:pt>
              <c:pt idx="1386">
                <c:v>9.412872307931437</c:v>
              </c:pt>
              <c:pt idx="1387">
                <c:v>0</c:v>
              </c:pt>
              <c:pt idx="1388">
                <c:v>0</c:v>
              </c:pt>
              <c:pt idx="1389">
                <c:v>9.412872307931437</c:v>
              </c:pt>
              <c:pt idx="1390">
                <c:v>9.412872307931437</c:v>
              </c:pt>
              <c:pt idx="1391">
                <c:v>0</c:v>
              </c:pt>
              <c:pt idx="1392">
                <c:v>0</c:v>
              </c:pt>
              <c:pt idx="1393">
                <c:v>9.412872307931437</c:v>
              </c:pt>
              <c:pt idx="1394">
                <c:v>9.412872307931437</c:v>
              </c:pt>
              <c:pt idx="1395">
                <c:v>0</c:v>
              </c:pt>
              <c:pt idx="1396">
                <c:v>0</c:v>
              </c:pt>
              <c:pt idx="1397">
                <c:v>9.412872307931437</c:v>
              </c:pt>
              <c:pt idx="1398">
                <c:v>9.412872307931437</c:v>
              </c:pt>
              <c:pt idx="1399">
                <c:v>0</c:v>
              </c:pt>
              <c:pt idx="1400">
                <c:v>0</c:v>
              </c:pt>
              <c:pt idx="1401">
                <c:v>9.412872307931437</c:v>
              </c:pt>
              <c:pt idx="1402">
                <c:v>9.412872307931437</c:v>
              </c:pt>
              <c:pt idx="1403">
                <c:v>0</c:v>
              </c:pt>
              <c:pt idx="1404">
                <c:v>0</c:v>
              </c:pt>
              <c:pt idx="1405">
                <c:v>9.412872307931437</c:v>
              </c:pt>
              <c:pt idx="1406">
                <c:v>9.412872307931437</c:v>
              </c:pt>
              <c:pt idx="1407">
                <c:v>0</c:v>
              </c:pt>
              <c:pt idx="1408">
                <c:v>0</c:v>
              </c:pt>
              <c:pt idx="1409">
                <c:v>9.412872307931437</c:v>
              </c:pt>
              <c:pt idx="1410">
                <c:v>9.412872307931437</c:v>
              </c:pt>
              <c:pt idx="1411">
                <c:v>0</c:v>
              </c:pt>
              <c:pt idx="1412">
                <c:v>0</c:v>
              </c:pt>
              <c:pt idx="1413">
                <c:v>9.412872307931437</c:v>
              </c:pt>
              <c:pt idx="1414">
                <c:v>9.412872307931437</c:v>
              </c:pt>
              <c:pt idx="1415">
                <c:v>0</c:v>
              </c:pt>
              <c:pt idx="1416">
                <c:v>0</c:v>
              </c:pt>
              <c:pt idx="1417">
                <c:v>9.412872307931437</c:v>
              </c:pt>
              <c:pt idx="1418">
                <c:v>9.412872307931437</c:v>
              </c:pt>
              <c:pt idx="1419">
                <c:v>0</c:v>
              </c:pt>
              <c:pt idx="1420">
                <c:v>0</c:v>
              </c:pt>
              <c:pt idx="1421">
                <c:v>9.412872307931437</c:v>
              </c:pt>
              <c:pt idx="1422">
                <c:v>9.412872307931437</c:v>
              </c:pt>
              <c:pt idx="1423">
                <c:v>0</c:v>
              </c:pt>
              <c:pt idx="1424">
                <c:v>0</c:v>
              </c:pt>
              <c:pt idx="1425">
                <c:v>9.412872307931437</c:v>
              </c:pt>
              <c:pt idx="1426">
                <c:v>9.412872307931437</c:v>
              </c:pt>
              <c:pt idx="1427">
                <c:v>0</c:v>
              </c:pt>
              <c:pt idx="1428">
                <c:v>0</c:v>
              </c:pt>
              <c:pt idx="1429">
                <c:v>9.412872307931437</c:v>
              </c:pt>
              <c:pt idx="1430">
                <c:v>9.412872307931437</c:v>
              </c:pt>
              <c:pt idx="1431">
                <c:v>0</c:v>
              </c:pt>
              <c:pt idx="1432">
                <c:v>0</c:v>
              </c:pt>
              <c:pt idx="1433">
                <c:v>9.412872307931437</c:v>
              </c:pt>
              <c:pt idx="1434">
                <c:v>9.412872307931437</c:v>
              </c:pt>
              <c:pt idx="1435">
                <c:v>0</c:v>
              </c:pt>
              <c:pt idx="1436">
                <c:v>0</c:v>
              </c:pt>
              <c:pt idx="1437">
                <c:v>9.412872307931437</c:v>
              </c:pt>
              <c:pt idx="1438">
                <c:v>9.412872307931437</c:v>
              </c:pt>
              <c:pt idx="1439">
                <c:v>0</c:v>
              </c:pt>
              <c:pt idx="1440">
                <c:v>0</c:v>
              </c:pt>
              <c:pt idx="1441">
                <c:v>9.412872307931437</c:v>
              </c:pt>
              <c:pt idx="1442">
                <c:v>9.412872307931437</c:v>
              </c:pt>
              <c:pt idx="1443">
                <c:v>0</c:v>
              </c:pt>
              <c:pt idx="1444">
                <c:v>0</c:v>
              </c:pt>
              <c:pt idx="1445">
                <c:v>9.412872307931437</c:v>
              </c:pt>
              <c:pt idx="1446">
                <c:v>9.412872307931437</c:v>
              </c:pt>
              <c:pt idx="1447">
                <c:v>0</c:v>
              </c:pt>
              <c:pt idx="1448">
                <c:v>0</c:v>
              </c:pt>
              <c:pt idx="1449">
                <c:v>9.412872307931437</c:v>
              </c:pt>
              <c:pt idx="1450">
                <c:v>9.412872307931437</c:v>
              </c:pt>
              <c:pt idx="1451">
                <c:v>0</c:v>
              </c:pt>
              <c:pt idx="1452">
                <c:v>0</c:v>
              </c:pt>
              <c:pt idx="1453">
                <c:v>9.412872307931437</c:v>
              </c:pt>
              <c:pt idx="1454">
                <c:v>9.412872307931437</c:v>
              </c:pt>
              <c:pt idx="1455">
                <c:v>0</c:v>
              </c:pt>
              <c:pt idx="1456">
                <c:v>0</c:v>
              </c:pt>
              <c:pt idx="1457">
                <c:v>9.412872307931437</c:v>
              </c:pt>
              <c:pt idx="1458">
                <c:v>9.412872307931437</c:v>
              </c:pt>
              <c:pt idx="1459">
                <c:v>0</c:v>
              </c:pt>
              <c:pt idx="1460">
                <c:v>0</c:v>
              </c:pt>
              <c:pt idx="1461">
                <c:v>9.412872307931437</c:v>
              </c:pt>
              <c:pt idx="1462">
                <c:v>9.412872307931437</c:v>
              </c:pt>
              <c:pt idx="1463">
                <c:v>0</c:v>
              </c:pt>
              <c:pt idx="1464">
                <c:v>0</c:v>
              </c:pt>
              <c:pt idx="1465">
                <c:v>9.412872307931437</c:v>
              </c:pt>
              <c:pt idx="1466">
                <c:v>9.412872307931437</c:v>
              </c:pt>
              <c:pt idx="1467">
                <c:v>0</c:v>
              </c:pt>
              <c:pt idx="1468">
                <c:v>0</c:v>
              </c:pt>
              <c:pt idx="1469">
                <c:v>9.412872307931437</c:v>
              </c:pt>
              <c:pt idx="1470">
                <c:v>9.412872307931437</c:v>
              </c:pt>
              <c:pt idx="1471">
                <c:v>0</c:v>
              </c:pt>
              <c:pt idx="1472">
                <c:v>0</c:v>
              </c:pt>
              <c:pt idx="1473">
                <c:v>9.412872307931437</c:v>
              </c:pt>
              <c:pt idx="1474">
                <c:v>9.412872307931437</c:v>
              </c:pt>
              <c:pt idx="1475">
                <c:v>0</c:v>
              </c:pt>
              <c:pt idx="1476">
                <c:v>9.412872307931437</c:v>
              </c:pt>
              <c:pt idx="1477">
                <c:v>0</c:v>
              </c:pt>
              <c:pt idx="1480">
                <c:v>0</c:v>
              </c:pt>
              <c:pt idx="1481">
                <c:v>10.427642928489101</c:v>
              </c:pt>
              <c:pt idx="1482">
                <c:v>10.427642928489101</c:v>
              </c:pt>
              <c:pt idx="1483">
                <c:v>0</c:v>
              </c:pt>
              <c:pt idx="1484">
                <c:v>0</c:v>
              </c:pt>
              <c:pt idx="1485">
                <c:v>10.427642928489101</c:v>
              </c:pt>
              <c:pt idx="1486">
                <c:v>10.427642928489101</c:v>
              </c:pt>
              <c:pt idx="1487">
                <c:v>0</c:v>
              </c:pt>
              <c:pt idx="1488">
                <c:v>0</c:v>
              </c:pt>
              <c:pt idx="1489">
                <c:v>10.427642928489101</c:v>
              </c:pt>
              <c:pt idx="1490">
                <c:v>10.427642928489101</c:v>
              </c:pt>
              <c:pt idx="1491">
                <c:v>0</c:v>
              </c:pt>
              <c:pt idx="1492">
                <c:v>0</c:v>
              </c:pt>
              <c:pt idx="1493">
                <c:v>10.427642928489101</c:v>
              </c:pt>
              <c:pt idx="1494">
                <c:v>10.427642928489101</c:v>
              </c:pt>
              <c:pt idx="1495">
                <c:v>0</c:v>
              </c:pt>
              <c:pt idx="1496">
                <c:v>0</c:v>
              </c:pt>
              <c:pt idx="1497">
                <c:v>10.427642928489101</c:v>
              </c:pt>
              <c:pt idx="1498">
                <c:v>10.427642928489101</c:v>
              </c:pt>
              <c:pt idx="1499">
                <c:v>0</c:v>
              </c:pt>
              <c:pt idx="1500">
                <c:v>0</c:v>
              </c:pt>
              <c:pt idx="1501">
                <c:v>10.427642928489101</c:v>
              </c:pt>
              <c:pt idx="1502">
                <c:v>10.427642928489101</c:v>
              </c:pt>
              <c:pt idx="1503">
                <c:v>0</c:v>
              </c:pt>
              <c:pt idx="1504">
                <c:v>0</c:v>
              </c:pt>
              <c:pt idx="1505">
                <c:v>10.427642928489101</c:v>
              </c:pt>
              <c:pt idx="1506">
                <c:v>10.427642928489101</c:v>
              </c:pt>
              <c:pt idx="1507">
                <c:v>0</c:v>
              </c:pt>
              <c:pt idx="1508">
                <c:v>0</c:v>
              </c:pt>
              <c:pt idx="1509">
                <c:v>10.427642928489101</c:v>
              </c:pt>
              <c:pt idx="1510">
                <c:v>10.427642928489101</c:v>
              </c:pt>
              <c:pt idx="1511">
                <c:v>0</c:v>
              </c:pt>
              <c:pt idx="1512">
                <c:v>0</c:v>
              </c:pt>
              <c:pt idx="1513">
                <c:v>10.427642928489101</c:v>
              </c:pt>
              <c:pt idx="1514">
                <c:v>10.427642928489101</c:v>
              </c:pt>
              <c:pt idx="1515">
                <c:v>0</c:v>
              </c:pt>
              <c:pt idx="1516">
                <c:v>0</c:v>
              </c:pt>
              <c:pt idx="1517">
                <c:v>10.427642928489101</c:v>
              </c:pt>
              <c:pt idx="1518">
                <c:v>10.427642928489101</c:v>
              </c:pt>
              <c:pt idx="1519">
                <c:v>0</c:v>
              </c:pt>
              <c:pt idx="1520">
                <c:v>0</c:v>
              </c:pt>
              <c:pt idx="1521">
                <c:v>10.427642928489101</c:v>
              </c:pt>
              <c:pt idx="1522">
                <c:v>10.427642928489101</c:v>
              </c:pt>
              <c:pt idx="1523">
                <c:v>0</c:v>
              </c:pt>
              <c:pt idx="1524">
                <c:v>0</c:v>
              </c:pt>
              <c:pt idx="1525">
                <c:v>10.427642928489101</c:v>
              </c:pt>
              <c:pt idx="1526">
                <c:v>10.427642928489101</c:v>
              </c:pt>
              <c:pt idx="1527">
                <c:v>0</c:v>
              </c:pt>
              <c:pt idx="1528">
                <c:v>0</c:v>
              </c:pt>
              <c:pt idx="1529">
                <c:v>10.427642928489101</c:v>
              </c:pt>
              <c:pt idx="1530">
                <c:v>10.427642928489101</c:v>
              </c:pt>
              <c:pt idx="1531">
                <c:v>0</c:v>
              </c:pt>
              <c:pt idx="1532">
                <c:v>0</c:v>
              </c:pt>
              <c:pt idx="1533">
                <c:v>10.427642928489101</c:v>
              </c:pt>
              <c:pt idx="1534">
                <c:v>10.427642928489101</c:v>
              </c:pt>
              <c:pt idx="1535">
                <c:v>0</c:v>
              </c:pt>
              <c:pt idx="1536">
                <c:v>0</c:v>
              </c:pt>
              <c:pt idx="1537">
                <c:v>10.427642928489101</c:v>
              </c:pt>
              <c:pt idx="1538">
                <c:v>10.427642928489101</c:v>
              </c:pt>
              <c:pt idx="1539">
                <c:v>0</c:v>
              </c:pt>
              <c:pt idx="1540">
                <c:v>0</c:v>
              </c:pt>
              <c:pt idx="1541">
                <c:v>10.427642928489101</c:v>
              </c:pt>
              <c:pt idx="1542">
                <c:v>10.427642928489101</c:v>
              </c:pt>
              <c:pt idx="1543">
                <c:v>0</c:v>
              </c:pt>
              <c:pt idx="1544">
                <c:v>0</c:v>
              </c:pt>
              <c:pt idx="1545">
                <c:v>10.427642928489101</c:v>
              </c:pt>
              <c:pt idx="1546">
                <c:v>10.427642928489101</c:v>
              </c:pt>
              <c:pt idx="1547">
                <c:v>0</c:v>
              </c:pt>
              <c:pt idx="1548">
                <c:v>0</c:v>
              </c:pt>
              <c:pt idx="1549">
                <c:v>10.427642928489101</c:v>
              </c:pt>
              <c:pt idx="1550">
                <c:v>10.427642928489101</c:v>
              </c:pt>
              <c:pt idx="1551">
                <c:v>0</c:v>
              </c:pt>
              <c:pt idx="1552">
                <c:v>0</c:v>
              </c:pt>
              <c:pt idx="1553">
                <c:v>10.427642928489101</c:v>
              </c:pt>
              <c:pt idx="1554">
                <c:v>10.427642928489101</c:v>
              </c:pt>
              <c:pt idx="1555">
                <c:v>0</c:v>
              </c:pt>
              <c:pt idx="1556">
                <c:v>0</c:v>
              </c:pt>
              <c:pt idx="1557">
                <c:v>10.427642928489101</c:v>
              </c:pt>
              <c:pt idx="1558">
                <c:v>10.427642928489101</c:v>
              </c:pt>
              <c:pt idx="1559">
                <c:v>0</c:v>
              </c:pt>
              <c:pt idx="1560">
                <c:v>0</c:v>
              </c:pt>
              <c:pt idx="1561">
                <c:v>10.427642928489101</c:v>
              </c:pt>
              <c:pt idx="1562">
                <c:v>10.427642928489101</c:v>
              </c:pt>
              <c:pt idx="1563">
                <c:v>0</c:v>
              </c:pt>
              <c:pt idx="1564">
                <c:v>0</c:v>
              </c:pt>
              <c:pt idx="1565">
                <c:v>10.427642928489101</c:v>
              </c:pt>
              <c:pt idx="1566">
                <c:v>10.427642928489101</c:v>
              </c:pt>
              <c:pt idx="1567">
                <c:v>0</c:v>
              </c:pt>
              <c:pt idx="1568">
                <c:v>0</c:v>
              </c:pt>
              <c:pt idx="1569">
                <c:v>10.427642928489101</c:v>
              </c:pt>
              <c:pt idx="1570">
                <c:v>10.427642928489101</c:v>
              </c:pt>
              <c:pt idx="1571">
                <c:v>0</c:v>
              </c:pt>
              <c:pt idx="1572">
                <c:v>0</c:v>
              </c:pt>
              <c:pt idx="1573">
                <c:v>10.427642928489101</c:v>
              </c:pt>
              <c:pt idx="1574">
                <c:v>10.427642928489101</c:v>
              </c:pt>
              <c:pt idx="1575">
                <c:v>0</c:v>
              </c:pt>
              <c:pt idx="1576">
                <c:v>0</c:v>
              </c:pt>
              <c:pt idx="1577">
                <c:v>10.427642928489101</c:v>
              </c:pt>
              <c:pt idx="1578">
                <c:v>10.427642928489101</c:v>
              </c:pt>
              <c:pt idx="1579">
                <c:v>0</c:v>
              </c:pt>
              <c:pt idx="1580">
                <c:v>0</c:v>
              </c:pt>
              <c:pt idx="1581">
                <c:v>10.427642928489101</c:v>
              </c:pt>
              <c:pt idx="1582">
                <c:v>10.427642928489101</c:v>
              </c:pt>
              <c:pt idx="1583">
                <c:v>0</c:v>
              </c:pt>
              <c:pt idx="1584">
                <c:v>0</c:v>
              </c:pt>
              <c:pt idx="1585">
                <c:v>10.427642928489101</c:v>
              </c:pt>
              <c:pt idx="1586">
                <c:v>10.427642928489101</c:v>
              </c:pt>
              <c:pt idx="1587">
                <c:v>0</c:v>
              </c:pt>
              <c:pt idx="1588">
                <c:v>0</c:v>
              </c:pt>
              <c:pt idx="1589">
                <c:v>10.427642928489101</c:v>
              </c:pt>
              <c:pt idx="1590">
                <c:v>10.427642928489101</c:v>
              </c:pt>
              <c:pt idx="1591">
                <c:v>0</c:v>
              </c:pt>
              <c:pt idx="1592">
                <c:v>0</c:v>
              </c:pt>
              <c:pt idx="1593">
                <c:v>10.427642928489101</c:v>
              </c:pt>
              <c:pt idx="1594">
                <c:v>10.427642928489101</c:v>
              </c:pt>
              <c:pt idx="1595">
                <c:v>0</c:v>
              </c:pt>
              <c:pt idx="1596">
                <c:v>0</c:v>
              </c:pt>
              <c:pt idx="1597">
                <c:v>10.427642928489101</c:v>
              </c:pt>
              <c:pt idx="1598">
                <c:v>10.427642928489101</c:v>
              </c:pt>
              <c:pt idx="1599">
                <c:v>0</c:v>
              </c:pt>
              <c:pt idx="1600">
                <c:v>0</c:v>
              </c:pt>
              <c:pt idx="1601">
                <c:v>10.427642928489101</c:v>
              </c:pt>
              <c:pt idx="1602">
                <c:v>10.427642928489101</c:v>
              </c:pt>
              <c:pt idx="1603">
                <c:v>0</c:v>
              </c:pt>
              <c:pt idx="1604">
                <c:v>0</c:v>
              </c:pt>
              <c:pt idx="1605">
                <c:v>10.427642928489101</c:v>
              </c:pt>
              <c:pt idx="1606">
                <c:v>10.427642928489101</c:v>
              </c:pt>
              <c:pt idx="1607">
                <c:v>0</c:v>
              </c:pt>
              <c:pt idx="1608">
                <c:v>0</c:v>
              </c:pt>
              <c:pt idx="1609">
                <c:v>10.427642928489101</c:v>
              </c:pt>
              <c:pt idx="1610">
                <c:v>10.427642928489101</c:v>
              </c:pt>
              <c:pt idx="1611">
                <c:v>0</c:v>
              </c:pt>
              <c:pt idx="1612">
                <c:v>0</c:v>
              </c:pt>
              <c:pt idx="1613">
                <c:v>10.427642928489101</c:v>
              </c:pt>
              <c:pt idx="1614">
                <c:v>10.427642928489101</c:v>
              </c:pt>
              <c:pt idx="1615">
                <c:v>0</c:v>
              </c:pt>
              <c:pt idx="1616">
                <c:v>0</c:v>
              </c:pt>
              <c:pt idx="1617">
                <c:v>10.427642928489101</c:v>
              </c:pt>
              <c:pt idx="1618">
                <c:v>10.427642928489101</c:v>
              </c:pt>
              <c:pt idx="1619">
                <c:v>0</c:v>
              </c:pt>
              <c:pt idx="1620">
                <c:v>0</c:v>
              </c:pt>
              <c:pt idx="1621">
                <c:v>10.427642928489101</c:v>
              </c:pt>
              <c:pt idx="1622">
                <c:v>10.427642928489101</c:v>
              </c:pt>
              <c:pt idx="1623">
                <c:v>0</c:v>
              </c:pt>
              <c:pt idx="1624">
                <c:v>10.427642928489101</c:v>
              </c:pt>
              <c:pt idx="1625">
                <c:v>0</c:v>
              </c:pt>
              <c:pt idx="1628">
                <c:v>0</c:v>
              </c:pt>
              <c:pt idx="1629">
                <c:v>10.480131064035186</c:v>
              </c:pt>
              <c:pt idx="1630">
                <c:v>10.480131064035186</c:v>
              </c:pt>
              <c:pt idx="1631">
                <c:v>0</c:v>
              </c:pt>
              <c:pt idx="1632">
                <c:v>0</c:v>
              </c:pt>
              <c:pt idx="1633">
                <c:v>10.480131064035186</c:v>
              </c:pt>
              <c:pt idx="1634">
                <c:v>10.480131064035186</c:v>
              </c:pt>
              <c:pt idx="1635">
                <c:v>0</c:v>
              </c:pt>
              <c:pt idx="1636">
                <c:v>0</c:v>
              </c:pt>
              <c:pt idx="1637">
                <c:v>10.480131064035186</c:v>
              </c:pt>
              <c:pt idx="1638">
                <c:v>10.480131064035186</c:v>
              </c:pt>
              <c:pt idx="1639">
                <c:v>0</c:v>
              </c:pt>
              <c:pt idx="1640">
                <c:v>0</c:v>
              </c:pt>
              <c:pt idx="1641">
                <c:v>10.480131064035186</c:v>
              </c:pt>
              <c:pt idx="1642">
                <c:v>10.480131064035186</c:v>
              </c:pt>
              <c:pt idx="1643">
                <c:v>0</c:v>
              </c:pt>
              <c:pt idx="1644">
                <c:v>0</c:v>
              </c:pt>
              <c:pt idx="1645">
                <c:v>10.480131064035186</c:v>
              </c:pt>
              <c:pt idx="1646">
                <c:v>10.480131064035186</c:v>
              </c:pt>
              <c:pt idx="1647">
                <c:v>0</c:v>
              </c:pt>
              <c:pt idx="1648">
                <c:v>0</c:v>
              </c:pt>
              <c:pt idx="1649">
                <c:v>10.480131064035186</c:v>
              </c:pt>
              <c:pt idx="1650">
                <c:v>10.480131064035186</c:v>
              </c:pt>
              <c:pt idx="1651">
                <c:v>0</c:v>
              </c:pt>
              <c:pt idx="1652">
                <c:v>0</c:v>
              </c:pt>
              <c:pt idx="1653">
                <c:v>10.480131064035186</c:v>
              </c:pt>
              <c:pt idx="1654">
                <c:v>10.480131064035186</c:v>
              </c:pt>
              <c:pt idx="1655">
                <c:v>0</c:v>
              </c:pt>
              <c:pt idx="1656">
                <c:v>0</c:v>
              </c:pt>
              <c:pt idx="1657">
                <c:v>10.480131064035186</c:v>
              </c:pt>
              <c:pt idx="1658">
                <c:v>10.480131064035186</c:v>
              </c:pt>
              <c:pt idx="1659">
                <c:v>0</c:v>
              </c:pt>
              <c:pt idx="1660">
                <c:v>0</c:v>
              </c:pt>
              <c:pt idx="1661">
                <c:v>10.480131064035186</c:v>
              </c:pt>
              <c:pt idx="1662">
                <c:v>10.480131064035186</c:v>
              </c:pt>
              <c:pt idx="1663">
                <c:v>0</c:v>
              </c:pt>
              <c:pt idx="1664">
                <c:v>0</c:v>
              </c:pt>
              <c:pt idx="1665">
                <c:v>10.480131064035186</c:v>
              </c:pt>
              <c:pt idx="1666">
                <c:v>10.480131064035186</c:v>
              </c:pt>
              <c:pt idx="1667">
                <c:v>0</c:v>
              </c:pt>
              <c:pt idx="1668">
                <c:v>0</c:v>
              </c:pt>
              <c:pt idx="1669">
                <c:v>10.480131064035186</c:v>
              </c:pt>
              <c:pt idx="1670">
                <c:v>10.480131064035186</c:v>
              </c:pt>
              <c:pt idx="1671">
                <c:v>0</c:v>
              </c:pt>
              <c:pt idx="1672">
                <c:v>0</c:v>
              </c:pt>
              <c:pt idx="1673">
                <c:v>10.480131064035186</c:v>
              </c:pt>
              <c:pt idx="1674">
                <c:v>10.480131064035186</c:v>
              </c:pt>
              <c:pt idx="1675">
                <c:v>0</c:v>
              </c:pt>
              <c:pt idx="1676">
                <c:v>0</c:v>
              </c:pt>
              <c:pt idx="1677">
                <c:v>10.480131064035186</c:v>
              </c:pt>
              <c:pt idx="1678">
                <c:v>10.480131064035186</c:v>
              </c:pt>
              <c:pt idx="1679">
                <c:v>0</c:v>
              </c:pt>
              <c:pt idx="1680">
                <c:v>0</c:v>
              </c:pt>
              <c:pt idx="1681">
                <c:v>10.480131064035186</c:v>
              </c:pt>
              <c:pt idx="1682">
                <c:v>10.480131064035186</c:v>
              </c:pt>
              <c:pt idx="1683">
                <c:v>0</c:v>
              </c:pt>
              <c:pt idx="1684">
                <c:v>0</c:v>
              </c:pt>
              <c:pt idx="1685">
                <c:v>10.480131064035186</c:v>
              </c:pt>
              <c:pt idx="1686">
                <c:v>10.480131064035186</c:v>
              </c:pt>
              <c:pt idx="1687">
                <c:v>0</c:v>
              </c:pt>
              <c:pt idx="1688">
                <c:v>0</c:v>
              </c:pt>
              <c:pt idx="1689">
                <c:v>10.480131064035186</c:v>
              </c:pt>
              <c:pt idx="1690">
                <c:v>10.480131064035186</c:v>
              </c:pt>
              <c:pt idx="1691">
                <c:v>0</c:v>
              </c:pt>
              <c:pt idx="1692">
                <c:v>0</c:v>
              </c:pt>
              <c:pt idx="1693">
                <c:v>10.480131064035186</c:v>
              </c:pt>
              <c:pt idx="1694">
                <c:v>10.480131064035186</c:v>
              </c:pt>
              <c:pt idx="1695">
                <c:v>0</c:v>
              </c:pt>
              <c:pt idx="1696">
                <c:v>0</c:v>
              </c:pt>
              <c:pt idx="1697">
                <c:v>10.480131064035186</c:v>
              </c:pt>
              <c:pt idx="1698">
                <c:v>10.480131064035186</c:v>
              </c:pt>
              <c:pt idx="1699">
                <c:v>0</c:v>
              </c:pt>
              <c:pt idx="1700">
                <c:v>0</c:v>
              </c:pt>
              <c:pt idx="1701">
                <c:v>10.480131064035186</c:v>
              </c:pt>
              <c:pt idx="1702">
                <c:v>10.480131064035186</c:v>
              </c:pt>
              <c:pt idx="1703">
                <c:v>0</c:v>
              </c:pt>
              <c:pt idx="1704">
                <c:v>0</c:v>
              </c:pt>
              <c:pt idx="1705">
                <c:v>10.480131064035186</c:v>
              </c:pt>
              <c:pt idx="1706">
                <c:v>10.480131064035186</c:v>
              </c:pt>
              <c:pt idx="1707">
                <c:v>0</c:v>
              </c:pt>
              <c:pt idx="1708">
                <c:v>0</c:v>
              </c:pt>
              <c:pt idx="1709">
                <c:v>10.480131064035186</c:v>
              </c:pt>
              <c:pt idx="1710">
                <c:v>10.480131064035186</c:v>
              </c:pt>
              <c:pt idx="1711">
                <c:v>0</c:v>
              </c:pt>
              <c:pt idx="1712">
                <c:v>0</c:v>
              </c:pt>
              <c:pt idx="1713">
                <c:v>10.480131064035186</c:v>
              </c:pt>
              <c:pt idx="1714">
                <c:v>10.480131064035186</c:v>
              </c:pt>
              <c:pt idx="1715">
                <c:v>0</c:v>
              </c:pt>
              <c:pt idx="1716">
                <c:v>0</c:v>
              </c:pt>
              <c:pt idx="1717">
                <c:v>10.480131064035186</c:v>
              </c:pt>
              <c:pt idx="1718">
                <c:v>10.480131064035186</c:v>
              </c:pt>
              <c:pt idx="1719">
                <c:v>0</c:v>
              </c:pt>
              <c:pt idx="1720">
                <c:v>0</c:v>
              </c:pt>
              <c:pt idx="1721">
                <c:v>10.480131064035186</c:v>
              </c:pt>
              <c:pt idx="1722">
                <c:v>10.480131064035186</c:v>
              </c:pt>
              <c:pt idx="1723">
                <c:v>0</c:v>
              </c:pt>
              <c:pt idx="1724">
                <c:v>0</c:v>
              </c:pt>
              <c:pt idx="1725">
                <c:v>10.480131064035186</c:v>
              </c:pt>
              <c:pt idx="1726">
                <c:v>10.480131064035186</c:v>
              </c:pt>
              <c:pt idx="1727">
                <c:v>0</c:v>
              </c:pt>
              <c:pt idx="1728">
                <c:v>0</c:v>
              </c:pt>
              <c:pt idx="1729">
                <c:v>10.480131064035186</c:v>
              </c:pt>
              <c:pt idx="1730">
                <c:v>10.480131064035186</c:v>
              </c:pt>
              <c:pt idx="1731">
                <c:v>0</c:v>
              </c:pt>
              <c:pt idx="1732">
                <c:v>0</c:v>
              </c:pt>
              <c:pt idx="1733">
                <c:v>10.480131064035186</c:v>
              </c:pt>
              <c:pt idx="1734">
                <c:v>10.480131064035186</c:v>
              </c:pt>
              <c:pt idx="1735">
                <c:v>0</c:v>
              </c:pt>
              <c:pt idx="1736">
                <c:v>0</c:v>
              </c:pt>
              <c:pt idx="1737">
                <c:v>10.480131064035186</c:v>
              </c:pt>
              <c:pt idx="1738">
                <c:v>10.480131064035186</c:v>
              </c:pt>
              <c:pt idx="1739">
                <c:v>0</c:v>
              </c:pt>
              <c:pt idx="1740">
                <c:v>0</c:v>
              </c:pt>
              <c:pt idx="1741">
                <c:v>10.480131064035186</c:v>
              </c:pt>
              <c:pt idx="1742">
                <c:v>10.480131064035186</c:v>
              </c:pt>
              <c:pt idx="1743">
                <c:v>0</c:v>
              </c:pt>
              <c:pt idx="1744">
                <c:v>0</c:v>
              </c:pt>
              <c:pt idx="1745">
                <c:v>10.480131064035186</c:v>
              </c:pt>
              <c:pt idx="1746">
                <c:v>10.480131064035186</c:v>
              </c:pt>
              <c:pt idx="1747">
                <c:v>0</c:v>
              </c:pt>
              <c:pt idx="1748">
                <c:v>0</c:v>
              </c:pt>
              <c:pt idx="1749">
                <c:v>10.480131064035186</c:v>
              </c:pt>
              <c:pt idx="1750">
                <c:v>10.480131064035186</c:v>
              </c:pt>
              <c:pt idx="1751">
                <c:v>0</c:v>
              </c:pt>
              <c:pt idx="1752">
                <c:v>0</c:v>
              </c:pt>
              <c:pt idx="1753">
                <c:v>10.480131064035186</c:v>
              </c:pt>
              <c:pt idx="1754">
                <c:v>10.480131064035186</c:v>
              </c:pt>
              <c:pt idx="1755">
                <c:v>0</c:v>
              </c:pt>
              <c:pt idx="1756">
                <c:v>0</c:v>
              </c:pt>
              <c:pt idx="1757">
                <c:v>10.480131064035186</c:v>
              </c:pt>
              <c:pt idx="1758">
                <c:v>10.480131064035186</c:v>
              </c:pt>
              <c:pt idx="1759">
                <c:v>0</c:v>
              </c:pt>
              <c:pt idx="1760">
                <c:v>0</c:v>
              </c:pt>
              <c:pt idx="1761">
                <c:v>10.480131064035186</c:v>
              </c:pt>
              <c:pt idx="1762">
                <c:v>10.480131064035186</c:v>
              </c:pt>
              <c:pt idx="1763">
                <c:v>0</c:v>
              </c:pt>
              <c:pt idx="1764">
                <c:v>0</c:v>
              </c:pt>
              <c:pt idx="1765">
                <c:v>10.480131064035186</c:v>
              </c:pt>
              <c:pt idx="1766">
                <c:v>10.480131064035186</c:v>
              </c:pt>
              <c:pt idx="1767">
                <c:v>0</c:v>
              </c:pt>
              <c:pt idx="1768">
                <c:v>0</c:v>
              </c:pt>
              <c:pt idx="1769">
                <c:v>10.480131064035186</c:v>
              </c:pt>
              <c:pt idx="1770">
                <c:v>10.480131064035186</c:v>
              </c:pt>
              <c:pt idx="1771">
                <c:v>0</c:v>
              </c:pt>
              <c:pt idx="1772">
                <c:v>10.480131064035186</c:v>
              </c:pt>
              <c:pt idx="1773">
                <c:v>0</c:v>
              </c:pt>
              <c:pt idx="1776">
                <c:v>0</c:v>
              </c:pt>
              <c:pt idx="1777">
                <c:v>9.377880217567379</c:v>
              </c:pt>
              <c:pt idx="1778">
                <c:v>9.377880217567379</c:v>
              </c:pt>
              <c:pt idx="1779">
                <c:v>0</c:v>
              </c:pt>
              <c:pt idx="1780">
                <c:v>0</c:v>
              </c:pt>
              <c:pt idx="1781">
                <c:v>9.377880217567379</c:v>
              </c:pt>
              <c:pt idx="1782">
                <c:v>9.377880217567379</c:v>
              </c:pt>
              <c:pt idx="1783">
                <c:v>0</c:v>
              </c:pt>
              <c:pt idx="1784">
                <c:v>0</c:v>
              </c:pt>
              <c:pt idx="1785">
                <c:v>9.377880217567379</c:v>
              </c:pt>
              <c:pt idx="1786">
                <c:v>9.377880217567379</c:v>
              </c:pt>
              <c:pt idx="1787">
                <c:v>0</c:v>
              </c:pt>
              <c:pt idx="1788">
                <c:v>0</c:v>
              </c:pt>
              <c:pt idx="1789">
                <c:v>9.377880217567379</c:v>
              </c:pt>
              <c:pt idx="1790">
                <c:v>9.377880217567379</c:v>
              </c:pt>
              <c:pt idx="1791">
                <c:v>0</c:v>
              </c:pt>
              <c:pt idx="1792">
                <c:v>0</c:v>
              </c:pt>
              <c:pt idx="1793">
                <c:v>9.377880217567379</c:v>
              </c:pt>
              <c:pt idx="1794">
                <c:v>9.377880217567379</c:v>
              </c:pt>
              <c:pt idx="1795">
                <c:v>0</c:v>
              </c:pt>
              <c:pt idx="1796">
                <c:v>0</c:v>
              </c:pt>
              <c:pt idx="1797">
                <c:v>9.377880217567379</c:v>
              </c:pt>
              <c:pt idx="1798">
                <c:v>9.377880217567379</c:v>
              </c:pt>
              <c:pt idx="1799">
                <c:v>0</c:v>
              </c:pt>
              <c:pt idx="1800">
                <c:v>0</c:v>
              </c:pt>
              <c:pt idx="1801">
                <c:v>9.377880217567379</c:v>
              </c:pt>
              <c:pt idx="1802">
                <c:v>9.377880217567379</c:v>
              </c:pt>
              <c:pt idx="1803">
                <c:v>0</c:v>
              </c:pt>
              <c:pt idx="1804">
                <c:v>0</c:v>
              </c:pt>
              <c:pt idx="1805">
                <c:v>9.377880217567379</c:v>
              </c:pt>
              <c:pt idx="1806">
                <c:v>9.377880217567379</c:v>
              </c:pt>
              <c:pt idx="1807">
                <c:v>0</c:v>
              </c:pt>
              <c:pt idx="1808">
                <c:v>0</c:v>
              </c:pt>
              <c:pt idx="1809">
                <c:v>9.377880217567379</c:v>
              </c:pt>
              <c:pt idx="1810">
                <c:v>9.377880217567379</c:v>
              </c:pt>
              <c:pt idx="1811">
                <c:v>0</c:v>
              </c:pt>
              <c:pt idx="1812">
                <c:v>0</c:v>
              </c:pt>
              <c:pt idx="1813">
                <c:v>9.377880217567379</c:v>
              </c:pt>
              <c:pt idx="1814">
                <c:v>9.377880217567379</c:v>
              </c:pt>
              <c:pt idx="1815">
                <c:v>0</c:v>
              </c:pt>
              <c:pt idx="1816">
                <c:v>0</c:v>
              </c:pt>
              <c:pt idx="1817">
                <c:v>9.377880217567379</c:v>
              </c:pt>
              <c:pt idx="1818">
                <c:v>9.377880217567379</c:v>
              </c:pt>
              <c:pt idx="1819">
                <c:v>0</c:v>
              </c:pt>
              <c:pt idx="1820">
                <c:v>0</c:v>
              </c:pt>
              <c:pt idx="1821">
                <c:v>9.377880217567379</c:v>
              </c:pt>
              <c:pt idx="1822">
                <c:v>9.377880217567379</c:v>
              </c:pt>
              <c:pt idx="1823">
                <c:v>0</c:v>
              </c:pt>
              <c:pt idx="1824">
                <c:v>0</c:v>
              </c:pt>
              <c:pt idx="1825">
                <c:v>9.377880217567379</c:v>
              </c:pt>
              <c:pt idx="1826">
                <c:v>9.377880217567379</c:v>
              </c:pt>
              <c:pt idx="1827">
                <c:v>0</c:v>
              </c:pt>
              <c:pt idx="1828">
                <c:v>0</c:v>
              </c:pt>
              <c:pt idx="1829">
                <c:v>9.377880217567379</c:v>
              </c:pt>
              <c:pt idx="1830">
                <c:v>9.377880217567379</c:v>
              </c:pt>
              <c:pt idx="1831">
                <c:v>0</c:v>
              </c:pt>
              <c:pt idx="1832">
                <c:v>0</c:v>
              </c:pt>
              <c:pt idx="1833">
                <c:v>9.377880217567379</c:v>
              </c:pt>
              <c:pt idx="1834">
                <c:v>9.377880217567379</c:v>
              </c:pt>
              <c:pt idx="1835">
                <c:v>0</c:v>
              </c:pt>
              <c:pt idx="1836">
                <c:v>0</c:v>
              </c:pt>
              <c:pt idx="1837">
                <c:v>9.377880217567379</c:v>
              </c:pt>
              <c:pt idx="1838">
                <c:v>9.377880217567379</c:v>
              </c:pt>
              <c:pt idx="1839">
                <c:v>0</c:v>
              </c:pt>
              <c:pt idx="1840">
                <c:v>0</c:v>
              </c:pt>
              <c:pt idx="1841">
                <c:v>9.377880217567379</c:v>
              </c:pt>
              <c:pt idx="1842">
                <c:v>9.377880217567379</c:v>
              </c:pt>
              <c:pt idx="1843">
                <c:v>0</c:v>
              </c:pt>
              <c:pt idx="1844">
                <c:v>0</c:v>
              </c:pt>
              <c:pt idx="1845">
                <c:v>9.377880217567379</c:v>
              </c:pt>
              <c:pt idx="1846">
                <c:v>9.377880217567379</c:v>
              </c:pt>
              <c:pt idx="1847">
                <c:v>0</c:v>
              </c:pt>
              <c:pt idx="1848">
                <c:v>0</c:v>
              </c:pt>
              <c:pt idx="1849">
                <c:v>9.377880217567379</c:v>
              </c:pt>
              <c:pt idx="1850">
                <c:v>9.377880217567379</c:v>
              </c:pt>
              <c:pt idx="1851">
                <c:v>0</c:v>
              </c:pt>
              <c:pt idx="1852">
                <c:v>0</c:v>
              </c:pt>
              <c:pt idx="1853">
                <c:v>9.377880217567379</c:v>
              </c:pt>
              <c:pt idx="1854">
                <c:v>9.377880217567379</c:v>
              </c:pt>
              <c:pt idx="1855">
                <c:v>0</c:v>
              </c:pt>
              <c:pt idx="1856">
                <c:v>0</c:v>
              </c:pt>
              <c:pt idx="1857">
                <c:v>9.377880217567379</c:v>
              </c:pt>
              <c:pt idx="1858">
                <c:v>9.377880217567379</c:v>
              </c:pt>
              <c:pt idx="1859">
                <c:v>0</c:v>
              </c:pt>
              <c:pt idx="1860">
                <c:v>0</c:v>
              </c:pt>
              <c:pt idx="1861">
                <c:v>9.377880217567379</c:v>
              </c:pt>
              <c:pt idx="1862">
                <c:v>9.377880217567379</c:v>
              </c:pt>
              <c:pt idx="1863">
                <c:v>0</c:v>
              </c:pt>
              <c:pt idx="1864">
                <c:v>0</c:v>
              </c:pt>
              <c:pt idx="1865">
                <c:v>9.377880217567379</c:v>
              </c:pt>
              <c:pt idx="1866">
                <c:v>9.377880217567379</c:v>
              </c:pt>
              <c:pt idx="1867">
                <c:v>0</c:v>
              </c:pt>
              <c:pt idx="1868">
                <c:v>0</c:v>
              </c:pt>
              <c:pt idx="1869">
                <c:v>9.377880217567379</c:v>
              </c:pt>
              <c:pt idx="1870">
                <c:v>9.377880217567379</c:v>
              </c:pt>
              <c:pt idx="1871">
                <c:v>0</c:v>
              </c:pt>
              <c:pt idx="1872">
                <c:v>0</c:v>
              </c:pt>
              <c:pt idx="1873">
                <c:v>9.377880217567379</c:v>
              </c:pt>
              <c:pt idx="1874">
                <c:v>9.377880217567379</c:v>
              </c:pt>
              <c:pt idx="1875">
                <c:v>0</c:v>
              </c:pt>
              <c:pt idx="1876">
                <c:v>0</c:v>
              </c:pt>
              <c:pt idx="1877">
                <c:v>9.377880217567379</c:v>
              </c:pt>
              <c:pt idx="1878">
                <c:v>9.377880217567379</c:v>
              </c:pt>
              <c:pt idx="1879">
                <c:v>0</c:v>
              </c:pt>
              <c:pt idx="1880">
                <c:v>0</c:v>
              </c:pt>
              <c:pt idx="1881">
                <c:v>9.377880217567379</c:v>
              </c:pt>
              <c:pt idx="1882">
                <c:v>9.377880217567379</c:v>
              </c:pt>
              <c:pt idx="1883">
                <c:v>0</c:v>
              </c:pt>
              <c:pt idx="1884">
                <c:v>0</c:v>
              </c:pt>
              <c:pt idx="1885">
                <c:v>9.377880217567379</c:v>
              </c:pt>
              <c:pt idx="1886">
                <c:v>9.377880217567379</c:v>
              </c:pt>
              <c:pt idx="1887">
                <c:v>0</c:v>
              </c:pt>
              <c:pt idx="1888">
                <c:v>0</c:v>
              </c:pt>
              <c:pt idx="1889">
                <c:v>9.377880217567379</c:v>
              </c:pt>
              <c:pt idx="1890">
                <c:v>9.377880217567379</c:v>
              </c:pt>
              <c:pt idx="1891">
                <c:v>0</c:v>
              </c:pt>
              <c:pt idx="1892">
                <c:v>0</c:v>
              </c:pt>
              <c:pt idx="1893">
                <c:v>9.377880217567379</c:v>
              </c:pt>
              <c:pt idx="1894">
                <c:v>9.377880217567379</c:v>
              </c:pt>
              <c:pt idx="1895">
                <c:v>0</c:v>
              </c:pt>
              <c:pt idx="1896">
                <c:v>0</c:v>
              </c:pt>
              <c:pt idx="1897">
                <c:v>9.377880217567379</c:v>
              </c:pt>
              <c:pt idx="1898">
                <c:v>9.377880217567379</c:v>
              </c:pt>
              <c:pt idx="1899">
                <c:v>0</c:v>
              </c:pt>
              <c:pt idx="1900">
                <c:v>0</c:v>
              </c:pt>
              <c:pt idx="1901">
                <c:v>9.377880217567379</c:v>
              </c:pt>
              <c:pt idx="1902">
                <c:v>9.377880217567379</c:v>
              </c:pt>
              <c:pt idx="1903">
                <c:v>0</c:v>
              </c:pt>
              <c:pt idx="1904">
                <c:v>0</c:v>
              </c:pt>
              <c:pt idx="1905">
                <c:v>9.377880217567379</c:v>
              </c:pt>
              <c:pt idx="1906">
                <c:v>9.377880217567379</c:v>
              </c:pt>
              <c:pt idx="1907">
                <c:v>0</c:v>
              </c:pt>
              <c:pt idx="1908">
                <c:v>0</c:v>
              </c:pt>
              <c:pt idx="1909">
                <c:v>9.377880217567379</c:v>
              </c:pt>
              <c:pt idx="1910">
                <c:v>9.377880217567379</c:v>
              </c:pt>
              <c:pt idx="1911">
                <c:v>0</c:v>
              </c:pt>
              <c:pt idx="1912">
                <c:v>0</c:v>
              </c:pt>
              <c:pt idx="1913">
                <c:v>9.377880217567379</c:v>
              </c:pt>
              <c:pt idx="1914">
                <c:v>9.377880217567379</c:v>
              </c:pt>
              <c:pt idx="1915">
                <c:v>0</c:v>
              </c:pt>
              <c:pt idx="1916">
                <c:v>0</c:v>
              </c:pt>
              <c:pt idx="1917">
                <c:v>9.377880217567379</c:v>
              </c:pt>
              <c:pt idx="1918">
                <c:v>9.377880217567379</c:v>
              </c:pt>
              <c:pt idx="1919">
                <c:v>0</c:v>
              </c:pt>
              <c:pt idx="1920">
                <c:v>9.377880217567379</c:v>
              </c:pt>
              <c:pt idx="1921">
                <c:v>0</c:v>
              </c:pt>
              <c:pt idx="1924">
                <c:v>0</c:v>
              </c:pt>
              <c:pt idx="1925">
                <c:v>7.978196603005084</c:v>
              </c:pt>
              <c:pt idx="1926">
                <c:v>7.978196603005084</c:v>
              </c:pt>
              <c:pt idx="1927">
                <c:v>0</c:v>
              </c:pt>
              <c:pt idx="1928">
                <c:v>0</c:v>
              </c:pt>
              <c:pt idx="1929">
                <c:v>7.978196603005084</c:v>
              </c:pt>
              <c:pt idx="1930">
                <c:v>7.978196603005084</c:v>
              </c:pt>
              <c:pt idx="1931">
                <c:v>0</c:v>
              </c:pt>
              <c:pt idx="1932">
                <c:v>0</c:v>
              </c:pt>
              <c:pt idx="1933">
                <c:v>7.978196603005084</c:v>
              </c:pt>
              <c:pt idx="1934">
                <c:v>7.978196603005084</c:v>
              </c:pt>
              <c:pt idx="1935">
                <c:v>0</c:v>
              </c:pt>
              <c:pt idx="1936">
                <c:v>0</c:v>
              </c:pt>
              <c:pt idx="1937">
                <c:v>7.978196603005084</c:v>
              </c:pt>
              <c:pt idx="1938">
                <c:v>7.978196603005084</c:v>
              </c:pt>
              <c:pt idx="1939">
                <c:v>0</c:v>
              </c:pt>
              <c:pt idx="1940">
                <c:v>0</c:v>
              </c:pt>
              <c:pt idx="1941">
                <c:v>7.978196603005084</c:v>
              </c:pt>
              <c:pt idx="1942">
                <c:v>7.978196603005084</c:v>
              </c:pt>
              <c:pt idx="1943">
                <c:v>0</c:v>
              </c:pt>
              <c:pt idx="1944">
                <c:v>0</c:v>
              </c:pt>
              <c:pt idx="1945">
                <c:v>7.978196603005084</c:v>
              </c:pt>
              <c:pt idx="1946">
                <c:v>7.978196603005084</c:v>
              </c:pt>
              <c:pt idx="1947">
                <c:v>0</c:v>
              </c:pt>
              <c:pt idx="1948">
                <c:v>0</c:v>
              </c:pt>
              <c:pt idx="1949">
                <c:v>7.978196603005084</c:v>
              </c:pt>
              <c:pt idx="1950">
                <c:v>7.978196603005084</c:v>
              </c:pt>
              <c:pt idx="1951">
                <c:v>0</c:v>
              </c:pt>
              <c:pt idx="1952">
                <c:v>0</c:v>
              </c:pt>
              <c:pt idx="1953">
                <c:v>7.978196603005084</c:v>
              </c:pt>
              <c:pt idx="1954">
                <c:v>7.978196603005084</c:v>
              </c:pt>
              <c:pt idx="1955">
                <c:v>0</c:v>
              </c:pt>
              <c:pt idx="1956">
                <c:v>0</c:v>
              </c:pt>
              <c:pt idx="1957">
                <c:v>7.978196603005084</c:v>
              </c:pt>
              <c:pt idx="1958">
                <c:v>7.978196603005084</c:v>
              </c:pt>
              <c:pt idx="1959">
                <c:v>0</c:v>
              </c:pt>
              <c:pt idx="1960">
                <c:v>0</c:v>
              </c:pt>
              <c:pt idx="1961">
                <c:v>7.978196603005084</c:v>
              </c:pt>
              <c:pt idx="1962">
                <c:v>7.978196603005084</c:v>
              </c:pt>
              <c:pt idx="1963">
                <c:v>0</c:v>
              </c:pt>
              <c:pt idx="1964">
                <c:v>0</c:v>
              </c:pt>
              <c:pt idx="1965">
                <c:v>7.978196603005084</c:v>
              </c:pt>
              <c:pt idx="1966">
                <c:v>7.978196603005084</c:v>
              </c:pt>
              <c:pt idx="1967">
                <c:v>0</c:v>
              </c:pt>
              <c:pt idx="1968">
                <c:v>0</c:v>
              </c:pt>
              <c:pt idx="1969">
                <c:v>7.978196603005084</c:v>
              </c:pt>
              <c:pt idx="1970">
                <c:v>7.978196603005084</c:v>
              </c:pt>
              <c:pt idx="1971">
                <c:v>0</c:v>
              </c:pt>
              <c:pt idx="1972">
                <c:v>0</c:v>
              </c:pt>
              <c:pt idx="1973">
                <c:v>7.978196603005084</c:v>
              </c:pt>
              <c:pt idx="1974">
                <c:v>7.978196603005084</c:v>
              </c:pt>
              <c:pt idx="1975">
                <c:v>0</c:v>
              </c:pt>
              <c:pt idx="1976">
                <c:v>0</c:v>
              </c:pt>
              <c:pt idx="1977">
                <c:v>7.978196603005084</c:v>
              </c:pt>
              <c:pt idx="1978">
                <c:v>7.978196603005084</c:v>
              </c:pt>
              <c:pt idx="1979">
                <c:v>0</c:v>
              </c:pt>
              <c:pt idx="1980">
                <c:v>0</c:v>
              </c:pt>
              <c:pt idx="1981">
                <c:v>7.978196603005084</c:v>
              </c:pt>
              <c:pt idx="1982">
                <c:v>7.978196603005084</c:v>
              </c:pt>
              <c:pt idx="1983">
                <c:v>0</c:v>
              </c:pt>
              <c:pt idx="1984">
                <c:v>0</c:v>
              </c:pt>
              <c:pt idx="1985">
                <c:v>7.978196603005084</c:v>
              </c:pt>
              <c:pt idx="1986">
                <c:v>7.978196603005084</c:v>
              </c:pt>
              <c:pt idx="1987">
                <c:v>0</c:v>
              </c:pt>
              <c:pt idx="1988">
                <c:v>0</c:v>
              </c:pt>
              <c:pt idx="1989">
                <c:v>7.978196603005084</c:v>
              </c:pt>
              <c:pt idx="1990">
                <c:v>7.978196603005084</c:v>
              </c:pt>
              <c:pt idx="1991">
                <c:v>0</c:v>
              </c:pt>
              <c:pt idx="1992">
                <c:v>0</c:v>
              </c:pt>
              <c:pt idx="1993">
                <c:v>7.978196603005084</c:v>
              </c:pt>
              <c:pt idx="1994">
                <c:v>7.978196603005084</c:v>
              </c:pt>
              <c:pt idx="1995">
                <c:v>0</c:v>
              </c:pt>
              <c:pt idx="1996">
                <c:v>0</c:v>
              </c:pt>
              <c:pt idx="1997">
                <c:v>7.978196603005084</c:v>
              </c:pt>
              <c:pt idx="1998">
                <c:v>7.978196603005084</c:v>
              </c:pt>
              <c:pt idx="1999">
                <c:v>0</c:v>
              </c:pt>
              <c:pt idx="2000">
                <c:v>0</c:v>
              </c:pt>
              <c:pt idx="2001">
                <c:v>7.978196603005084</c:v>
              </c:pt>
              <c:pt idx="2002">
                <c:v>7.978196603005084</c:v>
              </c:pt>
              <c:pt idx="2003">
                <c:v>0</c:v>
              </c:pt>
              <c:pt idx="2004">
                <c:v>0</c:v>
              </c:pt>
              <c:pt idx="2005">
                <c:v>7.978196603005084</c:v>
              </c:pt>
              <c:pt idx="2006">
                <c:v>7.978196603005084</c:v>
              </c:pt>
              <c:pt idx="2007">
                <c:v>0</c:v>
              </c:pt>
              <c:pt idx="2008">
                <c:v>0</c:v>
              </c:pt>
              <c:pt idx="2009">
                <c:v>7.978196603005084</c:v>
              </c:pt>
              <c:pt idx="2010">
                <c:v>7.978196603005084</c:v>
              </c:pt>
              <c:pt idx="2011">
                <c:v>0</c:v>
              </c:pt>
              <c:pt idx="2012">
                <c:v>0</c:v>
              </c:pt>
              <c:pt idx="2013">
                <c:v>7.978196603005084</c:v>
              </c:pt>
              <c:pt idx="2014">
                <c:v>7.978196603005084</c:v>
              </c:pt>
              <c:pt idx="2015">
                <c:v>0</c:v>
              </c:pt>
              <c:pt idx="2016">
                <c:v>0</c:v>
              </c:pt>
              <c:pt idx="2017">
                <c:v>7.978196603005084</c:v>
              </c:pt>
              <c:pt idx="2018">
                <c:v>7.978196603005084</c:v>
              </c:pt>
              <c:pt idx="2019">
                <c:v>0</c:v>
              </c:pt>
              <c:pt idx="2020">
                <c:v>0</c:v>
              </c:pt>
              <c:pt idx="2021">
                <c:v>7.978196603005084</c:v>
              </c:pt>
              <c:pt idx="2022">
                <c:v>7.978196603005084</c:v>
              </c:pt>
              <c:pt idx="2023">
                <c:v>0</c:v>
              </c:pt>
              <c:pt idx="2024">
                <c:v>0</c:v>
              </c:pt>
              <c:pt idx="2025">
                <c:v>7.978196603005084</c:v>
              </c:pt>
              <c:pt idx="2026">
                <c:v>7.978196603005084</c:v>
              </c:pt>
              <c:pt idx="2027">
                <c:v>0</c:v>
              </c:pt>
              <c:pt idx="2028">
                <c:v>0</c:v>
              </c:pt>
              <c:pt idx="2029">
                <c:v>7.978196603005084</c:v>
              </c:pt>
              <c:pt idx="2030">
                <c:v>7.978196603005084</c:v>
              </c:pt>
              <c:pt idx="2031">
                <c:v>0</c:v>
              </c:pt>
              <c:pt idx="2032">
                <c:v>0</c:v>
              </c:pt>
              <c:pt idx="2033">
                <c:v>7.978196603005084</c:v>
              </c:pt>
              <c:pt idx="2034">
                <c:v>7.978196603005084</c:v>
              </c:pt>
              <c:pt idx="2035">
                <c:v>0</c:v>
              </c:pt>
              <c:pt idx="2036">
                <c:v>0</c:v>
              </c:pt>
              <c:pt idx="2037">
                <c:v>7.978196603005084</c:v>
              </c:pt>
              <c:pt idx="2038">
                <c:v>7.978196603005084</c:v>
              </c:pt>
              <c:pt idx="2039">
                <c:v>0</c:v>
              </c:pt>
              <c:pt idx="2040">
                <c:v>0</c:v>
              </c:pt>
              <c:pt idx="2041">
                <c:v>7.978196603005084</c:v>
              </c:pt>
              <c:pt idx="2042">
                <c:v>7.978196603005084</c:v>
              </c:pt>
              <c:pt idx="2043">
                <c:v>0</c:v>
              </c:pt>
              <c:pt idx="2044">
                <c:v>0</c:v>
              </c:pt>
              <c:pt idx="2045">
                <c:v>7.978196603005084</c:v>
              </c:pt>
              <c:pt idx="2046">
                <c:v>7.978196603005084</c:v>
              </c:pt>
              <c:pt idx="2047">
                <c:v>0</c:v>
              </c:pt>
              <c:pt idx="2048">
                <c:v>0</c:v>
              </c:pt>
              <c:pt idx="2049">
                <c:v>7.978196603005084</c:v>
              </c:pt>
              <c:pt idx="2050">
                <c:v>7.978196603005084</c:v>
              </c:pt>
              <c:pt idx="2051">
                <c:v>0</c:v>
              </c:pt>
              <c:pt idx="2052">
                <c:v>0</c:v>
              </c:pt>
              <c:pt idx="2053">
                <c:v>7.978196603005084</c:v>
              </c:pt>
              <c:pt idx="2054">
                <c:v>7.978196603005084</c:v>
              </c:pt>
              <c:pt idx="2055">
                <c:v>0</c:v>
              </c:pt>
              <c:pt idx="2056">
                <c:v>0</c:v>
              </c:pt>
              <c:pt idx="2057">
                <c:v>7.978196603005084</c:v>
              </c:pt>
              <c:pt idx="2058">
                <c:v>7.978196603005084</c:v>
              </c:pt>
              <c:pt idx="2059">
                <c:v>0</c:v>
              </c:pt>
              <c:pt idx="2060">
                <c:v>0</c:v>
              </c:pt>
              <c:pt idx="2061">
                <c:v>7.978196603005084</c:v>
              </c:pt>
              <c:pt idx="2062">
                <c:v>7.978196603005084</c:v>
              </c:pt>
              <c:pt idx="2063">
                <c:v>0</c:v>
              </c:pt>
              <c:pt idx="2064">
                <c:v>0</c:v>
              </c:pt>
              <c:pt idx="2065">
                <c:v>7.978196603005084</c:v>
              </c:pt>
              <c:pt idx="2066">
                <c:v>7.978196603005084</c:v>
              </c:pt>
              <c:pt idx="2067">
                <c:v>0</c:v>
              </c:pt>
              <c:pt idx="2068">
                <c:v>7.978196603005084</c:v>
              </c:pt>
              <c:pt idx="2069">
                <c:v>0</c:v>
              </c:pt>
              <c:pt idx="2072">
                <c:v>0</c:v>
              </c:pt>
              <c:pt idx="2073">
                <c:v>6.141111858892071</c:v>
              </c:pt>
              <c:pt idx="2074">
                <c:v>6.141111858892071</c:v>
              </c:pt>
              <c:pt idx="2075">
                <c:v>0</c:v>
              </c:pt>
              <c:pt idx="2076">
                <c:v>0</c:v>
              </c:pt>
              <c:pt idx="2077">
                <c:v>6.141111858892071</c:v>
              </c:pt>
              <c:pt idx="2078">
                <c:v>6.141111858892071</c:v>
              </c:pt>
              <c:pt idx="2079">
                <c:v>0</c:v>
              </c:pt>
              <c:pt idx="2080">
                <c:v>0</c:v>
              </c:pt>
              <c:pt idx="2081">
                <c:v>6.141111858892071</c:v>
              </c:pt>
              <c:pt idx="2082">
                <c:v>6.141111858892071</c:v>
              </c:pt>
              <c:pt idx="2083">
                <c:v>0</c:v>
              </c:pt>
              <c:pt idx="2084">
                <c:v>0</c:v>
              </c:pt>
              <c:pt idx="2085">
                <c:v>6.141111858892071</c:v>
              </c:pt>
              <c:pt idx="2086">
                <c:v>6.141111858892071</c:v>
              </c:pt>
              <c:pt idx="2087">
                <c:v>0</c:v>
              </c:pt>
              <c:pt idx="2088">
                <c:v>0</c:v>
              </c:pt>
              <c:pt idx="2089">
                <c:v>6.141111858892071</c:v>
              </c:pt>
              <c:pt idx="2090">
                <c:v>6.141111858892071</c:v>
              </c:pt>
              <c:pt idx="2091">
                <c:v>0</c:v>
              </c:pt>
              <c:pt idx="2092">
                <c:v>0</c:v>
              </c:pt>
              <c:pt idx="2093">
                <c:v>6.141111858892071</c:v>
              </c:pt>
              <c:pt idx="2094">
                <c:v>6.141111858892071</c:v>
              </c:pt>
              <c:pt idx="2095">
                <c:v>0</c:v>
              </c:pt>
              <c:pt idx="2096">
                <c:v>0</c:v>
              </c:pt>
              <c:pt idx="2097">
                <c:v>6.141111858892071</c:v>
              </c:pt>
              <c:pt idx="2098">
                <c:v>6.141111858892071</c:v>
              </c:pt>
              <c:pt idx="2099">
                <c:v>0</c:v>
              </c:pt>
              <c:pt idx="2100">
                <c:v>0</c:v>
              </c:pt>
              <c:pt idx="2101">
                <c:v>6.141111858892071</c:v>
              </c:pt>
              <c:pt idx="2102">
                <c:v>6.141111858892071</c:v>
              </c:pt>
              <c:pt idx="2103">
                <c:v>0</c:v>
              </c:pt>
              <c:pt idx="2104">
                <c:v>0</c:v>
              </c:pt>
              <c:pt idx="2105">
                <c:v>6.141111858892071</c:v>
              </c:pt>
              <c:pt idx="2106">
                <c:v>6.141111858892071</c:v>
              </c:pt>
              <c:pt idx="2107">
                <c:v>0</c:v>
              </c:pt>
              <c:pt idx="2108">
                <c:v>0</c:v>
              </c:pt>
              <c:pt idx="2109">
                <c:v>6.141111858892071</c:v>
              </c:pt>
              <c:pt idx="2110">
                <c:v>6.141111858892071</c:v>
              </c:pt>
              <c:pt idx="2111">
                <c:v>0</c:v>
              </c:pt>
              <c:pt idx="2112">
                <c:v>0</c:v>
              </c:pt>
              <c:pt idx="2113">
                <c:v>6.141111858892071</c:v>
              </c:pt>
              <c:pt idx="2114">
                <c:v>6.141111858892071</c:v>
              </c:pt>
              <c:pt idx="2115">
                <c:v>0</c:v>
              </c:pt>
              <c:pt idx="2116">
                <c:v>0</c:v>
              </c:pt>
              <c:pt idx="2117">
                <c:v>6.141111858892071</c:v>
              </c:pt>
              <c:pt idx="2118">
                <c:v>6.141111858892071</c:v>
              </c:pt>
              <c:pt idx="2119">
                <c:v>0</c:v>
              </c:pt>
              <c:pt idx="2120">
                <c:v>0</c:v>
              </c:pt>
              <c:pt idx="2121">
                <c:v>6.141111858892071</c:v>
              </c:pt>
              <c:pt idx="2122">
                <c:v>6.141111858892071</c:v>
              </c:pt>
              <c:pt idx="2123">
                <c:v>0</c:v>
              </c:pt>
              <c:pt idx="2124">
                <c:v>0</c:v>
              </c:pt>
              <c:pt idx="2125">
                <c:v>6.141111858892071</c:v>
              </c:pt>
              <c:pt idx="2126">
                <c:v>6.141111858892071</c:v>
              </c:pt>
              <c:pt idx="2127">
                <c:v>0</c:v>
              </c:pt>
              <c:pt idx="2128">
                <c:v>0</c:v>
              </c:pt>
              <c:pt idx="2129">
                <c:v>6.141111858892071</c:v>
              </c:pt>
              <c:pt idx="2130">
                <c:v>6.141111858892071</c:v>
              </c:pt>
              <c:pt idx="2131">
                <c:v>0</c:v>
              </c:pt>
              <c:pt idx="2132">
                <c:v>0</c:v>
              </c:pt>
              <c:pt idx="2133">
                <c:v>6.141111858892071</c:v>
              </c:pt>
              <c:pt idx="2134">
                <c:v>6.141111858892071</c:v>
              </c:pt>
              <c:pt idx="2135">
                <c:v>0</c:v>
              </c:pt>
              <c:pt idx="2136">
                <c:v>0</c:v>
              </c:pt>
              <c:pt idx="2137">
                <c:v>6.141111858892071</c:v>
              </c:pt>
              <c:pt idx="2138">
                <c:v>6.141111858892071</c:v>
              </c:pt>
              <c:pt idx="2139">
                <c:v>0</c:v>
              </c:pt>
              <c:pt idx="2140">
                <c:v>0</c:v>
              </c:pt>
              <c:pt idx="2141">
                <c:v>6.141111858892071</c:v>
              </c:pt>
              <c:pt idx="2142">
                <c:v>6.141111858892071</c:v>
              </c:pt>
              <c:pt idx="2143">
                <c:v>0</c:v>
              </c:pt>
              <c:pt idx="2144">
                <c:v>0</c:v>
              </c:pt>
              <c:pt idx="2145">
                <c:v>6.141111858892071</c:v>
              </c:pt>
              <c:pt idx="2146">
                <c:v>6.141111858892071</c:v>
              </c:pt>
              <c:pt idx="2147">
                <c:v>0</c:v>
              </c:pt>
              <c:pt idx="2148">
                <c:v>0</c:v>
              </c:pt>
              <c:pt idx="2149">
                <c:v>6.141111858892071</c:v>
              </c:pt>
              <c:pt idx="2150">
                <c:v>6.141111858892071</c:v>
              </c:pt>
              <c:pt idx="2151">
                <c:v>0</c:v>
              </c:pt>
              <c:pt idx="2152">
                <c:v>0</c:v>
              </c:pt>
              <c:pt idx="2153">
                <c:v>6.141111858892071</c:v>
              </c:pt>
              <c:pt idx="2154">
                <c:v>6.141111858892071</c:v>
              </c:pt>
              <c:pt idx="2155">
                <c:v>0</c:v>
              </c:pt>
              <c:pt idx="2156">
                <c:v>0</c:v>
              </c:pt>
              <c:pt idx="2157">
                <c:v>6.141111858892071</c:v>
              </c:pt>
              <c:pt idx="2158">
                <c:v>6.141111858892071</c:v>
              </c:pt>
              <c:pt idx="2159">
                <c:v>0</c:v>
              </c:pt>
              <c:pt idx="2160">
                <c:v>0</c:v>
              </c:pt>
              <c:pt idx="2161">
                <c:v>6.141111858892071</c:v>
              </c:pt>
              <c:pt idx="2162">
                <c:v>6.141111858892071</c:v>
              </c:pt>
              <c:pt idx="2163">
                <c:v>0</c:v>
              </c:pt>
              <c:pt idx="2164">
                <c:v>0</c:v>
              </c:pt>
              <c:pt idx="2165">
                <c:v>6.141111858892071</c:v>
              </c:pt>
              <c:pt idx="2166">
                <c:v>6.141111858892071</c:v>
              </c:pt>
              <c:pt idx="2167">
                <c:v>0</c:v>
              </c:pt>
              <c:pt idx="2168">
                <c:v>0</c:v>
              </c:pt>
              <c:pt idx="2169">
                <c:v>6.141111858892071</c:v>
              </c:pt>
              <c:pt idx="2170">
                <c:v>6.141111858892071</c:v>
              </c:pt>
              <c:pt idx="2171">
                <c:v>0</c:v>
              </c:pt>
              <c:pt idx="2172">
                <c:v>0</c:v>
              </c:pt>
              <c:pt idx="2173">
                <c:v>6.141111858892071</c:v>
              </c:pt>
              <c:pt idx="2174">
                <c:v>6.141111858892071</c:v>
              </c:pt>
              <c:pt idx="2175">
                <c:v>0</c:v>
              </c:pt>
              <c:pt idx="2176">
                <c:v>0</c:v>
              </c:pt>
              <c:pt idx="2177">
                <c:v>6.141111858892071</c:v>
              </c:pt>
              <c:pt idx="2178">
                <c:v>6.141111858892071</c:v>
              </c:pt>
              <c:pt idx="2179">
                <c:v>0</c:v>
              </c:pt>
              <c:pt idx="2180">
                <c:v>0</c:v>
              </c:pt>
              <c:pt idx="2181">
                <c:v>6.141111858892071</c:v>
              </c:pt>
              <c:pt idx="2182">
                <c:v>6.141111858892071</c:v>
              </c:pt>
              <c:pt idx="2183">
                <c:v>0</c:v>
              </c:pt>
              <c:pt idx="2184">
                <c:v>0</c:v>
              </c:pt>
              <c:pt idx="2185">
                <c:v>6.141111858892071</c:v>
              </c:pt>
              <c:pt idx="2186">
                <c:v>6.141111858892071</c:v>
              </c:pt>
              <c:pt idx="2187">
                <c:v>0</c:v>
              </c:pt>
              <c:pt idx="2188">
                <c:v>0</c:v>
              </c:pt>
              <c:pt idx="2189">
                <c:v>6.141111858892071</c:v>
              </c:pt>
              <c:pt idx="2190">
                <c:v>6.141111858892071</c:v>
              </c:pt>
              <c:pt idx="2191">
                <c:v>0</c:v>
              </c:pt>
              <c:pt idx="2192">
                <c:v>0</c:v>
              </c:pt>
              <c:pt idx="2193">
                <c:v>6.141111858892071</c:v>
              </c:pt>
              <c:pt idx="2194">
                <c:v>6.141111858892071</c:v>
              </c:pt>
              <c:pt idx="2195">
                <c:v>0</c:v>
              </c:pt>
              <c:pt idx="2196">
                <c:v>0</c:v>
              </c:pt>
              <c:pt idx="2197">
                <c:v>6.141111858892071</c:v>
              </c:pt>
              <c:pt idx="2198">
                <c:v>6.141111858892071</c:v>
              </c:pt>
              <c:pt idx="2199">
                <c:v>0</c:v>
              </c:pt>
              <c:pt idx="2200">
                <c:v>0</c:v>
              </c:pt>
              <c:pt idx="2201">
                <c:v>6.141111858892071</c:v>
              </c:pt>
              <c:pt idx="2202">
                <c:v>6.141111858892071</c:v>
              </c:pt>
              <c:pt idx="2203">
                <c:v>0</c:v>
              </c:pt>
              <c:pt idx="2204">
                <c:v>0</c:v>
              </c:pt>
              <c:pt idx="2205">
                <c:v>6.141111858892071</c:v>
              </c:pt>
              <c:pt idx="2206">
                <c:v>6.141111858892071</c:v>
              </c:pt>
              <c:pt idx="2207">
                <c:v>0</c:v>
              </c:pt>
              <c:pt idx="2208">
                <c:v>0</c:v>
              </c:pt>
              <c:pt idx="2209">
                <c:v>6.141111858892071</c:v>
              </c:pt>
              <c:pt idx="2210">
                <c:v>6.141111858892071</c:v>
              </c:pt>
              <c:pt idx="2211">
                <c:v>0</c:v>
              </c:pt>
              <c:pt idx="2212">
                <c:v>0</c:v>
              </c:pt>
              <c:pt idx="2213">
                <c:v>6.141111858892071</c:v>
              </c:pt>
              <c:pt idx="2214">
                <c:v>6.141111858892071</c:v>
              </c:pt>
              <c:pt idx="2215">
                <c:v>0</c:v>
              </c:pt>
              <c:pt idx="2216">
                <c:v>6.141111858892071</c:v>
              </c:pt>
              <c:pt idx="2217">
                <c:v>0</c:v>
              </c:pt>
              <c:pt idx="2220">
                <c:v>0</c:v>
              </c:pt>
              <c:pt idx="2221">
                <c:v>4.076578527412686</c:v>
              </c:pt>
              <c:pt idx="2222">
                <c:v>4.076578527412686</c:v>
              </c:pt>
              <c:pt idx="2223">
                <c:v>0</c:v>
              </c:pt>
              <c:pt idx="2224">
                <c:v>0</c:v>
              </c:pt>
              <c:pt idx="2225">
                <c:v>4.076578527412686</c:v>
              </c:pt>
              <c:pt idx="2226">
                <c:v>4.076578527412686</c:v>
              </c:pt>
              <c:pt idx="2227">
                <c:v>0</c:v>
              </c:pt>
              <c:pt idx="2228">
                <c:v>0</c:v>
              </c:pt>
              <c:pt idx="2229">
                <c:v>4.076578527412686</c:v>
              </c:pt>
              <c:pt idx="2230">
                <c:v>4.076578527412686</c:v>
              </c:pt>
              <c:pt idx="2231">
                <c:v>0</c:v>
              </c:pt>
              <c:pt idx="2232">
                <c:v>0</c:v>
              </c:pt>
              <c:pt idx="2233">
                <c:v>4.076578527412686</c:v>
              </c:pt>
              <c:pt idx="2234">
                <c:v>4.076578527412686</c:v>
              </c:pt>
              <c:pt idx="2235">
                <c:v>0</c:v>
              </c:pt>
              <c:pt idx="2236">
                <c:v>0</c:v>
              </c:pt>
              <c:pt idx="2237">
                <c:v>4.076578527412686</c:v>
              </c:pt>
              <c:pt idx="2238">
                <c:v>4.076578527412686</c:v>
              </c:pt>
              <c:pt idx="2239">
                <c:v>0</c:v>
              </c:pt>
              <c:pt idx="2240">
                <c:v>0</c:v>
              </c:pt>
              <c:pt idx="2241">
                <c:v>4.076578527412686</c:v>
              </c:pt>
              <c:pt idx="2242">
                <c:v>4.076578527412686</c:v>
              </c:pt>
              <c:pt idx="2243">
                <c:v>0</c:v>
              </c:pt>
              <c:pt idx="2244">
                <c:v>0</c:v>
              </c:pt>
              <c:pt idx="2245">
                <c:v>4.076578527412686</c:v>
              </c:pt>
              <c:pt idx="2246">
                <c:v>4.076578527412686</c:v>
              </c:pt>
              <c:pt idx="2247">
                <c:v>0</c:v>
              </c:pt>
              <c:pt idx="2248">
                <c:v>0</c:v>
              </c:pt>
              <c:pt idx="2249">
                <c:v>4.076578527412686</c:v>
              </c:pt>
              <c:pt idx="2250">
                <c:v>4.076578527412686</c:v>
              </c:pt>
              <c:pt idx="2251">
                <c:v>0</c:v>
              </c:pt>
              <c:pt idx="2252">
                <c:v>0</c:v>
              </c:pt>
              <c:pt idx="2253">
                <c:v>4.076578527412686</c:v>
              </c:pt>
              <c:pt idx="2254">
                <c:v>4.076578527412686</c:v>
              </c:pt>
              <c:pt idx="2255">
                <c:v>0</c:v>
              </c:pt>
              <c:pt idx="2256">
                <c:v>0</c:v>
              </c:pt>
              <c:pt idx="2257">
                <c:v>4.076578527412686</c:v>
              </c:pt>
              <c:pt idx="2258">
                <c:v>4.076578527412686</c:v>
              </c:pt>
              <c:pt idx="2259">
                <c:v>0</c:v>
              </c:pt>
              <c:pt idx="2260">
                <c:v>0</c:v>
              </c:pt>
              <c:pt idx="2261">
                <c:v>4.076578527412686</c:v>
              </c:pt>
              <c:pt idx="2262">
                <c:v>4.076578527412686</c:v>
              </c:pt>
              <c:pt idx="2263">
                <c:v>0</c:v>
              </c:pt>
              <c:pt idx="2264">
                <c:v>0</c:v>
              </c:pt>
              <c:pt idx="2265">
                <c:v>4.076578527412686</c:v>
              </c:pt>
              <c:pt idx="2266">
                <c:v>4.076578527412686</c:v>
              </c:pt>
              <c:pt idx="2267">
                <c:v>0</c:v>
              </c:pt>
              <c:pt idx="2268">
                <c:v>0</c:v>
              </c:pt>
              <c:pt idx="2269">
                <c:v>4.076578527412686</c:v>
              </c:pt>
              <c:pt idx="2270">
                <c:v>4.076578527412686</c:v>
              </c:pt>
              <c:pt idx="2271">
                <c:v>0</c:v>
              </c:pt>
              <c:pt idx="2272">
                <c:v>0</c:v>
              </c:pt>
              <c:pt idx="2273">
                <c:v>4.076578527412686</c:v>
              </c:pt>
              <c:pt idx="2274">
                <c:v>4.076578527412686</c:v>
              </c:pt>
              <c:pt idx="2275">
                <c:v>0</c:v>
              </c:pt>
              <c:pt idx="2276">
                <c:v>0</c:v>
              </c:pt>
              <c:pt idx="2277">
                <c:v>4.076578527412686</c:v>
              </c:pt>
              <c:pt idx="2278">
                <c:v>4.076578527412686</c:v>
              </c:pt>
              <c:pt idx="2279">
                <c:v>0</c:v>
              </c:pt>
              <c:pt idx="2280">
                <c:v>0</c:v>
              </c:pt>
              <c:pt idx="2281">
                <c:v>4.076578527412686</c:v>
              </c:pt>
              <c:pt idx="2282">
                <c:v>4.076578527412686</c:v>
              </c:pt>
              <c:pt idx="2283">
                <c:v>0</c:v>
              </c:pt>
              <c:pt idx="2284">
                <c:v>0</c:v>
              </c:pt>
              <c:pt idx="2285">
                <c:v>4.076578527412686</c:v>
              </c:pt>
              <c:pt idx="2286">
                <c:v>4.076578527412686</c:v>
              </c:pt>
              <c:pt idx="2287">
                <c:v>0</c:v>
              </c:pt>
              <c:pt idx="2288">
                <c:v>0</c:v>
              </c:pt>
              <c:pt idx="2289">
                <c:v>4.076578527412686</c:v>
              </c:pt>
              <c:pt idx="2290">
                <c:v>4.076578527412686</c:v>
              </c:pt>
              <c:pt idx="2291">
                <c:v>0</c:v>
              </c:pt>
              <c:pt idx="2292">
                <c:v>0</c:v>
              </c:pt>
              <c:pt idx="2293">
                <c:v>4.076578527412686</c:v>
              </c:pt>
              <c:pt idx="2294">
                <c:v>4.076578527412686</c:v>
              </c:pt>
              <c:pt idx="2295">
                <c:v>0</c:v>
              </c:pt>
              <c:pt idx="2296">
                <c:v>0</c:v>
              </c:pt>
              <c:pt idx="2297">
                <c:v>4.076578527412686</c:v>
              </c:pt>
              <c:pt idx="2298">
                <c:v>4.076578527412686</c:v>
              </c:pt>
              <c:pt idx="2299">
                <c:v>0</c:v>
              </c:pt>
              <c:pt idx="2300">
                <c:v>0</c:v>
              </c:pt>
              <c:pt idx="2301">
                <c:v>4.076578527412686</c:v>
              </c:pt>
              <c:pt idx="2302">
                <c:v>4.076578527412686</c:v>
              </c:pt>
              <c:pt idx="2303">
                <c:v>0</c:v>
              </c:pt>
              <c:pt idx="2304">
                <c:v>0</c:v>
              </c:pt>
              <c:pt idx="2305">
                <c:v>4.076578527412686</c:v>
              </c:pt>
              <c:pt idx="2306">
                <c:v>4.076578527412686</c:v>
              </c:pt>
              <c:pt idx="2307">
                <c:v>0</c:v>
              </c:pt>
              <c:pt idx="2308">
                <c:v>0</c:v>
              </c:pt>
              <c:pt idx="2309">
                <c:v>4.076578527412686</c:v>
              </c:pt>
              <c:pt idx="2310">
                <c:v>4.076578527412686</c:v>
              </c:pt>
              <c:pt idx="2311">
                <c:v>0</c:v>
              </c:pt>
              <c:pt idx="2312">
                <c:v>0</c:v>
              </c:pt>
              <c:pt idx="2313">
                <c:v>4.076578527412686</c:v>
              </c:pt>
              <c:pt idx="2314">
                <c:v>4.076578527412686</c:v>
              </c:pt>
              <c:pt idx="2315">
                <c:v>0</c:v>
              </c:pt>
              <c:pt idx="2316">
                <c:v>0</c:v>
              </c:pt>
              <c:pt idx="2317">
                <c:v>4.076578527412686</c:v>
              </c:pt>
              <c:pt idx="2318">
                <c:v>4.076578527412686</c:v>
              </c:pt>
              <c:pt idx="2319">
                <c:v>0</c:v>
              </c:pt>
              <c:pt idx="2320">
                <c:v>0</c:v>
              </c:pt>
              <c:pt idx="2321">
                <c:v>4.076578527412686</c:v>
              </c:pt>
              <c:pt idx="2322">
                <c:v>4.076578527412686</c:v>
              </c:pt>
              <c:pt idx="2323">
                <c:v>0</c:v>
              </c:pt>
              <c:pt idx="2324">
                <c:v>0</c:v>
              </c:pt>
              <c:pt idx="2325">
                <c:v>4.076578527412686</c:v>
              </c:pt>
              <c:pt idx="2326">
                <c:v>4.076578527412686</c:v>
              </c:pt>
              <c:pt idx="2327">
                <c:v>0</c:v>
              </c:pt>
              <c:pt idx="2328">
                <c:v>0</c:v>
              </c:pt>
              <c:pt idx="2329">
                <c:v>4.076578527412686</c:v>
              </c:pt>
              <c:pt idx="2330">
                <c:v>4.076578527412686</c:v>
              </c:pt>
              <c:pt idx="2331">
                <c:v>0</c:v>
              </c:pt>
              <c:pt idx="2332">
                <c:v>0</c:v>
              </c:pt>
              <c:pt idx="2333">
                <c:v>4.076578527412686</c:v>
              </c:pt>
              <c:pt idx="2334">
                <c:v>4.076578527412686</c:v>
              </c:pt>
              <c:pt idx="2335">
                <c:v>0</c:v>
              </c:pt>
              <c:pt idx="2336">
                <c:v>0</c:v>
              </c:pt>
              <c:pt idx="2337">
                <c:v>4.076578527412686</c:v>
              </c:pt>
              <c:pt idx="2338">
                <c:v>4.076578527412686</c:v>
              </c:pt>
              <c:pt idx="2339">
                <c:v>0</c:v>
              </c:pt>
              <c:pt idx="2340">
                <c:v>0</c:v>
              </c:pt>
              <c:pt idx="2341">
                <c:v>4.076578527412686</c:v>
              </c:pt>
              <c:pt idx="2342">
                <c:v>4.076578527412686</c:v>
              </c:pt>
              <c:pt idx="2343">
                <c:v>0</c:v>
              </c:pt>
              <c:pt idx="2344">
                <c:v>0</c:v>
              </c:pt>
              <c:pt idx="2345">
                <c:v>4.076578527412686</c:v>
              </c:pt>
              <c:pt idx="2346">
                <c:v>4.076578527412686</c:v>
              </c:pt>
              <c:pt idx="2347">
                <c:v>0</c:v>
              </c:pt>
              <c:pt idx="2348">
                <c:v>0</c:v>
              </c:pt>
              <c:pt idx="2349">
                <c:v>4.076578527412686</c:v>
              </c:pt>
              <c:pt idx="2350">
                <c:v>4.076578527412686</c:v>
              </c:pt>
              <c:pt idx="2351">
                <c:v>0</c:v>
              </c:pt>
              <c:pt idx="2352">
                <c:v>0</c:v>
              </c:pt>
              <c:pt idx="2353">
                <c:v>4.076578527412686</c:v>
              </c:pt>
              <c:pt idx="2354">
                <c:v>4.076578527412686</c:v>
              </c:pt>
              <c:pt idx="2355">
                <c:v>0</c:v>
              </c:pt>
              <c:pt idx="2356">
                <c:v>0</c:v>
              </c:pt>
              <c:pt idx="2357">
                <c:v>4.076578527412686</c:v>
              </c:pt>
              <c:pt idx="2358">
                <c:v>4.076578527412686</c:v>
              </c:pt>
              <c:pt idx="2359">
                <c:v>0</c:v>
              </c:pt>
              <c:pt idx="2360">
                <c:v>0</c:v>
              </c:pt>
              <c:pt idx="2361">
                <c:v>4.076578527412686</c:v>
              </c:pt>
              <c:pt idx="2362">
                <c:v>4.076578527412686</c:v>
              </c:pt>
              <c:pt idx="2363">
                <c:v>0</c:v>
              </c:pt>
              <c:pt idx="2364">
                <c:v>4.076578527412686</c:v>
              </c:pt>
              <c:pt idx="2365">
                <c:v>0</c:v>
              </c:pt>
              <c:pt idx="2368">
                <c:v>0</c:v>
              </c:pt>
              <c:pt idx="2369">
                <c:v>2.834359319488648</c:v>
              </c:pt>
              <c:pt idx="2370">
                <c:v>2.834359319488648</c:v>
              </c:pt>
              <c:pt idx="2371">
                <c:v>0</c:v>
              </c:pt>
              <c:pt idx="2372">
                <c:v>0</c:v>
              </c:pt>
              <c:pt idx="2373">
                <c:v>2.834359319488648</c:v>
              </c:pt>
              <c:pt idx="2374">
                <c:v>2.834359319488648</c:v>
              </c:pt>
              <c:pt idx="2375">
                <c:v>0</c:v>
              </c:pt>
              <c:pt idx="2376">
                <c:v>0</c:v>
              </c:pt>
              <c:pt idx="2377">
                <c:v>2.834359319488648</c:v>
              </c:pt>
              <c:pt idx="2378">
                <c:v>2.834359319488648</c:v>
              </c:pt>
              <c:pt idx="2379">
                <c:v>0</c:v>
              </c:pt>
              <c:pt idx="2380">
                <c:v>0</c:v>
              </c:pt>
              <c:pt idx="2381">
                <c:v>2.834359319488648</c:v>
              </c:pt>
              <c:pt idx="2382">
                <c:v>2.834359319488648</c:v>
              </c:pt>
              <c:pt idx="2383">
                <c:v>0</c:v>
              </c:pt>
              <c:pt idx="2384">
                <c:v>0</c:v>
              </c:pt>
              <c:pt idx="2385">
                <c:v>2.834359319488648</c:v>
              </c:pt>
              <c:pt idx="2386">
                <c:v>2.834359319488648</c:v>
              </c:pt>
              <c:pt idx="2387">
                <c:v>0</c:v>
              </c:pt>
              <c:pt idx="2388">
                <c:v>0</c:v>
              </c:pt>
              <c:pt idx="2389">
                <c:v>2.834359319488648</c:v>
              </c:pt>
              <c:pt idx="2390">
                <c:v>2.834359319488648</c:v>
              </c:pt>
              <c:pt idx="2391">
                <c:v>0</c:v>
              </c:pt>
              <c:pt idx="2392">
                <c:v>0</c:v>
              </c:pt>
              <c:pt idx="2393">
                <c:v>2.834359319488648</c:v>
              </c:pt>
              <c:pt idx="2394">
                <c:v>2.834359319488648</c:v>
              </c:pt>
              <c:pt idx="2395">
                <c:v>0</c:v>
              </c:pt>
              <c:pt idx="2396">
                <c:v>0</c:v>
              </c:pt>
              <c:pt idx="2397">
                <c:v>2.834359319488648</c:v>
              </c:pt>
              <c:pt idx="2398">
                <c:v>2.834359319488648</c:v>
              </c:pt>
              <c:pt idx="2399">
                <c:v>0</c:v>
              </c:pt>
              <c:pt idx="2400">
                <c:v>0</c:v>
              </c:pt>
              <c:pt idx="2401">
                <c:v>2.834359319488648</c:v>
              </c:pt>
              <c:pt idx="2402">
                <c:v>2.834359319488648</c:v>
              </c:pt>
              <c:pt idx="2403">
                <c:v>0</c:v>
              </c:pt>
              <c:pt idx="2404">
                <c:v>0</c:v>
              </c:pt>
              <c:pt idx="2405">
                <c:v>2.834359319488648</c:v>
              </c:pt>
              <c:pt idx="2406">
                <c:v>2.834359319488648</c:v>
              </c:pt>
              <c:pt idx="2407">
                <c:v>0</c:v>
              </c:pt>
              <c:pt idx="2408">
                <c:v>0</c:v>
              </c:pt>
              <c:pt idx="2409">
                <c:v>2.834359319488648</c:v>
              </c:pt>
              <c:pt idx="2410">
                <c:v>2.834359319488648</c:v>
              </c:pt>
              <c:pt idx="2411">
                <c:v>0</c:v>
              </c:pt>
              <c:pt idx="2412">
                <c:v>0</c:v>
              </c:pt>
              <c:pt idx="2413">
                <c:v>2.834359319488648</c:v>
              </c:pt>
              <c:pt idx="2414">
                <c:v>2.834359319488648</c:v>
              </c:pt>
              <c:pt idx="2415">
                <c:v>0</c:v>
              </c:pt>
              <c:pt idx="2416">
                <c:v>0</c:v>
              </c:pt>
              <c:pt idx="2417">
                <c:v>2.834359319488648</c:v>
              </c:pt>
              <c:pt idx="2418">
                <c:v>2.834359319488648</c:v>
              </c:pt>
              <c:pt idx="2419">
                <c:v>0</c:v>
              </c:pt>
              <c:pt idx="2420">
                <c:v>0</c:v>
              </c:pt>
              <c:pt idx="2421">
                <c:v>2.834359319488648</c:v>
              </c:pt>
              <c:pt idx="2422">
                <c:v>2.834359319488648</c:v>
              </c:pt>
              <c:pt idx="2423">
                <c:v>0</c:v>
              </c:pt>
              <c:pt idx="2424">
                <c:v>0</c:v>
              </c:pt>
              <c:pt idx="2425">
                <c:v>2.834359319488648</c:v>
              </c:pt>
              <c:pt idx="2426">
                <c:v>2.834359319488648</c:v>
              </c:pt>
              <c:pt idx="2427">
                <c:v>0</c:v>
              </c:pt>
              <c:pt idx="2428">
                <c:v>0</c:v>
              </c:pt>
              <c:pt idx="2429">
                <c:v>2.834359319488648</c:v>
              </c:pt>
              <c:pt idx="2430">
                <c:v>2.834359319488648</c:v>
              </c:pt>
              <c:pt idx="2431">
                <c:v>0</c:v>
              </c:pt>
              <c:pt idx="2432">
                <c:v>0</c:v>
              </c:pt>
              <c:pt idx="2433">
                <c:v>2.834359319488648</c:v>
              </c:pt>
              <c:pt idx="2434">
                <c:v>2.834359319488648</c:v>
              </c:pt>
              <c:pt idx="2435">
                <c:v>0</c:v>
              </c:pt>
              <c:pt idx="2436">
                <c:v>0</c:v>
              </c:pt>
              <c:pt idx="2437">
                <c:v>2.834359319488648</c:v>
              </c:pt>
              <c:pt idx="2438">
                <c:v>2.834359319488648</c:v>
              </c:pt>
              <c:pt idx="2439">
                <c:v>0</c:v>
              </c:pt>
              <c:pt idx="2440">
                <c:v>0</c:v>
              </c:pt>
              <c:pt idx="2441">
                <c:v>2.834359319488648</c:v>
              </c:pt>
              <c:pt idx="2442">
                <c:v>2.834359319488648</c:v>
              </c:pt>
              <c:pt idx="2443">
                <c:v>0</c:v>
              </c:pt>
              <c:pt idx="2444">
                <c:v>0</c:v>
              </c:pt>
              <c:pt idx="2445">
                <c:v>2.834359319488648</c:v>
              </c:pt>
              <c:pt idx="2446">
                <c:v>2.834359319488648</c:v>
              </c:pt>
              <c:pt idx="2447">
                <c:v>0</c:v>
              </c:pt>
              <c:pt idx="2448">
                <c:v>0</c:v>
              </c:pt>
              <c:pt idx="2449">
                <c:v>2.834359319488648</c:v>
              </c:pt>
              <c:pt idx="2450">
                <c:v>2.834359319488648</c:v>
              </c:pt>
              <c:pt idx="2451">
                <c:v>0</c:v>
              </c:pt>
              <c:pt idx="2452">
                <c:v>0</c:v>
              </c:pt>
              <c:pt idx="2453">
                <c:v>2.834359319488648</c:v>
              </c:pt>
              <c:pt idx="2454">
                <c:v>2.834359319488648</c:v>
              </c:pt>
              <c:pt idx="2455">
                <c:v>0</c:v>
              </c:pt>
              <c:pt idx="2456">
                <c:v>0</c:v>
              </c:pt>
              <c:pt idx="2457">
                <c:v>2.834359319488648</c:v>
              </c:pt>
              <c:pt idx="2458">
                <c:v>2.834359319488648</c:v>
              </c:pt>
              <c:pt idx="2459">
                <c:v>0</c:v>
              </c:pt>
              <c:pt idx="2460">
                <c:v>0</c:v>
              </c:pt>
              <c:pt idx="2461">
                <c:v>2.834359319488648</c:v>
              </c:pt>
              <c:pt idx="2462">
                <c:v>2.834359319488648</c:v>
              </c:pt>
              <c:pt idx="2463">
                <c:v>0</c:v>
              </c:pt>
              <c:pt idx="2464">
                <c:v>0</c:v>
              </c:pt>
              <c:pt idx="2465">
                <c:v>2.834359319488648</c:v>
              </c:pt>
              <c:pt idx="2466">
                <c:v>2.834359319488648</c:v>
              </c:pt>
              <c:pt idx="2467">
                <c:v>0</c:v>
              </c:pt>
              <c:pt idx="2468">
                <c:v>0</c:v>
              </c:pt>
              <c:pt idx="2469">
                <c:v>2.834359319488648</c:v>
              </c:pt>
              <c:pt idx="2470">
                <c:v>2.834359319488648</c:v>
              </c:pt>
              <c:pt idx="2471">
                <c:v>0</c:v>
              </c:pt>
              <c:pt idx="2472">
                <c:v>0</c:v>
              </c:pt>
              <c:pt idx="2473">
                <c:v>2.834359319488648</c:v>
              </c:pt>
              <c:pt idx="2474">
                <c:v>2.834359319488648</c:v>
              </c:pt>
              <c:pt idx="2475">
                <c:v>0</c:v>
              </c:pt>
              <c:pt idx="2476">
                <c:v>0</c:v>
              </c:pt>
              <c:pt idx="2477">
                <c:v>2.834359319488648</c:v>
              </c:pt>
              <c:pt idx="2478">
                <c:v>2.834359319488648</c:v>
              </c:pt>
              <c:pt idx="2479">
                <c:v>0</c:v>
              </c:pt>
              <c:pt idx="2480">
                <c:v>0</c:v>
              </c:pt>
              <c:pt idx="2481">
                <c:v>2.834359319488648</c:v>
              </c:pt>
              <c:pt idx="2482">
                <c:v>2.834359319488648</c:v>
              </c:pt>
              <c:pt idx="2483">
                <c:v>0</c:v>
              </c:pt>
              <c:pt idx="2484">
                <c:v>0</c:v>
              </c:pt>
              <c:pt idx="2485">
                <c:v>2.834359319488648</c:v>
              </c:pt>
              <c:pt idx="2486">
                <c:v>2.834359319488648</c:v>
              </c:pt>
              <c:pt idx="2487">
                <c:v>0</c:v>
              </c:pt>
              <c:pt idx="2488">
                <c:v>0</c:v>
              </c:pt>
              <c:pt idx="2489">
                <c:v>2.834359319488648</c:v>
              </c:pt>
              <c:pt idx="2490">
                <c:v>2.834359319488648</c:v>
              </c:pt>
              <c:pt idx="2491">
                <c:v>0</c:v>
              </c:pt>
              <c:pt idx="2492">
                <c:v>0</c:v>
              </c:pt>
              <c:pt idx="2493">
                <c:v>2.834359319488648</c:v>
              </c:pt>
              <c:pt idx="2494">
                <c:v>2.834359319488648</c:v>
              </c:pt>
              <c:pt idx="2495">
                <c:v>0</c:v>
              </c:pt>
              <c:pt idx="2496">
                <c:v>0</c:v>
              </c:pt>
              <c:pt idx="2497">
                <c:v>2.834359319488648</c:v>
              </c:pt>
              <c:pt idx="2498">
                <c:v>2.834359319488648</c:v>
              </c:pt>
              <c:pt idx="2499">
                <c:v>0</c:v>
              </c:pt>
              <c:pt idx="2500">
                <c:v>0</c:v>
              </c:pt>
              <c:pt idx="2501">
                <c:v>2.834359319488648</c:v>
              </c:pt>
              <c:pt idx="2502">
                <c:v>2.834359319488648</c:v>
              </c:pt>
              <c:pt idx="2503">
                <c:v>0</c:v>
              </c:pt>
              <c:pt idx="2504">
                <c:v>0</c:v>
              </c:pt>
              <c:pt idx="2505">
                <c:v>2.834359319488648</c:v>
              </c:pt>
              <c:pt idx="2506">
                <c:v>2.834359319488648</c:v>
              </c:pt>
              <c:pt idx="2507">
                <c:v>0</c:v>
              </c:pt>
              <c:pt idx="2508">
                <c:v>0</c:v>
              </c:pt>
              <c:pt idx="2509">
                <c:v>2.834359319488648</c:v>
              </c:pt>
              <c:pt idx="2510">
                <c:v>2.834359319488648</c:v>
              </c:pt>
              <c:pt idx="2511">
                <c:v>0</c:v>
              </c:pt>
              <c:pt idx="2512">
                <c:v>2.834359319488648</c:v>
              </c:pt>
              <c:pt idx="2513">
                <c:v>0</c:v>
              </c:pt>
              <c:pt idx="2516">
                <c:v>0</c:v>
              </c:pt>
              <c:pt idx="2517">
                <c:v>1.3996836145622955</c:v>
              </c:pt>
              <c:pt idx="2518">
                <c:v>1.3996836145622955</c:v>
              </c:pt>
              <c:pt idx="2519">
                <c:v>0</c:v>
              </c:pt>
              <c:pt idx="2520">
                <c:v>0</c:v>
              </c:pt>
              <c:pt idx="2521">
                <c:v>1.3996836145622955</c:v>
              </c:pt>
              <c:pt idx="2522">
                <c:v>1.3996836145622955</c:v>
              </c:pt>
              <c:pt idx="2523">
                <c:v>0</c:v>
              </c:pt>
              <c:pt idx="2524">
                <c:v>0</c:v>
              </c:pt>
              <c:pt idx="2525">
                <c:v>1.3996836145622955</c:v>
              </c:pt>
              <c:pt idx="2526">
                <c:v>1.3996836145622955</c:v>
              </c:pt>
              <c:pt idx="2527">
                <c:v>0</c:v>
              </c:pt>
              <c:pt idx="2528">
                <c:v>0</c:v>
              </c:pt>
              <c:pt idx="2529">
                <c:v>1.3996836145622955</c:v>
              </c:pt>
              <c:pt idx="2530">
                <c:v>1.3996836145622955</c:v>
              </c:pt>
              <c:pt idx="2531">
                <c:v>0</c:v>
              </c:pt>
              <c:pt idx="2532">
                <c:v>0</c:v>
              </c:pt>
              <c:pt idx="2533">
                <c:v>1.3996836145622955</c:v>
              </c:pt>
              <c:pt idx="2534">
                <c:v>1.3996836145622955</c:v>
              </c:pt>
              <c:pt idx="2535">
                <c:v>0</c:v>
              </c:pt>
              <c:pt idx="2536">
                <c:v>0</c:v>
              </c:pt>
              <c:pt idx="2537">
                <c:v>1.3996836145622955</c:v>
              </c:pt>
              <c:pt idx="2538">
                <c:v>1.3996836145622955</c:v>
              </c:pt>
              <c:pt idx="2539">
                <c:v>0</c:v>
              </c:pt>
              <c:pt idx="2540">
                <c:v>0</c:v>
              </c:pt>
              <c:pt idx="2541">
                <c:v>1.3996836145622955</c:v>
              </c:pt>
              <c:pt idx="2542">
                <c:v>1.3996836145622955</c:v>
              </c:pt>
              <c:pt idx="2543">
                <c:v>0</c:v>
              </c:pt>
              <c:pt idx="2544">
                <c:v>0</c:v>
              </c:pt>
              <c:pt idx="2545">
                <c:v>1.3996836145622955</c:v>
              </c:pt>
              <c:pt idx="2546">
                <c:v>1.3996836145622955</c:v>
              </c:pt>
              <c:pt idx="2547">
                <c:v>0</c:v>
              </c:pt>
              <c:pt idx="2548">
                <c:v>0</c:v>
              </c:pt>
              <c:pt idx="2549">
                <c:v>1.3996836145622955</c:v>
              </c:pt>
              <c:pt idx="2550">
                <c:v>1.3996836145622955</c:v>
              </c:pt>
              <c:pt idx="2551">
                <c:v>0</c:v>
              </c:pt>
              <c:pt idx="2552">
                <c:v>0</c:v>
              </c:pt>
              <c:pt idx="2553">
                <c:v>1.3996836145622955</c:v>
              </c:pt>
              <c:pt idx="2554">
                <c:v>1.3996836145622955</c:v>
              </c:pt>
              <c:pt idx="2555">
                <c:v>0</c:v>
              </c:pt>
              <c:pt idx="2556">
                <c:v>0</c:v>
              </c:pt>
              <c:pt idx="2557">
                <c:v>1.3996836145622955</c:v>
              </c:pt>
              <c:pt idx="2558">
                <c:v>1.3996836145622955</c:v>
              </c:pt>
              <c:pt idx="2559">
                <c:v>0</c:v>
              </c:pt>
              <c:pt idx="2560">
                <c:v>0</c:v>
              </c:pt>
              <c:pt idx="2561">
                <c:v>1.3996836145622955</c:v>
              </c:pt>
              <c:pt idx="2562">
                <c:v>1.3996836145622955</c:v>
              </c:pt>
              <c:pt idx="2563">
                <c:v>0</c:v>
              </c:pt>
              <c:pt idx="2564">
                <c:v>0</c:v>
              </c:pt>
              <c:pt idx="2565">
                <c:v>1.3996836145622955</c:v>
              </c:pt>
              <c:pt idx="2566">
                <c:v>1.3996836145622955</c:v>
              </c:pt>
              <c:pt idx="2567">
                <c:v>0</c:v>
              </c:pt>
              <c:pt idx="2568">
                <c:v>0</c:v>
              </c:pt>
              <c:pt idx="2569">
                <c:v>1.3996836145622955</c:v>
              </c:pt>
              <c:pt idx="2570">
                <c:v>1.3996836145622955</c:v>
              </c:pt>
              <c:pt idx="2571">
                <c:v>0</c:v>
              </c:pt>
              <c:pt idx="2572">
                <c:v>0</c:v>
              </c:pt>
              <c:pt idx="2573">
                <c:v>1.3996836145622955</c:v>
              </c:pt>
              <c:pt idx="2574">
                <c:v>1.3996836145622955</c:v>
              </c:pt>
              <c:pt idx="2575">
                <c:v>0</c:v>
              </c:pt>
              <c:pt idx="2576">
                <c:v>0</c:v>
              </c:pt>
              <c:pt idx="2577">
                <c:v>1.3996836145622955</c:v>
              </c:pt>
              <c:pt idx="2578">
                <c:v>1.3996836145622955</c:v>
              </c:pt>
              <c:pt idx="2579">
                <c:v>0</c:v>
              </c:pt>
              <c:pt idx="2580">
                <c:v>0</c:v>
              </c:pt>
              <c:pt idx="2581">
                <c:v>1.3996836145622955</c:v>
              </c:pt>
              <c:pt idx="2582">
                <c:v>1.3996836145622955</c:v>
              </c:pt>
              <c:pt idx="2583">
                <c:v>0</c:v>
              </c:pt>
              <c:pt idx="2584">
                <c:v>0</c:v>
              </c:pt>
              <c:pt idx="2585">
                <c:v>1.3996836145622955</c:v>
              </c:pt>
              <c:pt idx="2586">
                <c:v>1.3996836145622955</c:v>
              </c:pt>
              <c:pt idx="2587">
                <c:v>0</c:v>
              </c:pt>
              <c:pt idx="2588">
                <c:v>0</c:v>
              </c:pt>
              <c:pt idx="2589">
                <c:v>1.3996836145622955</c:v>
              </c:pt>
              <c:pt idx="2590">
                <c:v>1.3996836145622955</c:v>
              </c:pt>
              <c:pt idx="2591">
                <c:v>0</c:v>
              </c:pt>
              <c:pt idx="2592">
                <c:v>0</c:v>
              </c:pt>
              <c:pt idx="2593">
                <c:v>1.3996836145622955</c:v>
              </c:pt>
              <c:pt idx="2594">
                <c:v>1.3996836145622955</c:v>
              </c:pt>
              <c:pt idx="2595">
                <c:v>0</c:v>
              </c:pt>
              <c:pt idx="2596">
                <c:v>0</c:v>
              </c:pt>
              <c:pt idx="2597">
                <c:v>1.3996836145622955</c:v>
              </c:pt>
              <c:pt idx="2598">
                <c:v>1.3996836145622955</c:v>
              </c:pt>
              <c:pt idx="2599">
                <c:v>0</c:v>
              </c:pt>
              <c:pt idx="2600">
                <c:v>0</c:v>
              </c:pt>
              <c:pt idx="2601">
                <c:v>1.3996836145622955</c:v>
              </c:pt>
              <c:pt idx="2602">
                <c:v>1.3996836145622955</c:v>
              </c:pt>
              <c:pt idx="2603">
                <c:v>0</c:v>
              </c:pt>
              <c:pt idx="2604">
                <c:v>0</c:v>
              </c:pt>
              <c:pt idx="2605">
                <c:v>1.3996836145622955</c:v>
              </c:pt>
              <c:pt idx="2606">
                <c:v>1.3996836145622955</c:v>
              </c:pt>
              <c:pt idx="2607">
                <c:v>0</c:v>
              </c:pt>
              <c:pt idx="2608">
                <c:v>0</c:v>
              </c:pt>
              <c:pt idx="2609">
                <c:v>1.3996836145622955</c:v>
              </c:pt>
              <c:pt idx="2610">
                <c:v>1.3996836145622955</c:v>
              </c:pt>
              <c:pt idx="2611">
                <c:v>0</c:v>
              </c:pt>
              <c:pt idx="2612">
                <c:v>0</c:v>
              </c:pt>
              <c:pt idx="2613">
                <c:v>1.3996836145622955</c:v>
              </c:pt>
              <c:pt idx="2614">
                <c:v>1.3996836145622955</c:v>
              </c:pt>
              <c:pt idx="2615">
                <c:v>0</c:v>
              </c:pt>
              <c:pt idx="2616">
                <c:v>0</c:v>
              </c:pt>
              <c:pt idx="2617">
                <c:v>1.3996836145622955</c:v>
              </c:pt>
              <c:pt idx="2618">
                <c:v>1.3996836145622955</c:v>
              </c:pt>
              <c:pt idx="2619">
                <c:v>0</c:v>
              </c:pt>
              <c:pt idx="2620">
                <c:v>0</c:v>
              </c:pt>
              <c:pt idx="2621">
                <c:v>1.3996836145622955</c:v>
              </c:pt>
              <c:pt idx="2622">
                <c:v>1.3996836145622955</c:v>
              </c:pt>
              <c:pt idx="2623">
                <c:v>0</c:v>
              </c:pt>
              <c:pt idx="2624">
                <c:v>0</c:v>
              </c:pt>
              <c:pt idx="2625">
                <c:v>1.3996836145622955</c:v>
              </c:pt>
              <c:pt idx="2626">
                <c:v>1.3996836145622955</c:v>
              </c:pt>
              <c:pt idx="2627">
                <c:v>0</c:v>
              </c:pt>
              <c:pt idx="2628">
                <c:v>0</c:v>
              </c:pt>
              <c:pt idx="2629">
                <c:v>1.3996836145622955</c:v>
              </c:pt>
              <c:pt idx="2630">
                <c:v>1.3996836145622955</c:v>
              </c:pt>
              <c:pt idx="2631">
                <c:v>0</c:v>
              </c:pt>
              <c:pt idx="2632">
                <c:v>0</c:v>
              </c:pt>
              <c:pt idx="2633">
                <c:v>1.3996836145622955</c:v>
              </c:pt>
              <c:pt idx="2634">
                <c:v>1.3996836145622955</c:v>
              </c:pt>
              <c:pt idx="2635">
                <c:v>0</c:v>
              </c:pt>
              <c:pt idx="2636">
                <c:v>0</c:v>
              </c:pt>
              <c:pt idx="2637">
                <c:v>1.3996836145622955</c:v>
              </c:pt>
              <c:pt idx="2638">
                <c:v>1.3996836145622955</c:v>
              </c:pt>
              <c:pt idx="2639">
                <c:v>0</c:v>
              </c:pt>
              <c:pt idx="2640">
                <c:v>0</c:v>
              </c:pt>
              <c:pt idx="2641">
                <c:v>1.3996836145622955</c:v>
              </c:pt>
              <c:pt idx="2642">
                <c:v>1.3996836145622955</c:v>
              </c:pt>
              <c:pt idx="2643">
                <c:v>0</c:v>
              </c:pt>
              <c:pt idx="2644">
                <c:v>0</c:v>
              </c:pt>
              <c:pt idx="2645">
                <c:v>1.3996836145622955</c:v>
              </c:pt>
              <c:pt idx="2646">
                <c:v>1.3996836145622955</c:v>
              </c:pt>
              <c:pt idx="2647">
                <c:v>0</c:v>
              </c:pt>
              <c:pt idx="2648">
                <c:v>0</c:v>
              </c:pt>
              <c:pt idx="2649">
                <c:v>1.3996836145622955</c:v>
              </c:pt>
              <c:pt idx="2650">
                <c:v>1.3996836145622955</c:v>
              </c:pt>
              <c:pt idx="2651">
                <c:v>0</c:v>
              </c:pt>
              <c:pt idx="2652">
                <c:v>0</c:v>
              </c:pt>
              <c:pt idx="2653">
                <c:v>1.3996836145622955</c:v>
              </c:pt>
              <c:pt idx="2654">
                <c:v>1.3996836145622955</c:v>
              </c:pt>
              <c:pt idx="2655">
                <c:v>0</c:v>
              </c:pt>
              <c:pt idx="2656">
                <c:v>0</c:v>
              </c:pt>
              <c:pt idx="2657">
                <c:v>1.3996836145622955</c:v>
              </c:pt>
              <c:pt idx="2658">
                <c:v>1.3996836145622955</c:v>
              </c:pt>
              <c:pt idx="2659">
                <c:v>0</c:v>
              </c:pt>
              <c:pt idx="2660">
                <c:v>1.3996836145622955</c:v>
              </c:pt>
              <c:pt idx="2661">
                <c:v>0</c:v>
              </c:pt>
              <c:pt idx="2664">
                <c:v>0</c:v>
              </c:pt>
              <c:pt idx="2665">
                <c:v>0.7523299428272338</c:v>
              </c:pt>
              <c:pt idx="2666">
                <c:v>0.7523299428272338</c:v>
              </c:pt>
              <c:pt idx="2667">
                <c:v>0</c:v>
              </c:pt>
              <c:pt idx="2668">
                <c:v>0</c:v>
              </c:pt>
              <c:pt idx="2669">
                <c:v>0.7523299428272338</c:v>
              </c:pt>
              <c:pt idx="2670">
                <c:v>0.7523299428272338</c:v>
              </c:pt>
              <c:pt idx="2671">
                <c:v>0</c:v>
              </c:pt>
              <c:pt idx="2672">
                <c:v>0</c:v>
              </c:pt>
              <c:pt idx="2673">
                <c:v>0.7523299428272338</c:v>
              </c:pt>
              <c:pt idx="2674">
                <c:v>0.7523299428272338</c:v>
              </c:pt>
              <c:pt idx="2675">
                <c:v>0</c:v>
              </c:pt>
              <c:pt idx="2676">
                <c:v>0</c:v>
              </c:pt>
              <c:pt idx="2677">
                <c:v>0.7523299428272338</c:v>
              </c:pt>
              <c:pt idx="2678">
                <c:v>0.7523299428272338</c:v>
              </c:pt>
              <c:pt idx="2679">
                <c:v>0</c:v>
              </c:pt>
              <c:pt idx="2680">
                <c:v>0</c:v>
              </c:pt>
              <c:pt idx="2681">
                <c:v>0.7523299428272338</c:v>
              </c:pt>
              <c:pt idx="2682">
                <c:v>0.7523299428272338</c:v>
              </c:pt>
              <c:pt idx="2683">
                <c:v>0</c:v>
              </c:pt>
              <c:pt idx="2684">
                <c:v>0</c:v>
              </c:pt>
              <c:pt idx="2685">
                <c:v>0.7523299428272338</c:v>
              </c:pt>
              <c:pt idx="2686">
                <c:v>0.7523299428272338</c:v>
              </c:pt>
              <c:pt idx="2687">
                <c:v>0</c:v>
              </c:pt>
              <c:pt idx="2688">
                <c:v>0</c:v>
              </c:pt>
              <c:pt idx="2689">
                <c:v>0.7523299428272338</c:v>
              </c:pt>
              <c:pt idx="2690">
                <c:v>0.7523299428272338</c:v>
              </c:pt>
              <c:pt idx="2691">
                <c:v>0</c:v>
              </c:pt>
              <c:pt idx="2692">
                <c:v>0</c:v>
              </c:pt>
              <c:pt idx="2693">
                <c:v>0.7523299428272338</c:v>
              </c:pt>
              <c:pt idx="2694">
                <c:v>0.7523299428272338</c:v>
              </c:pt>
              <c:pt idx="2695">
                <c:v>0</c:v>
              </c:pt>
              <c:pt idx="2696">
                <c:v>0</c:v>
              </c:pt>
              <c:pt idx="2697">
                <c:v>0.7523299428272338</c:v>
              </c:pt>
              <c:pt idx="2698">
                <c:v>0.7523299428272338</c:v>
              </c:pt>
              <c:pt idx="2699">
                <c:v>0</c:v>
              </c:pt>
              <c:pt idx="2700">
                <c:v>0</c:v>
              </c:pt>
              <c:pt idx="2701">
                <c:v>0.7523299428272338</c:v>
              </c:pt>
              <c:pt idx="2702">
                <c:v>0.7523299428272338</c:v>
              </c:pt>
              <c:pt idx="2703">
                <c:v>0</c:v>
              </c:pt>
              <c:pt idx="2704">
                <c:v>0</c:v>
              </c:pt>
              <c:pt idx="2705">
                <c:v>0.7523299428272338</c:v>
              </c:pt>
              <c:pt idx="2706">
                <c:v>0.7523299428272338</c:v>
              </c:pt>
              <c:pt idx="2707">
                <c:v>0</c:v>
              </c:pt>
              <c:pt idx="2708">
                <c:v>0</c:v>
              </c:pt>
              <c:pt idx="2709">
                <c:v>0.7523299428272338</c:v>
              </c:pt>
              <c:pt idx="2710">
                <c:v>0.7523299428272338</c:v>
              </c:pt>
              <c:pt idx="2711">
                <c:v>0</c:v>
              </c:pt>
              <c:pt idx="2712">
                <c:v>0</c:v>
              </c:pt>
              <c:pt idx="2713">
                <c:v>0.7523299428272338</c:v>
              </c:pt>
              <c:pt idx="2714">
                <c:v>0.7523299428272338</c:v>
              </c:pt>
              <c:pt idx="2715">
                <c:v>0</c:v>
              </c:pt>
              <c:pt idx="2716">
                <c:v>0</c:v>
              </c:pt>
              <c:pt idx="2717">
                <c:v>0.7523299428272338</c:v>
              </c:pt>
              <c:pt idx="2718">
                <c:v>0.7523299428272338</c:v>
              </c:pt>
              <c:pt idx="2719">
                <c:v>0</c:v>
              </c:pt>
              <c:pt idx="2720">
                <c:v>0</c:v>
              </c:pt>
              <c:pt idx="2721">
                <c:v>0.7523299428272338</c:v>
              </c:pt>
              <c:pt idx="2722">
                <c:v>0.7523299428272338</c:v>
              </c:pt>
              <c:pt idx="2723">
                <c:v>0</c:v>
              </c:pt>
              <c:pt idx="2724">
                <c:v>0</c:v>
              </c:pt>
              <c:pt idx="2725">
                <c:v>0.7523299428272338</c:v>
              </c:pt>
              <c:pt idx="2726">
                <c:v>0.7523299428272338</c:v>
              </c:pt>
              <c:pt idx="2727">
                <c:v>0</c:v>
              </c:pt>
              <c:pt idx="2728">
                <c:v>0</c:v>
              </c:pt>
              <c:pt idx="2729">
                <c:v>0.7523299428272338</c:v>
              </c:pt>
              <c:pt idx="2730">
                <c:v>0.7523299428272338</c:v>
              </c:pt>
              <c:pt idx="2731">
                <c:v>0</c:v>
              </c:pt>
              <c:pt idx="2732">
                <c:v>0</c:v>
              </c:pt>
              <c:pt idx="2733">
                <c:v>0.7523299428272338</c:v>
              </c:pt>
              <c:pt idx="2734">
                <c:v>0.7523299428272338</c:v>
              </c:pt>
              <c:pt idx="2735">
                <c:v>0</c:v>
              </c:pt>
              <c:pt idx="2736">
                <c:v>0</c:v>
              </c:pt>
              <c:pt idx="2737">
                <c:v>0.7523299428272338</c:v>
              </c:pt>
              <c:pt idx="2738">
                <c:v>0.7523299428272338</c:v>
              </c:pt>
              <c:pt idx="2739">
                <c:v>0</c:v>
              </c:pt>
              <c:pt idx="2740">
                <c:v>0</c:v>
              </c:pt>
              <c:pt idx="2741">
                <c:v>0.7523299428272338</c:v>
              </c:pt>
              <c:pt idx="2742">
                <c:v>0.7523299428272338</c:v>
              </c:pt>
              <c:pt idx="2743">
                <c:v>0</c:v>
              </c:pt>
              <c:pt idx="2744">
                <c:v>0</c:v>
              </c:pt>
              <c:pt idx="2745">
                <c:v>0.7523299428272338</c:v>
              </c:pt>
              <c:pt idx="2746">
                <c:v>0.7523299428272338</c:v>
              </c:pt>
              <c:pt idx="2747">
                <c:v>0</c:v>
              </c:pt>
              <c:pt idx="2748">
                <c:v>0</c:v>
              </c:pt>
              <c:pt idx="2749">
                <c:v>0.7523299428272338</c:v>
              </c:pt>
              <c:pt idx="2750">
                <c:v>0.7523299428272338</c:v>
              </c:pt>
              <c:pt idx="2751">
                <c:v>0</c:v>
              </c:pt>
              <c:pt idx="2752">
                <c:v>0</c:v>
              </c:pt>
              <c:pt idx="2753">
                <c:v>0.7523299428272338</c:v>
              </c:pt>
              <c:pt idx="2754">
                <c:v>0.7523299428272338</c:v>
              </c:pt>
              <c:pt idx="2755">
                <c:v>0</c:v>
              </c:pt>
              <c:pt idx="2756">
                <c:v>0</c:v>
              </c:pt>
              <c:pt idx="2757">
                <c:v>0.7523299428272338</c:v>
              </c:pt>
              <c:pt idx="2758">
                <c:v>0.7523299428272338</c:v>
              </c:pt>
              <c:pt idx="2759">
                <c:v>0</c:v>
              </c:pt>
              <c:pt idx="2760">
                <c:v>0</c:v>
              </c:pt>
              <c:pt idx="2761">
                <c:v>0.7523299428272338</c:v>
              </c:pt>
              <c:pt idx="2762">
                <c:v>0.7523299428272338</c:v>
              </c:pt>
              <c:pt idx="2763">
                <c:v>0</c:v>
              </c:pt>
              <c:pt idx="2764">
                <c:v>0</c:v>
              </c:pt>
              <c:pt idx="2765">
                <c:v>0.7523299428272338</c:v>
              </c:pt>
              <c:pt idx="2766">
                <c:v>0.7523299428272338</c:v>
              </c:pt>
              <c:pt idx="2767">
                <c:v>0</c:v>
              </c:pt>
              <c:pt idx="2768">
                <c:v>0</c:v>
              </c:pt>
              <c:pt idx="2769">
                <c:v>0.7523299428272338</c:v>
              </c:pt>
              <c:pt idx="2770">
                <c:v>0.7523299428272338</c:v>
              </c:pt>
              <c:pt idx="2771">
                <c:v>0</c:v>
              </c:pt>
              <c:pt idx="2772">
                <c:v>0</c:v>
              </c:pt>
              <c:pt idx="2773">
                <c:v>0.7523299428272338</c:v>
              </c:pt>
              <c:pt idx="2774">
                <c:v>0.7523299428272338</c:v>
              </c:pt>
              <c:pt idx="2775">
                <c:v>0</c:v>
              </c:pt>
              <c:pt idx="2776">
                <c:v>0</c:v>
              </c:pt>
              <c:pt idx="2777">
                <c:v>0.7523299428272338</c:v>
              </c:pt>
              <c:pt idx="2778">
                <c:v>0.7523299428272338</c:v>
              </c:pt>
              <c:pt idx="2779">
                <c:v>0</c:v>
              </c:pt>
              <c:pt idx="2780">
                <c:v>0</c:v>
              </c:pt>
              <c:pt idx="2781">
                <c:v>0.7523299428272338</c:v>
              </c:pt>
              <c:pt idx="2782">
                <c:v>0.7523299428272338</c:v>
              </c:pt>
              <c:pt idx="2783">
                <c:v>0</c:v>
              </c:pt>
              <c:pt idx="2784">
                <c:v>0</c:v>
              </c:pt>
              <c:pt idx="2785">
                <c:v>0.7523299428272338</c:v>
              </c:pt>
              <c:pt idx="2786">
                <c:v>0.7523299428272338</c:v>
              </c:pt>
              <c:pt idx="2787">
                <c:v>0</c:v>
              </c:pt>
              <c:pt idx="2788">
                <c:v>0</c:v>
              </c:pt>
              <c:pt idx="2789">
                <c:v>0.7523299428272338</c:v>
              </c:pt>
              <c:pt idx="2790">
                <c:v>0.7523299428272338</c:v>
              </c:pt>
              <c:pt idx="2791">
                <c:v>0</c:v>
              </c:pt>
              <c:pt idx="2792">
                <c:v>0</c:v>
              </c:pt>
              <c:pt idx="2793">
                <c:v>0.7523299428272338</c:v>
              </c:pt>
              <c:pt idx="2794">
                <c:v>0.7523299428272338</c:v>
              </c:pt>
              <c:pt idx="2795">
                <c:v>0</c:v>
              </c:pt>
              <c:pt idx="2796">
                <c:v>0</c:v>
              </c:pt>
              <c:pt idx="2797">
                <c:v>0.7523299428272338</c:v>
              </c:pt>
              <c:pt idx="2798">
                <c:v>0.7523299428272338</c:v>
              </c:pt>
              <c:pt idx="2799">
                <c:v>0</c:v>
              </c:pt>
              <c:pt idx="2800">
                <c:v>0</c:v>
              </c:pt>
              <c:pt idx="2801">
                <c:v>0.7523299428272338</c:v>
              </c:pt>
              <c:pt idx="2802">
                <c:v>0.7523299428272338</c:v>
              </c:pt>
              <c:pt idx="2803">
                <c:v>0</c:v>
              </c:pt>
              <c:pt idx="2804">
                <c:v>0</c:v>
              </c:pt>
              <c:pt idx="2805">
                <c:v>0.7523299428272338</c:v>
              </c:pt>
              <c:pt idx="2806">
                <c:v>0.7523299428272338</c:v>
              </c:pt>
              <c:pt idx="2807">
                <c:v>0</c:v>
              </c:pt>
              <c:pt idx="2808">
                <c:v>0.7523299428272338</c:v>
              </c:pt>
              <c:pt idx="2809">
                <c:v>0</c:v>
              </c:pt>
              <c:pt idx="2812">
                <c:v>0</c:v>
              </c:pt>
              <c:pt idx="2813">
                <c:v>0.13996836145622954</c:v>
              </c:pt>
              <c:pt idx="2814">
                <c:v>0.13996836145622954</c:v>
              </c:pt>
              <c:pt idx="2815">
                <c:v>0</c:v>
              </c:pt>
              <c:pt idx="2816">
                <c:v>0</c:v>
              </c:pt>
              <c:pt idx="2817">
                <c:v>0.13996836145622954</c:v>
              </c:pt>
              <c:pt idx="2818">
                <c:v>0.13996836145622954</c:v>
              </c:pt>
              <c:pt idx="2819">
                <c:v>0</c:v>
              </c:pt>
              <c:pt idx="2820">
                <c:v>0</c:v>
              </c:pt>
              <c:pt idx="2821">
                <c:v>0.13996836145622954</c:v>
              </c:pt>
              <c:pt idx="2822">
                <c:v>0.13996836145622954</c:v>
              </c:pt>
              <c:pt idx="2823">
                <c:v>0</c:v>
              </c:pt>
              <c:pt idx="2824">
                <c:v>0</c:v>
              </c:pt>
              <c:pt idx="2825">
                <c:v>0.13996836145622954</c:v>
              </c:pt>
              <c:pt idx="2826">
                <c:v>0.13996836145622954</c:v>
              </c:pt>
              <c:pt idx="2827">
                <c:v>0</c:v>
              </c:pt>
              <c:pt idx="2828">
                <c:v>0</c:v>
              </c:pt>
              <c:pt idx="2829">
                <c:v>0.13996836145622954</c:v>
              </c:pt>
              <c:pt idx="2830">
                <c:v>0.13996836145622954</c:v>
              </c:pt>
              <c:pt idx="2831">
                <c:v>0</c:v>
              </c:pt>
              <c:pt idx="2832">
                <c:v>0</c:v>
              </c:pt>
              <c:pt idx="2833">
                <c:v>0.13996836145622954</c:v>
              </c:pt>
              <c:pt idx="2834">
                <c:v>0.13996836145622954</c:v>
              </c:pt>
              <c:pt idx="2835">
                <c:v>0</c:v>
              </c:pt>
              <c:pt idx="2836">
                <c:v>0</c:v>
              </c:pt>
              <c:pt idx="2837">
                <c:v>0.13996836145622954</c:v>
              </c:pt>
              <c:pt idx="2838">
                <c:v>0.13996836145622954</c:v>
              </c:pt>
              <c:pt idx="2839">
                <c:v>0</c:v>
              </c:pt>
              <c:pt idx="2840">
                <c:v>0</c:v>
              </c:pt>
              <c:pt idx="2841">
                <c:v>0.13996836145622954</c:v>
              </c:pt>
              <c:pt idx="2842">
                <c:v>0.13996836145622954</c:v>
              </c:pt>
              <c:pt idx="2843">
                <c:v>0</c:v>
              </c:pt>
              <c:pt idx="2844">
                <c:v>0</c:v>
              </c:pt>
              <c:pt idx="2845">
                <c:v>0.13996836145622954</c:v>
              </c:pt>
              <c:pt idx="2846">
                <c:v>0.13996836145622954</c:v>
              </c:pt>
              <c:pt idx="2847">
                <c:v>0</c:v>
              </c:pt>
              <c:pt idx="2848">
                <c:v>0</c:v>
              </c:pt>
              <c:pt idx="2849">
                <c:v>0.13996836145622954</c:v>
              </c:pt>
              <c:pt idx="2850">
                <c:v>0.13996836145622954</c:v>
              </c:pt>
              <c:pt idx="2851">
                <c:v>0</c:v>
              </c:pt>
              <c:pt idx="2852">
                <c:v>0</c:v>
              </c:pt>
              <c:pt idx="2853">
                <c:v>0.13996836145622954</c:v>
              </c:pt>
              <c:pt idx="2854">
                <c:v>0.13996836145622954</c:v>
              </c:pt>
              <c:pt idx="2855">
                <c:v>0</c:v>
              </c:pt>
              <c:pt idx="2856">
                <c:v>0</c:v>
              </c:pt>
              <c:pt idx="2857">
                <c:v>0.13996836145622954</c:v>
              </c:pt>
              <c:pt idx="2858">
                <c:v>0.13996836145622954</c:v>
              </c:pt>
              <c:pt idx="2859">
                <c:v>0</c:v>
              </c:pt>
              <c:pt idx="2860">
                <c:v>0</c:v>
              </c:pt>
              <c:pt idx="2861">
                <c:v>0.13996836145622954</c:v>
              </c:pt>
              <c:pt idx="2862">
                <c:v>0.13996836145622954</c:v>
              </c:pt>
              <c:pt idx="2863">
                <c:v>0</c:v>
              </c:pt>
              <c:pt idx="2864">
                <c:v>0</c:v>
              </c:pt>
              <c:pt idx="2865">
                <c:v>0.13996836145622954</c:v>
              </c:pt>
              <c:pt idx="2866">
                <c:v>0.13996836145622954</c:v>
              </c:pt>
              <c:pt idx="2867">
                <c:v>0</c:v>
              </c:pt>
              <c:pt idx="2868">
                <c:v>0</c:v>
              </c:pt>
              <c:pt idx="2869">
                <c:v>0.13996836145622954</c:v>
              </c:pt>
              <c:pt idx="2870">
                <c:v>0.13996836145622954</c:v>
              </c:pt>
              <c:pt idx="2871">
                <c:v>0</c:v>
              </c:pt>
              <c:pt idx="2872">
                <c:v>0</c:v>
              </c:pt>
              <c:pt idx="2873">
                <c:v>0.13996836145622954</c:v>
              </c:pt>
              <c:pt idx="2874">
                <c:v>0.13996836145622954</c:v>
              </c:pt>
              <c:pt idx="2875">
                <c:v>0</c:v>
              </c:pt>
              <c:pt idx="2876">
                <c:v>0</c:v>
              </c:pt>
              <c:pt idx="2877">
                <c:v>0.13996836145622954</c:v>
              </c:pt>
              <c:pt idx="2878">
                <c:v>0.13996836145622954</c:v>
              </c:pt>
              <c:pt idx="2879">
                <c:v>0</c:v>
              </c:pt>
              <c:pt idx="2880">
                <c:v>0</c:v>
              </c:pt>
              <c:pt idx="2881">
                <c:v>0.13996836145622954</c:v>
              </c:pt>
              <c:pt idx="2882">
                <c:v>0.13996836145622954</c:v>
              </c:pt>
              <c:pt idx="2883">
                <c:v>0</c:v>
              </c:pt>
              <c:pt idx="2884">
                <c:v>0</c:v>
              </c:pt>
              <c:pt idx="2885">
                <c:v>0.13996836145622954</c:v>
              </c:pt>
              <c:pt idx="2886">
                <c:v>0.13996836145622954</c:v>
              </c:pt>
              <c:pt idx="2887">
                <c:v>0</c:v>
              </c:pt>
              <c:pt idx="2888">
                <c:v>0</c:v>
              </c:pt>
              <c:pt idx="2889">
                <c:v>0.13996836145622954</c:v>
              </c:pt>
              <c:pt idx="2890">
                <c:v>0.13996836145622954</c:v>
              </c:pt>
              <c:pt idx="2891">
                <c:v>0</c:v>
              </c:pt>
              <c:pt idx="2892">
                <c:v>0</c:v>
              </c:pt>
              <c:pt idx="2893">
                <c:v>0.13996836145622954</c:v>
              </c:pt>
              <c:pt idx="2894">
                <c:v>0.13996836145622954</c:v>
              </c:pt>
              <c:pt idx="2895">
                <c:v>0</c:v>
              </c:pt>
              <c:pt idx="2896">
                <c:v>0</c:v>
              </c:pt>
              <c:pt idx="2897">
                <c:v>0.13996836145622954</c:v>
              </c:pt>
              <c:pt idx="2898">
                <c:v>0.13996836145622954</c:v>
              </c:pt>
              <c:pt idx="2899">
                <c:v>0</c:v>
              </c:pt>
              <c:pt idx="2900">
                <c:v>0</c:v>
              </c:pt>
              <c:pt idx="2901">
                <c:v>0.13996836145622954</c:v>
              </c:pt>
              <c:pt idx="2902">
                <c:v>0.13996836145622954</c:v>
              </c:pt>
              <c:pt idx="2903">
                <c:v>0</c:v>
              </c:pt>
              <c:pt idx="2904">
                <c:v>0</c:v>
              </c:pt>
              <c:pt idx="2905">
                <c:v>0.13996836145622954</c:v>
              </c:pt>
              <c:pt idx="2906">
                <c:v>0.13996836145622954</c:v>
              </c:pt>
              <c:pt idx="2907">
                <c:v>0</c:v>
              </c:pt>
              <c:pt idx="2908">
                <c:v>0</c:v>
              </c:pt>
              <c:pt idx="2909">
                <c:v>0.13996836145622954</c:v>
              </c:pt>
              <c:pt idx="2910">
                <c:v>0.13996836145622954</c:v>
              </c:pt>
              <c:pt idx="2911">
                <c:v>0</c:v>
              </c:pt>
              <c:pt idx="2912">
                <c:v>0</c:v>
              </c:pt>
              <c:pt idx="2913">
                <c:v>0.13996836145622954</c:v>
              </c:pt>
              <c:pt idx="2914">
                <c:v>0.13996836145622954</c:v>
              </c:pt>
              <c:pt idx="2915">
                <c:v>0</c:v>
              </c:pt>
              <c:pt idx="2916">
                <c:v>0</c:v>
              </c:pt>
              <c:pt idx="2917">
                <c:v>0.13996836145622954</c:v>
              </c:pt>
              <c:pt idx="2918">
                <c:v>0.13996836145622954</c:v>
              </c:pt>
              <c:pt idx="2919">
                <c:v>0</c:v>
              </c:pt>
              <c:pt idx="2920">
                <c:v>0</c:v>
              </c:pt>
              <c:pt idx="2921">
                <c:v>0.13996836145622954</c:v>
              </c:pt>
              <c:pt idx="2922">
                <c:v>0.13996836145622954</c:v>
              </c:pt>
              <c:pt idx="2923">
                <c:v>0</c:v>
              </c:pt>
              <c:pt idx="2924">
                <c:v>0</c:v>
              </c:pt>
              <c:pt idx="2925">
                <c:v>0.13996836145622954</c:v>
              </c:pt>
              <c:pt idx="2926">
                <c:v>0.13996836145622954</c:v>
              </c:pt>
              <c:pt idx="2927">
                <c:v>0</c:v>
              </c:pt>
              <c:pt idx="2928">
                <c:v>0</c:v>
              </c:pt>
              <c:pt idx="2929">
                <c:v>0.13996836145622954</c:v>
              </c:pt>
              <c:pt idx="2930">
                <c:v>0.13996836145622954</c:v>
              </c:pt>
              <c:pt idx="2931">
                <c:v>0</c:v>
              </c:pt>
              <c:pt idx="2932">
                <c:v>0</c:v>
              </c:pt>
              <c:pt idx="2933">
                <c:v>0.13996836145622954</c:v>
              </c:pt>
              <c:pt idx="2934">
                <c:v>0.13996836145622954</c:v>
              </c:pt>
              <c:pt idx="2935">
                <c:v>0</c:v>
              </c:pt>
              <c:pt idx="2936">
                <c:v>0</c:v>
              </c:pt>
              <c:pt idx="2937">
                <c:v>0.13996836145622954</c:v>
              </c:pt>
              <c:pt idx="2938">
                <c:v>0.13996836145622954</c:v>
              </c:pt>
              <c:pt idx="2939">
                <c:v>0</c:v>
              </c:pt>
              <c:pt idx="2940">
                <c:v>0</c:v>
              </c:pt>
              <c:pt idx="2941">
                <c:v>0.13996836145622954</c:v>
              </c:pt>
              <c:pt idx="2942">
                <c:v>0.13996836145622954</c:v>
              </c:pt>
              <c:pt idx="2943">
                <c:v>0</c:v>
              </c:pt>
              <c:pt idx="2944">
                <c:v>0</c:v>
              </c:pt>
              <c:pt idx="2945">
                <c:v>0.13996836145622954</c:v>
              </c:pt>
              <c:pt idx="2946">
                <c:v>0.13996836145622954</c:v>
              </c:pt>
              <c:pt idx="2947">
                <c:v>0</c:v>
              </c:pt>
              <c:pt idx="2948">
                <c:v>0</c:v>
              </c:pt>
              <c:pt idx="2949">
                <c:v>0.13996836145622954</c:v>
              </c:pt>
              <c:pt idx="2950">
                <c:v>0.13996836145622954</c:v>
              </c:pt>
              <c:pt idx="2951">
                <c:v>0</c:v>
              </c:pt>
              <c:pt idx="2952">
                <c:v>0</c:v>
              </c:pt>
              <c:pt idx="2953">
                <c:v>0.13996836145622954</c:v>
              </c:pt>
              <c:pt idx="2954">
                <c:v>0.13996836145622954</c:v>
              </c:pt>
              <c:pt idx="2955">
                <c:v>0</c:v>
              </c:pt>
              <c:pt idx="2956">
                <c:v>0.13996836145622954</c:v>
              </c:pt>
              <c:pt idx="2957">
                <c:v>0</c:v>
              </c:pt>
              <c:pt idx="2960">
                <c:v>0</c:v>
              </c:pt>
              <c:pt idx="2961">
                <c:v>0.06998418072811477</c:v>
              </c:pt>
              <c:pt idx="2962">
                <c:v>0.06998418072811477</c:v>
              </c:pt>
              <c:pt idx="2963">
                <c:v>0</c:v>
              </c:pt>
              <c:pt idx="2964">
                <c:v>0</c:v>
              </c:pt>
              <c:pt idx="2965">
                <c:v>0.06998418072811477</c:v>
              </c:pt>
              <c:pt idx="2966">
                <c:v>0.06998418072811477</c:v>
              </c:pt>
              <c:pt idx="2967">
                <c:v>0</c:v>
              </c:pt>
              <c:pt idx="2968">
                <c:v>0</c:v>
              </c:pt>
              <c:pt idx="2969">
                <c:v>0.06998418072811477</c:v>
              </c:pt>
              <c:pt idx="2970">
                <c:v>0.06998418072811477</c:v>
              </c:pt>
              <c:pt idx="2971">
                <c:v>0</c:v>
              </c:pt>
              <c:pt idx="2972">
                <c:v>0</c:v>
              </c:pt>
              <c:pt idx="2973">
                <c:v>0.06998418072811477</c:v>
              </c:pt>
              <c:pt idx="2974">
                <c:v>0.06998418072811477</c:v>
              </c:pt>
              <c:pt idx="2975">
                <c:v>0</c:v>
              </c:pt>
              <c:pt idx="2976">
                <c:v>0</c:v>
              </c:pt>
              <c:pt idx="2977">
                <c:v>0.06998418072811477</c:v>
              </c:pt>
              <c:pt idx="2978">
                <c:v>0.06998418072811477</c:v>
              </c:pt>
              <c:pt idx="2979">
                <c:v>0</c:v>
              </c:pt>
              <c:pt idx="2980">
                <c:v>0</c:v>
              </c:pt>
              <c:pt idx="2981">
                <c:v>0.06998418072811477</c:v>
              </c:pt>
              <c:pt idx="2982">
                <c:v>0.06998418072811477</c:v>
              </c:pt>
              <c:pt idx="2983">
                <c:v>0</c:v>
              </c:pt>
              <c:pt idx="2984">
                <c:v>0</c:v>
              </c:pt>
              <c:pt idx="2985">
                <c:v>0.06998418072811477</c:v>
              </c:pt>
              <c:pt idx="2986">
                <c:v>0.06998418072811477</c:v>
              </c:pt>
              <c:pt idx="2987">
                <c:v>0</c:v>
              </c:pt>
              <c:pt idx="2988">
                <c:v>0</c:v>
              </c:pt>
              <c:pt idx="2989">
                <c:v>0.06998418072811477</c:v>
              </c:pt>
              <c:pt idx="2990">
                <c:v>0.06998418072811477</c:v>
              </c:pt>
              <c:pt idx="2991">
                <c:v>0</c:v>
              </c:pt>
              <c:pt idx="2992">
                <c:v>0</c:v>
              </c:pt>
              <c:pt idx="2993">
                <c:v>0.06998418072811477</c:v>
              </c:pt>
              <c:pt idx="2994">
                <c:v>0.06998418072811477</c:v>
              </c:pt>
              <c:pt idx="2995">
                <c:v>0</c:v>
              </c:pt>
              <c:pt idx="2996">
                <c:v>0</c:v>
              </c:pt>
              <c:pt idx="2997">
                <c:v>0.06998418072811477</c:v>
              </c:pt>
              <c:pt idx="2998">
                <c:v>0.06998418072811477</c:v>
              </c:pt>
              <c:pt idx="2999">
                <c:v>0</c:v>
              </c:pt>
              <c:pt idx="3000">
                <c:v>0</c:v>
              </c:pt>
              <c:pt idx="3001">
                <c:v>0.06998418072811477</c:v>
              </c:pt>
              <c:pt idx="3002">
                <c:v>0.06998418072811477</c:v>
              </c:pt>
              <c:pt idx="3003">
                <c:v>0</c:v>
              </c:pt>
              <c:pt idx="3004">
                <c:v>0</c:v>
              </c:pt>
              <c:pt idx="3005">
                <c:v>0.06998418072811477</c:v>
              </c:pt>
              <c:pt idx="3006">
                <c:v>0.06998418072811477</c:v>
              </c:pt>
              <c:pt idx="3007">
                <c:v>0</c:v>
              </c:pt>
              <c:pt idx="3008">
                <c:v>0</c:v>
              </c:pt>
              <c:pt idx="3009">
                <c:v>0.06998418072811477</c:v>
              </c:pt>
              <c:pt idx="3010">
                <c:v>0.06998418072811477</c:v>
              </c:pt>
              <c:pt idx="3011">
                <c:v>0</c:v>
              </c:pt>
              <c:pt idx="3012">
                <c:v>0</c:v>
              </c:pt>
              <c:pt idx="3013">
                <c:v>0.06998418072811477</c:v>
              </c:pt>
              <c:pt idx="3014">
                <c:v>0.06998418072811477</c:v>
              </c:pt>
              <c:pt idx="3015">
                <c:v>0</c:v>
              </c:pt>
              <c:pt idx="3016">
                <c:v>0</c:v>
              </c:pt>
              <c:pt idx="3017">
                <c:v>0.06998418072811477</c:v>
              </c:pt>
              <c:pt idx="3018">
                <c:v>0.06998418072811477</c:v>
              </c:pt>
              <c:pt idx="3019">
                <c:v>0</c:v>
              </c:pt>
              <c:pt idx="3020">
                <c:v>0</c:v>
              </c:pt>
              <c:pt idx="3021">
                <c:v>0.06998418072811477</c:v>
              </c:pt>
              <c:pt idx="3022">
                <c:v>0.06998418072811477</c:v>
              </c:pt>
              <c:pt idx="3023">
                <c:v>0</c:v>
              </c:pt>
              <c:pt idx="3024">
                <c:v>0</c:v>
              </c:pt>
              <c:pt idx="3025">
                <c:v>0.06998418072811477</c:v>
              </c:pt>
              <c:pt idx="3026">
                <c:v>0.06998418072811477</c:v>
              </c:pt>
              <c:pt idx="3027">
                <c:v>0</c:v>
              </c:pt>
              <c:pt idx="3028">
                <c:v>0</c:v>
              </c:pt>
              <c:pt idx="3029">
                <c:v>0.06998418072811477</c:v>
              </c:pt>
              <c:pt idx="3030">
                <c:v>0.06998418072811477</c:v>
              </c:pt>
              <c:pt idx="3031">
                <c:v>0</c:v>
              </c:pt>
              <c:pt idx="3032">
                <c:v>0</c:v>
              </c:pt>
              <c:pt idx="3033">
                <c:v>0.06998418072811477</c:v>
              </c:pt>
              <c:pt idx="3034">
                <c:v>0.06998418072811477</c:v>
              </c:pt>
              <c:pt idx="3035">
                <c:v>0</c:v>
              </c:pt>
              <c:pt idx="3036">
                <c:v>0</c:v>
              </c:pt>
              <c:pt idx="3037">
                <c:v>0.06998418072811477</c:v>
              </c:pt>
              <c:pt idx="3038">
                <c:v>0.06998418072811477</c:v>
              </c:pt>
              <c:pt idx="3039">
                <c:v>0</c:v>
              </c:pt>
              <c:pt idx="3040">
                <c:v>0</c:v>
              </c:pt>
              <c:pt idx="3041">
                <c:v>0.06998418072811477</c:v>
              </c:pt>
              <c:pt idx="3042">
                <c:v>0.06998418072811477</c:v>
              </c:pt>
              <c:pt idx="3043">
                <c:v>0</c:v>
              </c:pt>
              <c:pt idx="3044">
                <c:v>0</c:v>
              </c:pt>
              <c:pt idx="3045">
                <c:v>0.06998418072811477</c:v>
              </c:pt>
              <c:pt idx="3046">
                <c:v>0.06998418072811477</c:v>
              </c:pt>
              <c:pt idx="3047">
                <c:v>0</c:v>
              </c:pt>
              <c:pt idx="3048">
                <c:v>0</c:v>
              </c:pt>
              <c:pt idx="3049">
                <c:v>0.06998418072811477</c:v>
              </c:pt>
              <c:pt idx="3050">
                <c:v>0.06998418072811477</c:v>
              </c:pt>
              <c:pt idx="3051">
                <c:v>0</c:v>
              </c:pt>
              <c:pt idx="3052">
                <c:v>0</c:v>
              </c:pt>
              <c:pt idx="3053">
                <c:v>0.06998418072811477</c:v>
              </c:pt>
              <c:pt idx="3054">
                <c:v>0.06998418072811477</c:v>
              </c:pt>
              <c:pt idx="3055">
                <c:v>0</c:v>
              </c:pt>
              <c:pt idx="3056">
                <c:v>0</c:v>
              </c:pt>
              <c:pt idx="3057">
                <c:v>0.06998418072811477</c:v>
              </c:pt>
              <c:pt idx="3058">
                <c:v>0.06998418072811477</c:v>
              </c:pt>
              <c:pt idx="3059">
                <c:v>0</c:v>
              </c:pt>
              <c:pt idx="3060">
                <c:v>0</c:v>
              </c:pt>
              <c:pt idx="3061">
                <c:v>0.06998418072811477</c:v>
              </c:pt>
              <c:pt idx="3062">
                <c:v>0.06998418072811477</c:v>
              </c:pt>
              <c:pt idx="3063">
                <c:v>0</c:v>
              </c:pt>
              <c:pt idx="3064">
                <c:v>0</c:v>
              </c:pt>
              <c:pt idx="3065">
                <c:v>0.06998418072811477</c:v>
              </c:pt>
              <c:pt idx="3066">
                <c:v>0.06998418072811477</c:v>
              </c:pt>
              <c:pt idx="3067">
                <c:v>0</c:v>
              </c:pt>
              <c:pt idx="3068">
                <c:v>0</c:v>
              </c:pt>
              <c:pt idx="3069">
                <c:v>0.06998418072811477</c:v>
              </c:pt>
              <c:pt idx="3070">
                <c:v>0.06998418072811477</c:v>
              </c:pt>
              <c:pt idx="3071">
                <c:v>0</c:v>
              </c:pt>
              <c:pt idx="3072">
                <c:v>0</c:v>
              </c:pt>
              <c:pt idx="3073">
                <c:v>0.06998418072811477</c:v>
              </c:pt>
              <c:pt idx="3074">
                <c:v>0.06998418072811477</c:v>
              </c:pt>
              <c:pt idx="3075">
                <c:v>0</c:v>
              </c:pt>
              <c:pt idx="3076">
                <c:v>0</c:v>
              </c:pt>
              <c:pt idx="3077">
                <c:v>0.06998418072811477</c:v>
              </c:pt>
              <c:pt idx="3078">
                <c:v>0.06998418072811477</c:v>
              </c:pt>
              <c:pt idx="3079">
                <c:v>0</c:v>
              </c:pt>
              <c:pt idx="3080">
                <c:v>0</c:v>
              </c:pt>
              <c:pt idx="3081">
                <c:v>0.06998418072811477</c:v>
              </c:pt>
              <c:pt idx="3082">
                <c:v>0.06998418072811477</c:v>
              </c:pt>
              <c:pt idx="3083">
                <c:v>0</c:v>
              </c:pt>
              <c:pt idx="3084">
                <c:v>0</c:v>
              </c:pt>
              <c:pt idx="3085">
                <c:v>0.06998418072811477</c:v>
              </c:pt>
              <c:pt idx="3086">
                <c:v>0.06998418072811477</c:v>
              </c:pt>
              <c:pt idx="3087">
                <c:v>0</c:v>
              </c:pt>
              <c:pt idx="3088">
                <c:v>0</c:v>
              </c:pt>
              <c:pt idx="3089">
                <c:v>0.06998418072811477</c:v>
              </c:pt>
              <c:pt idx="3090">
                <c:v>0.06998418072811477</c:v>
              </c:pt>
              <c:pt idx="3091">
                <c:v>0</c:v>
              </c:pt>
              <c:pt idx="3092">
                <c:v>0</c:v>
              </c:pt>
              <c:pt idx="3093">
                <c:v>0.06998418072811477</c:v>
              </c:pt>
              <c:pt idx="3094">
                <c:v>0.06998418072811477</c:v>
              </c:pt>
              <c:pt idx="3095">
                <c:v>0</c:v>
              </c:pt>
              <c:pt idx="3096">
                <c:v>0</c:v>
              </c:pt>
              <c:pt idx="3097">
                <c:v>0.06998418072811477</c:v>
              </c:pt>
              <c:pt idx="3098">
                <c:v>0.06998418072811477</c:v>
              </c:pt>
              <c:pt idx="3099">
                <c:v>0</c:v>
              </c:pt>
              <c:pt idx="3100">
                <c:v>0</c:v>
              </c:pt>
              <c:pt idx="3101">
                <c:v>0.06998418072811477</c:v>
              </c:pt>
              <c:pt idx="3102">
                <c:v>0.06998418072811477</c:v>
              </c:pt>
              <c:pt idx="3103">
                <c:v>0</c:v>
              </c:pt>
              <c:pt idx="3104">
                <c:v>0.06998418072811477</c:v>
              </c:pt>
              <c:pt idx="3105">
                <c:v>0</c:v>
              </c:pt>
            </c:numLit>
          </c:yVal>
          <c:smooth val="0"/>
        </c:ser>
        <c:ser>
          <c:idx val="3"/>
          <c:order val="3"/>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65"/>
              <c:pt idx="0">
                <c:v>0.1761763095855713</c:v>
              </c:pt>
              <c:pt idx="1">
                <c:v>0.1761763095855713</c:v>
              </c:pt>
              <c:pt idx="2">
                <c:v>0.1761763095855713</c:v>
              </c:pt>
              <c:pt idx="3">
                <c:v>0.18760746433621361</c:v>
              </c:pt>
              <c:pt idx="4">
                <c:v>0.18760746433621361</c:v>
              </c:pt>
              <c:pt idx="5">
                <c:v>0.18760746433621361</c:v>
              </c:pt>
              <c:pt idx="6">
                <c:v>0.19903861908685594</c:v>
              </c:pt>
              <c:pt idx="7">
                <c:v>0.19903861908685594</c:v>
              </c:pt>
              <c:pt idx="8">
                <c:v>0.19903861908685594</c:v>
              </c:pt>
              <c:pt idx="9">
                <c:v>0.21046977383749826</c:v>
              </c:pt>
              <c:pt idx="10">
                <c:v>0.21046977383749826</c:v>
              </c:pt>
              <c:pt idx="11">
                <c:v>0.21046977383749826</c:v>
              </c:pt>
              <c:pt idx="12">
                <c:v>0.2219009285881406</c:v>
              </c:pt>
              <c:pt idx="13">
                <c:v>0.2219009285881406</c:v>
              </c:pt>
              <c:pt idx="14">
                <c:v>0.2219009285881406</c:v>
              </c:pt>
              <c:pt idx="15">
                <c:v>0.23333208333878291</c:v>
              </c:pt>
              <c:pt idx="16">
                <c:v>0.23333208333878291</c:v>
              </c:pt>
              <c:pt idx="17">
                <c:v>0.23333208333878291</c:v>
              </c:pt>
              <c:pt idx="18">
                <c:v>0.2447632380894252</c:v>
              </c:pt>
              <c:pt idx="19">
                <c:v>0.2447632380894252</c:v>
              </c:pt>
              <c:pt idx="20">
                <c:v>0.2447632380894252</c:v>
              </c:pt>
              <c:pt idx="21">
                <c:v>0.25619439284006756</c:v>
              </c:pt>
              <c:pt idx="22">
                <c:v>0.25619439284006756</c:v>
              </c:pt>
              <c:pt idx="23">
                <c:v>0.25619439284006756</c:v>
              </c:pt>
              <c:pt idx="24">
                <c:v>0.2676255475907099</c:v>
              </c:pt>
              <c:pt idx="25">
                <c:v>0.2676255475907099</c:v>
              </c:pt>
              <c:pt idx="26">
                <c:v>0.2676255475907099</c:v>
              </c:pt>
              <c:pt idx="27">
                <c:v>0.2790567023413522</c:v>
              </c:pt>
              <c:pt idx="28">
                <c:v>0.2790567023413522</c:v>
              </c:pt>
              <c:pt idx="29">
                <c:v>0.2790567023413522</c:v>
              </c:pt>
              <c:pt idx="30">
                <c:v>0.29048785709199454</c:v>
              </c:pt>
              <c:pt idx="31">
                <c:v>0.29048785709199454</c:v>
              </c:pt>
              <c:pt idx="32">
                <c:v>0.29048785709199454</c:v>
              </c:pt>
              <c:pt idx="33">
                <c:v>0.3019190118426368</c:v>
              </c:pt>
              <c:pt idx="34">
                <c:v>0.3019190118426368</c:v>
              </c:pt>
              <c:pt idx="35">
                <c:v>0.3019190118426368</c:v>
              </c:pt>
              <c:pt idx="36">
                <c:v>0.31335016659327913</c:v>
              </c:pt>
              <c:pt idx="37">
                <c:v>0.31335016659327913</c:v>
              </c:pt>
              <c:pt idx="38">
                <c:v>0.31335016659327913</c:v>
              </c:pt>
              <c:pt idx="39">
                <c:v>0.32478132134392146</c:v>
              </c:pt>
              <c:pt idx="40">
                <c:v>0.32478132134392146</c:v>
              </c:pt>
              <c:pt idx="41">
                <c:v>0.32478132134392146</c:v>
              </c:pt>
              <c:pt idx="42">
                <c:v>0.3362124760945638</c:v>
              </c:pt>
              <c:pt idx="43">
                <c:v>0.3362124760945638</c:v>
              </c:pt>
              <c:pt idx="44">
                <c:v>0.3362124760945638</c:v>
              </c:pt>
              <c:pt idx="45">
                <c:v>0.3476436308452061</c:v>
              </c:pt>
              <c:pt idx="46">
                <c:v>0.3476436308452061</c:v>
              </c:pt>
              <c:pt idx="47">
                <c:v>0.3476436308452061</c:v>
              </c:pt>
              <c:pt idx="48">
                <c:v>0.35907478559584843</c:v>
              </c:pt>
              <c:pt idx="49">
                <c:v>0.35907478559584843</c:v>
              </c:pt>
              <c:pt idx="50">
                <c:v>0.35907478559584843</c:v>
              </c:pt>
              <c:pt idx="51">
                <c:v>0.37050594034649076</c:v>
              </c:pt>
              <c:pt idx="52">
                <c:v>0.37050594034649076</c:v>
              </c:pt>
              <c:pt idx="53">
                <c:v>0.37050594034649076</c:v>
              </c:pt>
              <c:pt idx="54">
                <c:v>0.3819370950971331</c:v>
              </c:pt>
              <c:pt idx="55">
                <c:v>0.3819370950971331</c:v>
              </c:pt>
              <c:pt idx="56">
                <c:v>0.3819370950971331</c:v>
              </c:pt>
              <c:pt idx="57">
                <c:v>0.3933682498477754</c:v>
              </c:pt>
              <c:pt idx="58">
                <c:v>0.3933682498477754</c:v>
              </c:pt>
              <c:pt idx="59">
                <c:v>0.3933682498477754</c:v>
              </c:pt>
              <c:pt idx="60">
                <c:v>0.40479940459841773</c:v>
              </c:pt>
              <c:pt idx="61">
                <c:v>0.40479940459841773</c:v>
              </c:pt>
              <c:pt idx="62">
                <c:v>0.40479940459841773</c:v>
              </c:pt>
              <c:pt idx="63">
                <c:v>0.41623055934906006</c:v>
              </c:pt>
              <c:pt idx="64">
                <c:v>0.41623055934906006</c:v>
              </c:pt>
            </c:numLit>
          </c:xVal>
          <c:yVal>
            <c:numLit>
              <c:ptCount val="65"/>
              <c:pt idx="0">
                <c:v>0</c:v>
              </c:pt>
              <c:pt idx="1">
                <c:v>0</c:v>
              </c:pt>
              <c:pt idx="2">
                <c:v>0.05248813554608607</c:v>
              </c:pt>
              <c:pt idx="3">
                <c:v>0.05248813554608607</c:v>
              </c:pt>
              <c:pt idx="4">
                <c:v>0</c:v>
              </c:pt>
              <c:pt idx="5">
                <c:v>0.15746440663825823</c:v>
              </c:pt>
              <c:pt idx="6">
                <c:v>0.15746440663825823</c:v>
              </c:pt>
              <c:pt idx="7">
                <c:v>0</c:v>
              </c:pt>
              <c:pt idx="8">
                <c:v>0.33242485845854514</c:v>
              </c:pt>
              <c:pt idx="9">
                <c:v>0.33242485845854514</c:v>
              </c:pt>
              <c:pt idx="10">
                <c:v>0</c:v>
              </c:pt>
              <c:pt idx="11">
                <c:v>0.5598734458249182</c:v>
              </c:pt>
              <c:pt idx="12">
                <c:v>0.5598734458249182</c:v>
              </c:pt>
              <c:pt idx="13">
                <c:v>0</c:v>
              </c:pt>
              <c:pt idx="14">
                <c:v>1.8545807892950414</c:v>
              </c:pt>
              <c:pt idx="15">
                <c:v>1.8545807892950414</c:v>
              </c:pt>
              <c:pt idx="16">
                <c:v>0</c:v>
              </c:pt>
              <c:pt idx="17">
                <c:v>2.9918237261269063</c:v>
              </c:pt>
              <c:pt idx="18">
                <c:v>2.9918237261269063</c:v>
              </c:pt>
              <c:pt idx="19">
                <c:v>0</c:v>
              </c:pt>
              <c:pt idx="20">
                <c:v>4.199050843686886</c:v>
              </c:pt>
              <c:pt idx="21">
                <c:v>4.199050843686886</c:v>
              </c:pt>
              <c:pt idx="22">
                <c:v>0</c:v>
              </c:pt>
              <c:pt idx="23">
                <c:v>6.281080220348301</c:v>
              </c:pt>
              <c:pt idx="24">
                <c:v>6.281080220348301</c:v>
              </c:pt>
              <c:pt idx="25">
                <c:v>0</c:v>
              </c:pt>
              <c:pt idx="26">
                <c:v>7.9607005578230545</c:v>
              </c:pt>
              <c:pt idx="27">
                <c:v>7.9607005578230545</c:v>
              </c:pt>
              <c:pt idx="28">
                <c:v>0</c:v>
              </c:pt>
              <c:pt idx="29">
                <c:v>9.412872307931437</c:v>
              </c:pt>
              <c:pt idx="30">
                <c:v>9.412872307931437</c:v>
              </c:pt>
              <c:pt idx="31">
                <c:v>0</c:v>
              </c:pt>
              <c:pt idx="32">
                <c:v>10.427642928489101</c:v>
              </c:pt>
              <c:pt idx="33">
                <c:v>10.427642928489101</c:v>
              </c:pt>
              <c:pt idx="34">
                <c:v>0</c:v>
              </c:pt>
              <c:pt idx="35">
                <c:v>10.480131064035186</c:v>
              </c:pt>
              <c:pt idx="36">
                <c:v>10.480131064035186</c:v>
              </c:pt>
              <c:pt idx="37">
                <c:v>0</c:v>
              </c:pt>
              <c:pt idx="38">
                <c:v>9.377880217567379</c:v>
              </c:pt>
              <c:pt idx="39">
                <c:v>9.377880217567379</c:v>
              </c:pt>
              <c:pt idx="40">
                <c:v>0</c:v>
              </c:pt>
              <c:pt idx="41">
                <c:v>7.978196603005084</c:v>
              </c:pt>
              <c:pt idx="42">
                <c:v>7.978196603005084</c:v>
              </c:pt>
              <c:pt idx="43">
                <c:v>0</c:v>
              </c:pt>
              <c:pt idx="44">
                <c:v>6.141111858892071</c:v>
              </c:pt>
              <c:pt idx="45">
                <c:v>6.141111858892071</c:v>
              </c:pt>
              <c:pt idx="46">
                <c:v>0</c:v>
              </c:pt>
              <c:pt idx="47">
                <c:v>4.076578527412686</c:v>
              </c:pt>
              <c:pt idx="48">
                <c:v>4.076578527412686</c:v>
              </c:pt>
              <c:pt idx="49">
                <c:v>0</c:v>
              </c:pt>
              <c:pt idx="50">
                <c:v>2.834359319488648</c:v>
              </c:pt>
              <c:pt idx="51">
                <c:v>2.834359319488648</c:v>
              </c:pt>
              <c:pt idx="52">
                <c:v>0</c:v>
              </c:pt>
              <c:pt idx="53">
                <c:v>1.3996836145622955</c:v>
              </c:pt>
              <c:pt idx="54">
                <c:v>1.3996836145622955</c:v>
              </c:pt>
              <c:pt idx="55">
                <c:v>0</c:v>
              </c:pt>
              <c:pt idx="56">
                <c:v>0.7523299428272338</c:v>
              </c:pt>
              <c:pt idx="57">
                <c:v>0.7523299428272338</c:v>
              </c:pt>
              <c:pt idx="58">
                <c:v>0</c:v>
              </c:pt>
              <c:pt idx="59">
                <c:v>0.13996836145622954</c:v>
              </c:pt>
              <c:pt idx="60">
                <c:v>0.13996836145622954</c:v>
              </c:pt>
              <c:pt idx="61">
                <c:v>0</c:v>
              </c:pt>
              <c:pt idx="62">
                <c:v>0.06998418072811477</c:v>
              </c:pt>
              <c:pt idx="63">
                <c:v>0.06998418072811477</c:v>
              </c:pt>
              <c:pt idx="64">
                <c:v>0</c:v>
              </c:pt>
            </c:numLit>
          </c:yVal>
          <c:smooth val="0"/>
        </c:ser>
        <c:ser>
          <c:idx val="4"/>
          <c:order val="4"/>
          <c:tx>
            <c:v>meanLabel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Lit>
              <c:ptCount val="1"/>
              <c:pt idx="0">
                <c:v>0.30104178190231323</c:v>
              </c:pt>
            </c:numLit>
          </c:xVal>
          <c:yVal>
            <c:numLit>
              <c:ptCount val="1"/>
              <c:pt idx="0">
                <c:v>0</c:v>
              </c:pt>
            </c:numLit>
          </c:yVal>
          <c:smooth val="0"/>
        </c:ser>
        <c:ser>
          <c:idx val="5"/>
          <c:order val="5"/>
          <c:tx>
            <c:v>xDelimiter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
                <c:rich>
                  <a:bodyPr vert="horz" rot="0" anchor="ctr"/>
                  <a:lstStyle/>
                  <a:p>
                    <a:pPr algn="ctr">
                      <a:defRPr/>
                    </a:pPr>
                    <a:r>
                      <a:rPr lang="en-US" cap="none" sz="775" b="0" i="0" u="none" baseline="0">
                        <a:latin typeface="Arial"/>
                        <a:ea typeface="Arial"/>
                        <a:cs typeface="Arial"/>
                      </a:rPr>
                      <a:t>X &lt;=0.24
5%</a:t>
                    </a:r>
                  </a:p>
                </c:rich>
              </c:tx>
              <c:numFmt formatCode="General" sourceLinked="1"/>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775" b="0" i="0" u="none" baseline="0">
                        <a:latin typeface="Arial"/>
                        <a:ea typeface="Arial"/>
                        <a:cs typeface="Arial"/>
                      </a:rPr>
                      <a:t>X &lt;=0.36
95%</a:t>
                    </a:r>
                  </a:p>
                </c:rich>
              </c:tx>
              <c:numFmt formatCode="General" sourceLinked="1"/>
              <c:showLegendKey val="0"/>
              <c:showVal val="1"/>
              <c:showBubbleSize val="0"/>
              <c:showCatName val="0"/>
              <c:showSerName val="0"/>
              <c:showPercent val="0"/>
            </c:dLbl>
            <c:delete val="1"/>
          </c:dLbls>
          <c:errBars>
            <c:errDir val="y"/>
            <c:errBarType val="plus"/>
            <c:errValType val="fixedVal"/>
            <c:val val="12"/>
            <c:noEndCap val="0"/>
            <c:spPr>
              <a:ln w="25400">
                <a:solidFill>
                  <a:srgbClr val="C0C0C0"/>
                </a:solidFill>
              </a:ln>
            </c:spPr>
          </c:errBars>
          <c:xVal>
            <c:strLit>
              <c:ptCount val="3"/>
              <c:pt idx="0">
                <c:v>0.2393154501914978</c:v>
              </c:pt>
              <c:pt idx="1">
                <c:v>0.36218732595443726</c:v>
              </c:pt>
            </c:strLit>
          </c:xVal>
          <c:yVal>
            <c:numLit>
              <c:ptCount val="3"/>
              <c:pt idx="0">
                <c:v>0</c:v>
              </c:pt>
              <c:pt idx="1">
                <c:v>0</c:v>
              </c:pt>
            </c:numLit>
          </c:yVal>
          <c:smooth val="0"/>
        </c:ser>
        <c:axId val="59643677"/>
        <c:axId val="67031046"/>
      </c:scatterChart>
      <c:valAx>
        <c:axId val="59643677"/>
        <c:scaling>
          <c:orientation val="minMax"/>
          <c:max val="0.45"/>
          <c:min val="0.15"/>
        </c:scaling>
        <c:axPos val="b"/>
        <c:title>
          <c:tx>
            <c:rich>
              <a:bodyPr vert="horz" rot="0" anchor="ctr"/>
              <a:lstStyle/>
              <a:p>
                <a:pPr algn="ctr">
                  <a:defRPr/>
                </a:pPr>
                <a:r>
                  <a:rPr lang="en-US" cap="none" sz="1000" b="1" i="0" u="none" baseline="0">
                    <a:latin typeface="Arial"/>
                    <a:ea typeface="Arial"/>
                    <a:cs typeface="Arial"/>
                  </a:rPr>
                  <a:t> </a:t>
                </a:r>
              </a:p>
            </c:rich>
          </c:tx>
          <c:layout/>
          <c:overlay val="0"/>
          <c:spPr>
            <a:noFill/>
            <a:ln>
              <a:noFill/>
            </a:ln>
          </c:spPr>
        </c:title>
        <c:delete val="0"/>
        <c:numFmt formatCode="0%" sourceLinked="0"/>
        <c:majorTickMark val="cross"/>
        <c:minorTickMark val="none"/>
        <c:tickLblPos val="nextTo"/>
        <c:txPr>
          <a:bodyPr vert="horz" rot="0"/>
          <a:lstStyle/>
          <a:p>
            <a:pPr>
              <a:defRPr lang="en-US" cap="none" sz="800" b="0" i="0" u="none" baseline="0">
                <a:latin typeface="Arial"/>
                <a:ea typeface="Arial"/>
                <a:cs typeface="Arial"/>
              </a:defRPr>
            </a:pPr>
          </a:p>
        </c:txPr>
        <c:crossAx val="67031046"/>
        <c:crossesAt val="0"/>
        <c:crossBetween val="midCat"/>
        <c:dispUnits/>
        <c:majorUnit val="0.07500000000000001"/>
      </c:valAx>
      <c:valAx>
        <c:axId val="67031046"/>
        <c:scaling>
          <c:orientation val="minMax"/>
          <c:max val="12"/>
          <c:min val="0"/>
        </c:scaling>
        <c:axPos val="l"/>
        <c:title>
          <c:tx>
            <c:rich>
              <a:bodyPr vert="horz" rot="-5400000" anchor="ctr"/>
              <a:lstStyle/>
              <a:p>
                <a:pPr algn="ctr">
                  <a:defRPr/>
                </a:pPr>
                <a:r>
                  <a:rPr lang="en-US" cap="none" sz="1000" b="1" i="0" u="none" baseline="0">
                    <a:latin typeface="Arial"/>
                    <a:ea typeface="Arial"/>
                    <a:cs typeface="Arial"/>
                  </a:rPr>
                  <a:t> </a:t>
                </a:r>
              </a:p>
            </c:rich>
          </c:tx>
          <c:layout/>
          <c:overlay val="0"/>
          <c:spPr>
            <a:noFill/>
            <a:ln>
              <a:noFill/>
            </a:ln>
          </c:spPr>
        </c:title>
        <c:delete val="0"/>
        <c:numFmt formatCode="General" sourceLinked="0"/>
        <c:majorTickMark val="cross"/>
        <c:minorTickMark val="none"/>
        <c:tickLblPos val="nextTo"/>
        <c:txPr>
          <a:bodyPr vert="horz" rot="0"/>
          <a:lstStyle/>
          <a:p>
            <a:pPr>
              <a:defRPr lang="en-US" cap="none" sz="800" b="0" i="0" u="none" baseline="0">
                <a:latin typeface="Arial"/>
                <a:ea typeface="Arial"/>
                <a:cs typeface="Arial"/>
              </a:defRPr>
            </a:pPr>
          </a:p>
        </c:txPr>
        <c:crossAx val="59643677"/>
        <c:crossesAt val="0.15"/>
        <c:crossBetween val="midCat"/>
        <c:dispUnits/>
        <c:majorUnit val="2"/>
      </c:valAx>
      <c:spPr>
        <a:solidFill>
          <a:srgbClr val="FFFFFF"/>
        </a:solidFill>
        <a:ln w="12700">
          <a:solidFill>
            <a:srgbClr val="808080"/>
          </a:solidFill>
        </a:ln>
      </c:spPr>
    </c:plotArea>
    <c:plotVisOnly val="1"/>
    <c:dispBlanksAs val="gap"/>
    <c:showDLblsOverMax val="0"/>
  </c:chart>
  <c:spPr>
    <a:solidFill>
      <a:srgbClr val="FFFFFF"/>
    </a:solidFill>
  </c:spPr>
  <c:txPr>
    <a:bodyPr vert="horz" rot="0"/>
    <a:lstStyle/>
    <a:p>
      <a:pPr>
        <a:defRPr lang="en-US" cap="none" sz="11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Figure 5.12: Freight Traffic Projections</a:t>
            </a:r>
          </a:p>
        </c:rich>
      </c:tx>
      <c:layout/>
      <c:spPr>
        <a:noFill/>
        <a:ln>
          <a:noFill/>
        </a:ln>
      </c:spPr>
    </c:title>
    <c:plotArea>
      <c:layout/>
      <c:barChart>
        <c:barDir val="col"/>
        <c:grouping val="stacked"/>
        <c:varyColors val="0"/>
        <c:ser>
          <c:idx val="0"/>
          <c:order val="0"/>
          <c:tx>
            <c:strRef>
              <c:f>'Income Statements &amp; GDP Impact'!$Y$67</c:f>
              <c:strCache>
                <c:ptCount val="1"/>
                <c:pt idx="0">
                  <c:v>Base Case ("Without Project")</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'Income Statements &amp; GDP Impact'!$Z$66:$AT$66</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cat>
          <c:val>
            <c:numRef>
              <c:f>'Income Statements &amp; GDP Impact'!$Z$67:$AT$67</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1"/>
          <c:order val="1"/>
          <c:tx>
            <c:strRef>
              <c:f>'Income Statements &amp; GDP Impact'!$Y$68</c:f>
              <c:strCache>
                <c:ptCount val="1"/>
                <c:pt idx="0">
                  <c:v>Incremental Traffic</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'Income Statements &amp; GDP Impact'!$Z$66:$AT$66</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cat>
          <c:val>
            <c:numRef>
              <c:f>'Income Statements &amp; GDP Impact'!$Z$68:$AT$68</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overlap val="100"/>
        <c:axId val="66408503"/>
        <c:axId val="60805616"/>
      </c:barChart>
      <c:catAx>
        <c:axId val="66408503"/>
        <c:scaling>
          <c:orientation val="minMax"/>
        </c:scaling>
        <c:axPos val="b"/>
        <c:title>
          <c:tx>
            <c:rich>
              <a:bodyPr vert="horz" rot="0" anchor="ctr"/>
              <a:lstStyle/>
              <a:p>
                <a:pPr algn="ctr">
                  <a:defRPr/>
                </a:pPr>
                <a:r>
                  <a:rPr lang="en-US" cap="none" sz="92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60805616"/>
        <c:crosses val="autoZero"/>
        <c:auto val="1"/>
        <c:lblOffset val="100"/>
        <c:noMultiLvlLbl val="0"/>
      </c:catAx>
      <c:valAx>
        <c:axId val="60805616"/>
        <c:scaling>
          <c:orientation val="minMax"/>
        </c:scaling>
        <c:axPos val="l"/>
        <c:title>
          <c:tx>
            <c:rich>
              <a:bodyPr vert="horz" rot="-5400000" anchor="ctr"/>
              <a:lstStyle/>
              <a:p>
                <a:pPr algn="ctr">
                  <a:defRPr/>
                </a:pPr>
                <a:r>
                  <a:rPr lang="en-US" cap="none" sz="925" b="1" i="0" u="none" baseline="0">
                    <a:latin typeface="Arial"/>
                    <a:ea typeface="Arial"/>
                    <a:cs typeface="Arial"/>
                  </a:rPr>
                  <a:t>Million Tons</a:t>
                </a:r>
              </a:p>
            </c:rich>
          </c:tx>
          <c:layout/>
          <c:overlay val="0"/>
          <c:spPr>
            <a:noFill/>
            <a:ln>
              <a:noFill/>
            </a:ln>
          </c:spPr>
        </c:title>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66408503"/>
        <c:crossesAt val="1"/>
        <c:crossBetween val="between"/>
        <c:dispUnits/>
        <c:majorUnit val="20"/>
        <c:minorUnit val="2"/>
      </c:valAx>
      <c:spPr>
        <a:noFill/>
        <a:ln>
          <a:noFill/>
        </a:ln>
      </c:spPr>
    </c:plotArea>
    <c:legend>
      <c:legendPos val="b"/>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Percentage increases in per capita income attributable to MCC rail project</a:t>
            </a:r>
          </a:p>
        </c:rich>
      </c:tx>
      <c:layout/>
      <c:spPr>
        <a:noFill/>
        <a:ln>
          <a:noFill/>
        </a:ln>
      </c:spPr>
    </c:title>
    <c:plotArea>
      <c:layout/>
      <c:scatterChart>
        <c:scatterStyle val="lineMarker"/>
        <c:varyColors val="0"/>
        <c:ser>
          <c:idx val="0"/>
          <c:order val="0"/>
          <c:tx>
            <c:strRef>
              <c:f>'Income Statements &amp; GDP Impact'!$A$478</c:f>
              <c:strCache>
                <c:ptCount val="1"/>
                <c:pt idx="0">
                  <c:v>Increment in real per capita GDP, Mongolia</c:v>
                </c:pt>
              </c:strCache>
            </c:strRef>
          </c:tx>
          <c:extLst>
            <c:ext xmlns:c14="http://schemas.microsoft.com/office/drawing/2007/8/2/chart" uri="{6F2FDCE9-48DA-4B69-8628-5D25D57E5C99}">
              <c14:invertSolidFillFmt>
                <c14:spPr>
                  <a:solidFill>
                    <a:srgbClr val="000000"/>
                  </a:solidFill>
                </c14:spPr>
              </c14:invertSolidFillFmt>
            </c:ext>
          </c:extLst>
          <c:xVal>
            <c:numRef>
              <c:f>'Income Statements &amp; GDP Impact'!$C$469:$W$469</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xVal>
          <c:yVal>
            <c:numRef>
              <c:f>'Income Statements &amp; GDP Impact'!$C$486:$W$486</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0"/>
        </c:ser>
        <c:ser>
          <c:idx val="1"/>
          <c:order val="1"/>
          <c:tx>
            <c:strRef>
              <c:f>'Income Statements &amp; GDP Impact'!$A$490</c:f>
              <c:strCache>
                <c:ptCount val="1"/>
                <c:pt idx="0">
                  <c:v>Increment in real per capita GDP, PIA</c:v>
                </c:pt>
              </c:strCache>
            </c:strRef>
          </c:tx>
          <c:extLst>
            <c:ext xmlns:c14="http://schemas.microsoft.com/office/drawing/2007/8/2/chart" uri="{6F2FDCE9-48DA-4B69-8628-5D25D57E5C99}">
              <c14:invertSolidFillFmt>
                <c14:spPr>
                  <a:solidFill>
                    <a:srgbClr val="000000"/>
                  </a:solidFill>
                </c14:spPr>
              </c14:invertSolidFillFmt>
            </c:ext>
          </c:extLst>
          <c:xVal>
            <c:numRef>
              <c:f>'Income Statements &amp; GDP Impact'!$C$469:$W$469</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xVal>
          <c:yVal>
            <c:numRef>
              <c:f>'Income Statements &amp; GDP Impact'!$C$491:$W$491</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0"/>
        </c:ser>
        <c:axId val="10379633"/>
        <c:axId val="26307834"/>
      </c:scatterChart>
      <c:valAx>
        <c:axId val="10379633"/>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26307834"/>
        <c:crosses val="autoZero"/>
        <c:crossBetween val="midCat"/>
        <c:dispUnits/>
      </c:valAx>
      <c:valAx>
        <c:axId val="26307834"/>
        <c:scaling>
          <c:orientation val="minMax"/>
        </c:scaling>
        <c:axPos val="l"/>
        <c:majorGridlines/>
        <c:delete val="0"/>
        <c:numFmt formatCode="General" sourceLinked="1"/>
        <c:majorTickMark val="out"/>
        <c:minorTickMark val="in"/>
        <c:tickLblPos val="nextTo"/>
        <c:crossAx val="10379633"/>
        <c:crosses val="autoZero"/>
        <c:crossBetween val="midCat"/>
        <c:dispUnits/>
        <c:minorUnit val="0.01"/>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Figure 5.12: Freight Traffic Projections</a:t>
            </a:r>
          </a:p>
        </c:rich>
      </c:tx>
      <c:layout/>
      <c:spPr>
        <a:noFill/>
        <a:ln>
          <a:noFill/>
        </a:ln>
      </c:spPr>
    </c:title>
    <c:plotArea>
      <c:layout/>
      <c:barChart>
        <c:barDir val="col"/>
        <c:grouping val="stacked"/>
        <c:varyColors val="0"/>
        <c:ser>
          <c:idx val="0"/>
          <c:order val="0"/>
          <c:tx>
            <c:v>Base Case ("Without Project")</c:v>
          </c:tx>
          <c:invertIfNegative val="0"/>
          <c:extLst>
            <c:ext xmlns:c14="http://schemas.microsoft.com/office/drawing/2007/8/2/chart" uri="{6F2FDCE9-48DA-4B69-8628-5D25D57E5C99}">
              <c14:invertSolidFillFmt>
                <c14:spPr>
                  <a:solidFill>
                    <a:srgbClr val="000000"/>
                  </a:solidFill>
                </c14:spPr>
              </c14:invertSolidFillFmt>
            </c:ext>
          </c:extLst>
          <c:cat>
            <c:numLit>
              <c:ptCount val="21"/>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numLit>
          </c:cat>
          <c:val>
            <c:numLit>
              <c:ptCount val="21"/>
              <c:pt idx="0">
                <c:v>16.1832</c:v>
              </c:pt>
              <c:pt idx="1">
                <c:v>17.30334649031487</c:v>
              </c:pt>
              <c:pt idx="2">
                <c:v>16.87391798311707</c:v>
              </c:pt>
              <c:pt idx="3">
                <c:v>16.2614761654753</c:v>
              </c:pt>
              <c:pt idx="4">
                <c:v>15.80491330331979</c:v>
              </c:pt>
              <c:pt idx="5">
                <c:v>15.5554566522143</c:v>
              </c:pt>
              <c:pt idx="6">
                <c:v>15.5554566522143</c:v>
              </c:pt>
              <c:pt idx="7">
                <c:v>15.5554566522143</c:v>
              </c:pt>
              <c:pt idx="8">
                <c:v>15.5554566522143</c:v>
              </c:pt>
              <c:pt idx="9">
                <c:v>15.5554566522143</c:v>
              </c:pt>
              <c:pt idx="10">
                <c:v>15.5554566522143</c:v>
              </c:pt>
              <c:pt idx="11">
                <c:v>15.5554566522143</c:v>
              </c:pt>
              <c:pt idx="12">
                <c:v>15.5554566522143</c:v>
              </c:pt>
              <c:pt idx="13">
                <c:v>15.5554566522143</c:v>
              </c:pt>
              <c:pt idx="14">
                <c:v>15.5554566522143</c:v>
              </c:pt>
              <c:pt idx="15">
                <c:v>15.5554566522143</c:v>
              </c:pt>
              <c:pt idx="16">
                <c:v>15.5554566522143</c:v>
              </c:pt>
              <c:pt idx="17">
                <c:v>15.5554566522143</c:v>
              </c:pt>
              <c:pt idx="18">
                <c:v>15.5554566522143</c:v>
              </c:pt>
              <c:pt idx="19">
                <c:v>15.5554566522143</c:v>
              </c:pt>
              <c:pt idx="20">
                <c:v>15.5554566522143</c:v>
              </c:pt>
            </c:numLit>
          </c:val>
        </c:ser>
        <c:ser>
          <c:idx val="1"/>
          <c:order val="1"/>
          <c:tx>
            <c:v>Incremental Traffic</c:v>
          </c:tx>
          <c:invertIfNegative val="0"/>
          <c:extLst>
            <c:ext xmlns:c14="http://schemas.microsoft.com/office/drawing/2007/8/2/chart" uri="{6F2FDCE9-48DA-4B69-8628-5D25D57E5C99}">
              <c14:invertSolidFillFmt>
                <c14:spPr>
                  <a:solidFill>
                    <a:srgbClr val="000000"/>
                  </a:solidFill>
                </c14:spPr>
              </c14:invertSolidFillFmt>
            </c:ext>
          </c:extLst>
          <c:cat>
            <c:numLit>
              <c:ptCount val="21"/>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numLit>
          </c:cat>
          <c:val>
            <c:numLit>
              <c:ptCount val="21"/>
              <c:pt idx="0">
                <c:v>0</c:v>
              </c:pt>
              <c:pt idx="1">
                <c:v>0</c:v>
              </c:pt>
              <c:pt idx="2">
                <c:v>1.68739179831171</c:v>
              </c:pt>
              <c:pt idx="3">
                <c:v>4.0653690413688235</c:v>
              </c:pt>
              <c:pt idx="4">
                <c:v>13.016479797412755</c:v>
              </c:pt>
              <c:pt idx="5">
                <c:v>16.61842441133294</c:v>
              </c:pt>
              <c:pt idx="6">
                <c:v>19.21382309995551</c:v>
              </c:pt>
              <c:pt idx="7">
                <c:v>21.89549452828891</c:v>
              </c:pt>
              <c:pt idx="8">
                <c:v>24.66661096694025</c:v>
              </c:pt>
              <c:pt idx="9">
                <c:v>27.53048353666497</c:v>
              </c:pt>
              <c:pt idx="10">
                <c:v>30.49056982209682</c:v>
              </c:pt>
              <c:pt idx="11">
                <c:v>33.55048199500603</c:v>
              </c:pt>
              <c:pt idx="12">
                <c:v>36.71399548566236</c:v>
              </c:pt>
              <c:pt idx="13">
                <c:v>39.98505824397896</c:v>
              </c:pt>
              <c:pt idx="14">
                <c:v>43.36780063546682</c:v>
              </c:pt>
              <c:pt idx="15">
                <c:v>46.86654602065933</c:v>
              </c:pt>
              <c:pt idx="16">
                <c:v>50.48582207059563</c:v>
              </c:pt>
              <c:pt idx="17">
                <c:v>54.23037287520406</c:v>
              </c:pt>
              <c:pt idx="18">
                <c:v>58.10517190602966</c:v>
              </c:pt>
              <c:pt idx="19">
                <c:v>62.11543589973339</c:v>
              </c:pt>
              <c:pt idx="20">
                <c:v>66.26663973418347</c:v>
              </c:pt>
            </c:numLit>
          </c:val>
        </c:ser>
        <c:overlap val="100"/>
        <c:axId val="35443915"/>
        <c:axId val="50559780"/>
      </c:barChart>
      <c:catAx>
        <c:axId val="35443915"/>
        <c:scaling>
          <c:orientation val="minMax"/>
        </c:scaling>
        <c:axPos val="b"/>
        <c:title>
          <c:tx>
            <c:rich>
              <a:bodyPr vert="horz" rot="0" anchor="ctr"/>
              <a:lstStyle/>
              <a:p>
                <a:pPr algn="ctr">
                  <a:defRPr/>
                </a:pPr>
                <a:r>
                  <a:rPr lang="en-US" cap="none" sz="92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50559780"/>
        <c:crosses val="autoZero"/>
        <c:auto val="1"/>
        <c:lblOffset val="100"/>
        <c:noMultiLvlLbl val="0"/>
      </c:catAx>
      <c:valAx>
        <c:axId val="50559780"/>
        <c:scaling>
          <c:orientation val="minMax"/>
        </c:scaling>
        <c:axPos val="l"/>
        <c:title>
          <c:tx>
            <c:rich>
              <a:bodyPr vert="horz" rot="-5400000" anchor="ctr"/>
              <a:lstStyle/>
              <a:p>
                <a:pPr algn="ctr">
                  <a:defRPr/>
                </a:pPr>
                <a:r>
                  <a:rPr lang="en-US" cap="none" sz="925" b="1" i="0" u="none" baseline="0">
                    <a:latin typeface="Arial"/>
                    <a:ea typeface="Arial"/>
                    <a:cs typeface="Arial"/>
                  </a:rPr>
                  <a:t>Million Tons</a:t>
                </a:r>
              </a:p>
            </c:rich>
          </c:tx>
          <c:layout/>
          <c:overlay val="0"/>
          <c:spPr>
            <a:noFill/>
            <a:ln>
              <a:noFill/>
            </a:ln>
          </c:spPr>
        </c:title>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35443915"/>
        <c:crossesAt val="1"/>
        <c:crossBetween val="between"/>
        <c:dispUnits/>
        <c:majorUnit val="20"/>
        <c:minorUnit val="2"/>
      </c:valAx>
      <c:spPr>
        <a:noFill/>
        <a:ln>
          <a:noFill/>
        </a:ln>
      </c:spPr>
    </c:plotArea>
    <c:legend>
      <c:legendPos val="b"/>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Figure 5.12: Freight Traffic Projections</a:t>
            </a:r>
          </a:p>
        </c:rich>
      </c:tx>
      <c:layout/>
      <c:spPr>
        <a:noFill/>
        <a:ln>
          <a:noFill/>
        </a:ln>
      </c:spPr>
    </c:title>
    <c:plotArea>
      <c:layout/>
      <c:barChart>
        <c:barDir val="col"/>
        <c:grouping val="stacked"/>
        <c:varyColors val="0"/>
        <c:ser>
          <c:idx val="0"/>
          <c:order val="0"/>
          <c:tx>
            <c:v>Base Case ("Without Project")</c:v>
          </c:tx>
          <c:invertIfNegative val="0"/>
          <c:extLst>
            <c:ext xmlns:c14="http://schemas.microsoft.com/office/drawing/2007/8/2/chart" uri="{6F2FDCE9-48DA-4B69-8628-5D25D57E5C99}">
              <c14:invertSolidFillFmt>
                <c14:spPr>
                  <a:solidFill>
                    <a:srgbClr val="000000"/>
                  </a:solidFill>
                </c14:spPr>
              </c14:invertSolidFillFmt>
            </c:ext>
          </c:extLst>
          <c:cat>
            <c:numLit>
              <c:ptCount val="21"/>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numLit>
          </c:cat>
          <c:val>
            <c:numLit>
              <c:ptCount val="21"/>
              <c:pt idx="0">
                <c:v>16.1832</c:v>
              </c:pt>
              <c:pt idx="1">
                <c:v>17.30334649031487</c:v>
              </c:pt>
              <c:pt idx="2">
                <c:v>16.87391798311707</c:v>
              </c:pt>
              <c:pt idx="3">
                <c:v>16.2614761654753</c:v>
              </c:pt>
              <c:pt idx="4">
                <c:v>15.80491330331979</c:v>
              </c:pt>
              <c:pt idx="5">
                <c:v>15.5554566522143</c:v>
              </c:pt>
              <c:pt idx="6">
                <c:v>15.5554566522143</c:v>
              </c:pt>
              <c:pt idx="7">
                <c:v>15.5554566522143</c:v>
              </c:pt>
              <c:pt idx="8">
                <c:v>15.5554566522143</c:v>
              </c:pt>
              <c:pt idx="9">
                <c:v>15.5554566522143</c:v>
              </c:pt>
              <c:pt idx="10">
                <c:v>15.5554566522143</c:v>
              </c:pt>
              <c:pt idx="11">
                <c:v>15.5554566522143</c:v>
              </c:pt>
              <c:pt idx="12">
                <c:v>15.5554566522143</c:v>
              </c:pt>
              <c:pt idx="13">
                <c:v>15.5554566522143</c:v>
              </c:pt>
              <c:pt idx="14">
                <c:v>15.5554566522143</c:v>
              </c:pt>
              <c:pt idx="15">
                <c:v>15.5554566522143</c:v>
              </c:pt>
              <c:pt idx="16">
                <c:v>15.5554566522143</c:v>
              </c:pt>
              <c:pt idx="17">
                <c:v>15.5554566522143</c:v>
              </c:pt>
              <c:pt idx="18">
                <c:v>15.5554566522143</c:v>
              </c:pt>
              <c:pt idx="19">
                <c:v>15.5554566522143</c:v>
              </c:pt>
              <c:pt idx="20">
                <c:v>15.5554566522143</c:v>
              </c:pt>
            </c:numLit>
          </c:val>
        </c:ser>
        <c:ser>
          <c:idx val="1"/>
          <c:order val="1"/>
          <c:tx>
            <c:v>Incremental Traffic</c:v>
          </c:tx>
          <c:invertIfNegative val="0"/>
          <c:extLst>
            <c:ext xmlns:c14="http://schemas.microsoft.com/office/drawing/2007/8/2/chart" uri="{6F2FDCE9-48DA-4B69-8628-5D25D57E5C99}">
              <c14:invertSolidFillFmt>
                <c14:spPr>
                  <a:solidFill>
                    <a:srgbClr val="000000"/>
                  </a:solidFill>
                </c14:spPr>
              </c14:invertSolidFillFmt>
            </c:ext>
          </c:extLst>
          <c:cat>
            <c:numLit>
              <c:ptCount val="21"/>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numLit>
          </c:cat>
          <c:val>
            <c:numLit>
              <c:ptCount val="21"/>
              <c:pt idx="0">
                <c:v>0</c:v>
              </c:pt>
              <c:pt idx="1">
                <c:v>0</c:v>
              </c:pt>
              <c:pt idx="2">
                <c:v>1.68739179831171</c:v>
              </c:pt>
              <c:pt idx="3">
                <c:v>4.0653690413688235</c:v>
              </c:pt>
              <c:pt idx="4">
                <c:v>13.016479797412755</c:v>
              </c:pt>
              <c:pt idx="5">
                <c:v>16.61842441133294</c:v>
              </c:pt>
              <c:pt idx="6">
                <c:v>19.21382309995551</c:v>
              </c:pt>
              <c:pt idx="7">
                <c:v>21.89549452828891</c:v>
              </c:pt>
              <c:pt idx="8">
                <c:v>24.66661096694025</c:v>
              </c:pt>
              <c:pt idx="9">
                <c:v>27.53048353666497</c:v>
              </c:pt>
              <c:pt idx="10">
                <c:v>30.49056982209682</c:v>
              </c:pt>
              <c:pt idx="11">
                <c:v>33.55048199500603</c:v>
              </c:pt>
              <c:pt idx="12">
                <c:v>36.71399548566236</c:v>
              </c:pt>
              <c:pt idx="13">
                <c:v>39.98505824397896</c:v>
              </c:pt>
              <c:pt idx="14">
                <c:v>43.36780063546682</c:v>
              </c:pt>
              <c:pt idx="15">
                <c:v>46.86654602065933</c:v>
              </c:pt>
              <c:pt idx="16">
                <c:v>50.48582207059563</c:v>
              </c:pt>
              <c:pt idx="17">
                <c:v>54.23037287520406</c:v>
              </c:pt>
              <c:pt idx="18">
                <c:v>58.10517190602966</c:v>
              </c:pt>
              <c:pt idx="19">
                <c:v>62.11543589973339</c:v>
              </c:pt>
              <c:pt idx="20">
                <c:v>66.26663973418347</c:v>
              </c:pt>
            </c:numLit>
          </c:val>
        </c:ser>
        <c:overlap val="100"/>
        <c:axId val="52384837"/>
        <c:axId val="1701486"/>
      </c:barChart>
      <c:catAx>
        <c:axId val="52384837"/>
        <c:scaling>
          <c:orientation val="minMax"/>
        </c:scaling>
        <c:axPos val="b"/>
        <c:title>
          <c:tx>
            <c:rich>
              <a:bodyPr vert="horz" rot="0" anchor="ctr"/>
              <a:lstStyle/>
              <a:p>
                <a:pPr algn="ctr">
                  <a:defRPr/>
                </a:pPr>
                <a:r>
                  <a:rPr lang="en-US" cap="none" sz="92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1701486"/>
        <c:crosses val="autoZero"/>
        <c:auto val="1"/>
        <c:lblOffset val="100"/>
        <c:noMultiLvlLbl val="0"/>
      </c:catAx>
      <c:valAx>
        <c:axId val="1701486"/>
        <c:scaling>
          <c:orientation val="minMax"/>
        </c:scaling>
        <c:axPos val="l"/>
        <c:title>
          <c:tx>
            <c:rich>
              <a:bodyPr vert="horz" rot="-5400000" anchor="ctr"/>
              <a:lstStyle/>
              <a:p>
                <a:pPr algn="ctr">
                  <a:defRPr/>
                </a:pPr>
                <a:r>
                  <a:rPr lang="en-US" cap="none" sz="925" b="1" i="0" u="none" baseline="0">
                    <a:latin typeface="Arial"/>
                    <a:ea typeface="Arial"/>
                    <a:cs typeface="Arial"/>
                  </a:rPr>
                  <a:t>Million Tons</a:t>
                </a:r>
              </a:p>
            </c:rich>
          </c:tx>
          <c:layout/>
          <c:overlay val="0"/>
          <c:spPr>
            <a:noFill/>
            <a:ln>
              <a:noFill/>
            </a:ln>
          </c:spPr>
        </c:title>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52384837"/>
        <c:crossesAt val="1"/>
        <c:crossBetween val="between"/>
        <c:dispUnits/>
        <c:majorUnit val="20"/>
        <c:minorUnit val="2"/>
      </c:valAx>
      <c:spPr>
        <a:noFill/>
        <a:ln>
          <a:noFill/>
        </a:ln>
      </c:spPr>
    </c:plotArea>
    <c:legend>
      <c:legendPos val="b"/>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19050</xdr:rowOff>
    </xdr:from>
    <xdr:to>
      <xdr:col>0</xdr:col>
      <xdr:colOff>2628900</xdr:colOff>
      <xdr:row>5</xdr:row>
      <xdr:rowOff>123825</xdr:rowOff>
    </xdr:to>
    <xdr:pic>
      <xdr:nvPicPr>
        <xdr:cNvPr id="1" name="Picture 1"/>
        <xdr:cNvPicPr preferRelativeResize="1">
          <a:picLocks noChangeAspect="1"/>
        </xdr:cNvPicPr>
      </xdr:nvPicPr>
      <xdr:blipFill>
        <a:blip r:embed="rId1"/>
        <a:stretch>
          <a:fillRect/>
        </a:stretch>
      </xdr:blipFill>
      <xdr:spPr>
        <a:xfrm>
          <a:off x="19050" y="161925"/>
          <a:ext cx="2609850"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619125</xdr:colOff>
      <xdr:row>20</xdr:row>
      <xdr:rowOff>47625</xdr:rowOff>
    </xdr:from>
    <xdr:to>
      <xdr:col>5</xdr:col>
      <xdr:colOff>333375</xdr:colOff>
      <xdr:row>40</xdr:row>
      <xdr:rowOff>0</xdr:rowOff>
    </xdr:to>
    <xdr:graphicFrame>
      <xdr:nvGraphicFramePr>
        <xdr:cNvPr id="1" name="Chart 1"/>
        <xdr:cNvGraphicFramePr/>
      </xdr:nvGraphicFramePr>
      <xdr:xfrm>
        <a:off x="1028700" y="5667375"/>
        <a:ext cx="7105650" cy="3190875"/>
      </xdr:xfrm>
      <a:graphic>
        <a:graphicData uri="http://schemas.openxmlformats.org/drawingml/2006/chart">
          <c:chart xmlns:c="http://schemas.openxmlformats.org/drawingml/2006/chart" r:id="rId1"/>
        </a:graphicData>
      </a:graphic>
    </xdr:graphicFrame>
    <xdr:clientData/>
  </xdr:twoCellAnchor>
  <xdr:twoCellAnchor>
    <xdr:from>
      <xdr:col>1</xdr:col>
      <xdr:colOff>619125</xdr:colOff>
      <xdr:row>41</xdr:row>
      <xdr:rowOff>152400</xdr:rowOff>
    </xdr:from>
    <xdr:to>
      <xdr:col>5</xdr:col>
      <xdr:colOff>342900</xdr:colOff>
      <xdr:row>66</xdr:row>
      <xdr:rowOff>76200</xdr:rowOff>
    </xdr:to>
    <xdr:graphicFrame>
      <xdr:nvGraphicFramePr>
        <xdr:cNvPr id="2" name="Chart 12"/>
        <xdr:cNvGraphicFramePr/>
      </xdr:nvGraphicFramePr>
      <xdr:xfrm>
        <a:off x="1028700" y="9172575"/>
        <a:ext cx="7115175" cy="3971925"/>
      </xdr:xfrm>
      <a:graphic>
        <a:graphicData uri="http://schemas.openxmlformats.org/drawingml/2006/chart">
          <c:chart xmlns:c="http://schemas.openxmlformats.org/drawingml/2006/chart" r:id="rId2"/>
        </a:graphicData>
      </a:graphic>
    </xdr:graphicFrame>
    <xdr:clientData/>
  </xdr:twoCellAnchor>
  <xdr:twoCellAnchor editAs="oneCell">
    <xdr:from>
      <xdr:col>7</xdr:col>
      <xdr:colOff>561975</xdr:colOff>
      <xdr:row>3</xdr:row>
      <xdr:rowOff>152400</xdr:rowOff>
    </xdr:from>
    <xdr:to>
      <xdr:col>9</xdr:col>
      <xdr:colOff>114300</xdr:colOff>
      <xdr:row>5</xdr:row>
      <xdr:rowOff>9525</xdr:rowOff>
    </xdr:to>
    <xdr:pic>
      <xdr:nvPicPr>
        <xdr:cNvPr id="3" name="CommandButton1"/>
        <xdr:cNvPicPr preferRelativeResize="1">
          <a:picLocks noChangeAspect="1"/>
        </xdr:cNvPicPr>
      </xdr:nvPicPr>
      <xdr:blipFill>
        <a:blip r:embed="rId3"/>
        <a:stretch>
          <a:fillRect/>
        </a:stretch>
      </xdr:blipFill>
      <xdr:spPr>
        <a:xfrm>
          <a:off x="10648950" y="800100"/>
          <a:ext cx="1219200" cy="504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104775</xdr:colOff>
      <xdr:row>74</xdr:row>
      <xdr:rowOff>104775</xdr:rowOff>
    </xdr:from>
    <xdr:to>
      <xdr:col>31</xdr:col>
      <xdr:colOff>352425</xdr:colOff>
      <xdr:row>89</xdr:row>
      <xdr:rowOff>85725</xdr:rowOff>
    </xdr:to>
    <xdr:graphicFrame>
      <xdr:nvGraphicFramePr>
        <xdr:cNvPr id="1" name="Chart 230"/>
        <xdr:cNvGraphicFramePr/>
      </xdr:nvGraphicFramePr>
      <xdr:xfrm>
        <a:off x="22459950" y="11944350"/>
        <a:ext cx="5705475" cy="2409825"/>
      </xdr:xfrm>
      <a:graphic>
        <a:graphicData uri="http://schemas.openxmlformats.org/drawingml/2006/chart">
          <c:chart xmlns:c="http://schemas.openxmlformats.org/drawingml/2006/chart" r:id="rId1"/>
        </a:graphicData>
      </a:graphic>
    </xdr:graphicFrame>
    <xdr:clientData/>
  </xdr:twoCellAnchor>
  <xdr:twoCellAnchor>
    <xdr:from>
      <xdr:col>27</xdr:col>
      <xdr:colOff>295275</xdr:colOff>
      <xdr:row>77</xdr:row>
      <xdr:rowOff>104775</xdr:rowOff>
    </xdr:from>
    <xdr:to>
      <xdr:col>31</xdr:col>
      <xdr:colOff>314325</xdr:colOff>
      <xdr:row>78</xdr:row>
      <xdr:rowOff>142875</xdr:rowOff>
    </xdr:to>
    <xdr:sp>
      <xdr:nvSpPr>
        <xdr:cNvPr id="2" name="TextBox 232"/>
        <xdr:cNvSpPr txBox="1">
          <a:spLocks noChangeArrowheads="1"/>
        </xdr:cNvSpPr>
      </xdr:nvSpPr>
      <xdr:spPr>
        <a:xfrm>
          <a:off x="25669875" y="12430125"/>
          <a:ext cx="2457450" cy="2000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Expected Traffic ("With Project")</a:t>
          </a:r>
        </a:p>
      </xdr:txBody>
    </xdr:sp>
    <xdr:clientData/>
  </xdr:twoCellAnchor>
  <xdr:twoCellAnchor>
    <xdr:from>
      <xdr:col>1</xdr:col>
      <xdr:colOff>457200</xdr:colOff>
      <xdr:row>501</xdr:row>
      <xdr:rowOff>123825</xdr:rowOff>
    </xdr:from>
    <xdr:to>
      <xdr:col>13</xdr:col>
      <xdr:colOff>19050</xdr:colOff>
      <xdr:row>541</xdr:row>
      <xdr:rowOff>95250</xdr:rowOff>
    </xdr:to>
    <xdr:graphicFrame>
      <xdr:nvGraphicFramePr>
        <xdr:cNvPr id="3" name="Chart 365"/>
        <xdr:cNvGraphicFramePr/>
      </xdr:nvGraphicFramePr>
      <xdr:xfrm>
        <a:off x="3276600" y="88925400"/>
        <a:ext cx="9810750" cy="6448425"/>
      </xdr:xfrm>
      <a:graphic>
        <a:graphicData uri="http://schemas.openxmlformats.org/drawingml/2006/chart">
          <c:chart xmlns:c="http://schemas.openxmlformats.org/drawingml/2006/chart" r:id="rId2"/>
        </a:graphicData>
      </a:graphic>
    </xdr:graphicFrame>
    <xdr:clientData/>
  </xdr:twoCellAnchor>
  <xdr:twoCellAnchor>
    <xdr:from>
      <xdr:col>24</xdr:col>
      <xdr:colOff>104775</xdr:colOff>
      <xdr:row>74</xdr:row>
      <xdr:rowOff>104775</xdr:rowOff>
    </xdr:from>
    <xdr:to>
      <xdr:col>31</xdr:col>
      <xdr:colOff>352425</xdr:colOff>
      <xdr:row>89</xdr:row>
      <xdr:rowOff>85725</xdr:rowOff>
    </xdr:to>
    <xdr:graphicFrame>
      <xdr:nvGraphicFramePr>
        <xdr:cNvPr id="4" name="Chart 432"/>
        <xdr:cNvGraphicFramePr/>
      </xdr:nvGraphicFramePr>
      <xdr:xfrm>
        <a:off x="22459950" y="11944350"/>
        <a:ext cx="5705475" cy="2409825"/>
      </xdr:xfrm>
      <a:graphic>
        <a:graphicData uri="http://schemas.openxmlformats.org/drawingml/2006/chart">
          <c:chart xmlns:c="http://schemas.openxmlformats.org/drawingml/2006/chart" r:id="rId3"/>
        </a:graphicData>
      </a:graphic>
    </xdr:graphicFrame>
    <xdr:clientData/>
  </xdr:twoCellAnchor>
  <xdr:twoCellAnchor>
    <xdr:from>
      <xdr:col>27</xdr:col>
      <xdr:colOff>295275</xdr:colOff>
      <xdr:row>77</xdr:row>
      <xdr:rowOff>104775</xdr:rowOff>
    </xdr:from>
    <xdr:to>
      <xdr:col>31</xdr:col>
      <xdr:colOff>314325</xdr:colOff>
      <xdr:row>78</xdr:row>
      <xdr:rowOff>142875</xdr:rowOff>
    </xdr:to>
    <xdr:sp>
      <xdr:nvSpPr>
        <xdr:cNvPr id="5" name="TextBox 433"/>
        <xdr:cNvSpPr txBox="1">
          <a:spLocks noChangeArrowheads="1"/>
        </xdr:cNvSpPr>
      </xdr:nvSpPr>
      <xdr:spPr>
        <a:xfrm>
          <a:off x="25669875" y="12430125"/>
          <a:ext cx="2457450" cy="2000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Expected Traffic ("With Project")</a:t>
          </a:r>
        </a:p>
      </xdr:txBody>
    </xdr:sp>
    <xdr:clientData/>
  </xdr:twoCellAnchor>
  <xdr:twoCellAnchor>
    <xdr:from>
      <xdr:col>24</xdr:col>
      <xdr:colOff>104775</xdr:colOff>
      <xdr:row>74</xdr:row>
      <xdr:rowOff>104775</xdr:rowOff>
    </xdr:from>
    <xdr:to>
      <xdr:col>31</xdr:col>
      <xdr:colOff>352425</xdr:colOff>
      <xdr:row>89</xdr:row>
      <xdr:rowOff>85725</xdr:rowOff>
    </xdr:to>
    <xdr:graphicFrame>
      <xdr:nvGraphicFramePr>
        <xdr:cNvPr id="6" name="Chart 436"/>
        <xdr:cNvGraphicFramePr/>
      </xdr:nvGraphicFramePr>
      <xdr:xfrm>
        <a:off x="22459950" y="11944350"/>
        <a:ext cx="5705475" cy="2409825"/>
      </xdr:xfrm>
      <a:graphic>
        <a:graphicData uri="http://schemas.openxmlformats.org/drawingml/2006/chart">
          <c:chart xmlns:c="http://schemas.openxmlformats.org/drawingml/2006/chart" r:id="rId4"/>
        </a:graphicData>
      </a:graphic>
    </xdr:graphicFrame>
    <xdr:clientData/>
  </xdr:twoCellAnchor>
  <xdr:twoCellAnchor>
    <xdr:from>
      <xdr:col>27</xdr:col>
      <xdr:colOff>295275</xdr:colOff>
      <xdr:row>77</xdr:row>
      <xdr:rowOff>104775</xdr:rowOff>
    </xdr:from>
    <xdr:to>
      <xdr:col>31</xdr:col>
      <xdr:colOff>314325</xdr:colOff>
      <xdr:row>78</xdr:row>
      <xdr:rowOff>142875</xdr:rowOff>
    </xdr:to>
    <xdr:sp>
      <xdr:nvSpPr>
        <xdr:cNvPr id="7" name="TextBox 437"/>
        <xdr:cNvSpPr txBox="1">
          <a:spLocks noChangeArrowheads="1"/>
        </xdr:cNvSpPr>
      </xdr:nvSpPr>
      <xdr:spPr>
        <a:xfrm>
          <a:off x="25669875" y="12430125"/>
          <a:ext cx="2457450" cy="2000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Expected Traffic ("With Project")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_divisions\Economic%20Analysis\ERR%20Spreadsheets\Web%20Dissemination\Ongoing%20Work\Mongolia\Mongolia%20Health%20ERR.IM%20Clean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RR &amp; Sensitivity analysis"/>
      <sheetName val="Overview of worksheets"/>
      <sheetName val="ERR Summary"/>
      <sheetName val="Data &amp; Assumptions"/>
      <sheetName val="Hypertension"/>
      <sheetName val="Diabetes"/>
      <sheetName val="Cancer"/>
      <sheetName val="Indicators"/>
    </sheetNames>
    <sheetDataSet>
      <sheetData sheetId="4">
        <row r="5">
          <cell r="C5">
            <v>0.015</v>
          </cell>
        </row>
        <row r="6">
          <cell r="E6">
            <v>955.449080602039</v>
          </cell>
        </row>
        <row r="27">
          <cell r="C27">
            <v>0.33</v>
          </cell>
        </row>
        <row r="28">
          <cell r="C28">
            <v>0.2</v>
          </cell>
        </row>
        <row r="32">
          <cell r="E32">
            <v>0.14285714285714285</v>
          </cell>
          <cell r="J32">
            <v>0.02</v>
          </cell>
        </row>
        <row r="33">
          <cell r="E33">
            <v>0.2</v>
          </cell>
          <cell r="J33">
            <v>0.04</v>
          </cell>
        </row>
        <row r="34">
          <cell r="E34">
            <v>0.3333333333333333</v>
          </cell>
          <cell r="J34">
            <v>0.06</v>
          </cell>
        </row>
        <row r="82">
          <cell r="J82">
            <v>0.02</v>
          </cell>
        </row>
        <row r="83">
          <cell r="J83">
            <v>0.04</v>
          </cell>
        </row>
        <row r="84">
          <cell r="J84">
            <v>0.06</v>
          </cell>
        </row>
      </sheetData>
      <sheetData sheetId="5">
        <row r="25">
          <cell r="C25">
            <v>0.2</v>
          </cell>
        </row>
        <row r="26">
          <cell r="C26">
            <v>0.1</v>
          </cell>
        </row>
        <row r="31">
          <cell r="E31">
            <v>0.25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C34"/>
  <sheetViews>
    <sheetView showGridLines="0" workbookViewId="0" topLeftCell="B10">
      <selection activeCell="B31" sqref="B31"/>
    </sheetView>
  </sheetViews>
  <sheetFormatPr defaultColWidth="9.140625" defaultRowHeight="12.75"/>
  <cols>
    <col min="1" max="1" width="39.57421875" style="0" customWidth="1"/>
    <col min="2" max="2" width="106.421875" style="0" customWidth="1"/>
    <col min="4" max="4" width="11.57421875" style="0" bestFit="1" customWidth="1"/>
  </cols>
  <sheetData>
    <row r="1" spans="2:3" s="310" customFormat="1" ht="11.25">
      <c r="B1" s="319" t="s">
        <v>350</v>
      </c>
      <c r="C1" s="320">
        <v>39310</v>
      </c>
    </row>
    <row r="2" ht="20.25" customHeight="1">
      <c r="B2" s="379" t="s">
        <v>291</v>
      </c>
    </row>
    <row r="3" ht="12.75">
      <c r="B3" s="379"/>
    </row>
    <row r="4" ht="12.75">
      <c r="B4" s="379"/>
    </row>
    <row r="5" ht="12.75">
      <c r="B5" s="379"/>
    </row>
    <row r="6" ht="12.75">
      <c r="B6" s="379"/>
    </row>
    <row r="7" ht="13.5" thickBot="1"/>
    <row r="8" spans="1:2" s="264" customFormat="1" ht="14.25" thickBot="1" thickTop="1">
      <c r="A8" s="275" t="s">
        <v>292</v>
      </c>
      <c r="B8" s="276" t="s">
        <v>293</v>
      </c>
    </row>
    <row r="9" spans="1:2" s="264" customFormat="1" ht="13.5" thickTop="1">
      <c r="A9" s="268" t="s">
        <v>306</v>
      </c>
      <c r="B9" s="270" t="s">
        <v>308</v>
      </c>
    </row>
    <row r="10" spans="1:2" s="264" customFormat="1" ht="12.75">
      <c r="A10" s="269" t="s">
        <v>307</v>
      </c>
      <c r="B10" s="281">
        <v>39310</v>
      </c>
    </row>
    <row r="11" spans="1:2" s="264" customFormat="1" ht="12.75">
      <c r="A11" s="273" t="s">
        <v>294</v>
      </c>
      <c r="B11" s="274" t="s">
        <v>361</v>
      </c>
    </row>
    <row r="12" spans="1:2" s="264" customFormat="1" ht="12.75">
      <c r="A12" s="376" t="s">
        <v>298</v>
      </c>
      <c r="B12" s="272" t="s">
        <v>299</v>
      </c>
    </row>
    <row r="13" spans="1:2" s="264" customFormat="1" ht="25.5">
      <c r="A13" s="377"/>
      <c r="B13" s="270" t="s">
        <v>302</v>
      </c>
    </row>
    <row r="14" spans="1:2" s="264" customFormat="1" ht="38.25">
      <c r="A14" s="377"/>
      <c r="B14" s="270" t="s">
        <v>335</v>
      </c>
    </row>
    <row r="15" spans="1:2" s="264" customFormat="1" ht="12.75">
      <c r="A15" s="377"/>
      <c r="B15" s="270" t="s">
        <v>303</v>
      </c>
    </row>
    <row r="16" spans="1:2" s="264" customFormat="1" ht="12.75">
      <c r="A16" s="378"/>
      <c r="B16" s="277" t="s">
        <v>304</v>
      </c>
    </row>
    <row r="17" spans="1:2" s="264" customFormat="1" ht="12.75">
      <c r="A17" s="269" t="s">
        <v>296</v>
      </c>
      <c r="B17" s="271" t="s">
        <v>309</v>
      </c>
    </row>
    <row r="18" spans="1:2" s="264" customFormat="1" ht="25.5">
      <c r="A18" s="269" t="s">
        <v>297</v>
      </c>
      <c r="B18" s="274" t="s">
        <v>300</v>
      </c>
    </row>
    <row r="19" spans="1:2" s="264" customFormat="1" ht="12.75">
      <c r="A19" s="269" t="s">
        <v>295</v>
      </c>
      <c r="B19" s="274" t="s">
        <v>323</v>
      </c>
    </row>
    <row r="20" spans="1:2" s="264" customFormat="1" ht="12.75">
      <c r="A20" s="380" t="s">
        <v>301</v>
      </c>
      <c r="B20" s="290" t="s">
        <v>329</v>
      </c>
    </row>
    <row r="21" spans="1:2" s="264" customFormat="1" ht="25.5">
      <c r="A21" s="381"/>
      <c r="B21" s="291" t="s">
        <v>331</v>
      </c>
    </row>
    <row r="22" spans="1:2" s="264" customFormat="1" ht="12.75">
      <c r="A22" s="381"/>
      <c r="B22" s="289"/>
    </row>
    <row r="23" spans="1:2" s="264" customFormat="1" ht="12.75">
      <c r="A23" s="381"/>
      <c r="B23" s="280" t="s">
        <v>305</v>
      </c>
    </row>
    <row r="24" spans="1:2" s="264" customFormat="1" ht="25.5">
      <c r="A24" s="381"/>
      <c r="B24" s="267" t="s">
        <v>362</v>
      </c>
    </row>
    <row r="25" spans="1:2" s="264" customFormat="1" ht="12.75">
      <c r="A25" s="381"/>
      <c r="B25" s="267"/>
    </row>
    <row r="26" spans="1:2" s="264" customFormat="1" ht="12.75">
      <c r="A26" s="381"/>
      <c r="B26" s="282" t="s">
        <v>310</v>
      </c>
    </row>
    <row r="27" spans="1:2" s="264" customFormat="1" ht="38.25">
      <c r="A27" s="381"/>
      <c r="B27" s="278" t="s">
        <v>341</v>
      </c>
    </row>
    <row r="28" spans="1:2" s="264" customFormat="1" ht="12.75">
      <c r="A28" s="381"/>
      <c r="B28" s="267"/>
    </row>
    <row r="29" spans="1:2" s="264" customFormat="1" ht="12.75">
      <c r="A29" s="381"/>
      <c r="B29" s="283" t="s">
        <v>311</v>
      </c>
    </row>
    <row r="30" spans="1:2" s="264" customFormat="1" ht="26.25" thickBot="1">
      <c r="A30" s="382"/>
      <c r="B30" s="279" t="s">
        <v>363</v>
      </c>
    </row>
    <row r="31" ht="13.5" thickTop="1"/>
    <row r="32" ht="12.75">
      <c r="B32" s="383" t="s">
        <v>356</v>
      </c>
    </row>
    <row r="33" ht="12.75">
      <c r="B33" s="384"/>
    </row>
    <row r="34" spans="1:2" ht="12.75">
      <c r="A34" s="309"/>
      <c r="B34" s="308"/>
    </row>
  </sheetData>
  <mergeCells count="4">
    <mergeCell ref="A12:A16"/>
    <mergeCell ref="B2:B6"/>
    <mergeCell ref="A20:A30"/>
    <mergeCell ref="B32:B33"/>
  </mergeCells>
  <hyperlinks>
    <hyperlink ref="B23" location="'ERR &amp; Sensitivity analysis'!A1" display="ERR &amp; Sensitivity Analysis"/>
    <hyperlink ref="B26" location="'Table 5.40-5.45, 5.49'!A1" display="Table 5.40-5.45, 5.49"/>
    <hyperlink ref="B29" location="'Table 5.46-48'!A1" display="Table 5.46-48"/>
    <hyperlink ref="B20" location="'Project Description'!A1" display="Project Description"/>
  </hyperlinks>
  <printOptions/>
  <pageMargins left="0.75" right="0.75" top="1" bottom="1" header="0.5" footer="0.5"/>
  <pageSetup fitToHeight="1" fitToWidth="1" horizontalDpi="600" verticalDpi="600" orientation="landscape" scale="79" r:id="rId2"/>
  <drawing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D23"/>
  <sheetViews>
    <sheetView showGridLines="0" tabSelected="1" workbookViewId="0" topLeftCell="A1">
      <selection activeCell="B3" sqref="B3"/>
    </sheetView>
  </sheetViews>
  <sheetFormatPr defaultColWidth="9.140625" defaultRowHeight="12.75"/>
  <cols>
    <col min="1" max="1" width="6.140625" style="0" customWidth="1"/>
    <col min="2" max="2" width="93.28125" style="0" bestFit="1" customWidth="1"/>
  </cols>
  <sheetData>
    <row r="1" spans="2:3" ht="20.25">
      <c r="B1" s="265" t="s">
        <v>291</v>
      </c>
      <c r="C1" s="318">
        <f>'User''s Guide'!C1</f>
        <v>39310</v>
      </c>
    </row>
    <row r="3" ht="18">
      <c r="B3" s="371" t="s">
        <v>329</v>
      </c>
    </row>
    <row r="4" ht="30.75" customHeight="1">
      <c r="B4" s="49" t="s">
        <v>328</v>
      </c>
    </row>
    <row r="5" ht="7.5" customHeight="1">
      <c r="B5" s="49"/>
    </row>
    <row r="6" spans="1:4" ht="102">
      <c r="A6" s="372"/>
      <c r="B6" s="373" t="s">
        <v>364</v>
      </c>
      <c r="D6" s="288"/>
    </row>
    <row r="7" ht="30.75" customHeight="1">
      <c r="B7" s="49" t="s">
        <v>326</v>
      </c>
    </row>
    <row r="8" ht="7.5" customHeight="1">
      <c r="B8" s="49"/>
    </row>
    <row r="9" spans="1:2" ht="12.75">
      <c r="A9" s="385"/>
      <c r="B9" s="374" t="s">
        <v>2</v>
      </c>
    </row>
    <row r="10" spans="1:2" ht="25.5">
      <c r="A10" s="385"/>
      <c r="B10" s="375" t="s">
        <v>332</v>
      </c>
    </row>
    <row r="11" spans="1:2" ht="38.25">
      <c r="A11" s="385"/>
      <c r="B11" s="375" t="s">
        <v>336</v>
      </c>
    </row>
    <row r="12" spans="1:2" ht="12.75">
      <c r="A12" s="385"/>
      <c r="B12" s="375" t="s">
        <v>333</v>
      </c>
    </row>
    <row r="13" spans="1:2" ht="25.5">
      <c r="A13" s="385"/>
      <c r="B13" s="375" t="s">
        <v>337</v>
      </c>
    </row>
    <row r="14" ht="30.75" customHeight="1">
      <c r="B14" s="49" t="s">
        <v>327</v>
      </c>
    </row>
    <row r="15" ht="7.5" customHeight="1">
      <c r="B15" s="49"/>
    </row>
    <row r="16" spans="1:2" ht="63.75">
      <c r="A16" s="385"/>
      <c r="B16" s="373" t="s">
        <v>0</v>
      </c>
    </row>
    <row r="17" spans="1:2" ht="93.75" customHeight="1">
      <c r="A17" s="385"/>
      <c r="B17" s="373" t="s">
        <v>1</v>
      </c>
    </row>
    <row r="19" ht="14.25">
      <c r="B19" s="292" t="s">
        <v>334</v>
      </c>
    </row>
    <row r="21" ht="12.75">
      <c r="B21" t="s">
        <v>338</v>
      </c>
    </row>
    <row r="22" ht="12.75">
      <c r="B22" t="s">
        <v>339</v>
      </c>
    </row>
    <row r="23" ht="12.75">
      <c r="B23" t="s">
        <v>340</v>
      </c>
    </row>
  </sheetData>
  <mergeCells count="2">
    <mergeCell ref="A9:A13"/>
    <mergeCell ref="A16:A17"/>
  </mergeCells>
  <printOptions/>
  <pageMargins left="0.75" right="0.75" top="1" bottom="1" header="0.5" footer="0.5"/>
  <pageSetup fitToHeight="1" fitToWidth="1" horizontalDpi="600" verticalDpi="600" orientation="portrait" scale="83" r:id="rId1"/>
</worksheet>
</file>

<file path=xl/worksheets/sheet3.xml><?xml version="1.0" encoding="utf-8"?>
<worksheet xmlns="http://schemas.openxmlformats.org/spreadsheetml/2006/main" xmlns:r="http://schemas.openxmlformats.org/officeDocument/2006/relationships">
  <sheetPr codeName="Sheet1">
    <pageSetUpPr fitToPage="1"/>
  </sheetPr>
  <dimension ref="A1:J72"/>
  <sheetViews>
    <sheetView showGridLines="0" zoomScale="80" zoomScaleNormal="80" workbookViewId="0" topLeftCell="A1">
      <selection activeCell="F9" sqref="F9"/>
    </sheetView>
  </sheetViews>
  <sheetFormatPr defaultColWidth="9.140625" defaultRowHeight="12.75"/>
  <cols>
    <col min="1" max="1" width="6.140625" style="0" customWidth="1"/>
    <col min="2" max="2" width="17.140625" style="0" customWidth="1"/>
    <col min="3" max="3" width="64.00390625" style="0" customWidth="1"/>
    <col min="4" max="4" width="16.00390625" style="0" customWidth="1"/>
    <col min="5" max="5" width="13.7109375" style="0" customWidth="1"/>
    <col min="6" max="6" width="17.28125" style="0" customWidth="1"/>
    <col min="7" max="7" width="17.00390625" style="0" customWidth="1"/>
    <col min="8" max="8" width="8.421875" style="0" customWidth="1"/>
    <col min="9" max="9" width="16.57421875" style="0" customWidth="1"/>
  </cols>
  <sheetData>
    <row r="1" spans="1:7" ht="20.25">
      <c r="A1" s="354"/>
      <c r="B1" s="265" t="s">
        <v>291</v>
      </c>
      <c r="F1" s="317" t="s">
        <v>350</v>
      </c>
      <c r="G1" s="318">
        <f>'User''s Guide'!C1</f>
        <v>39310</v>
      </c>
    </row>
    <row r="3" ht="18">
      <c r="B3" s="266" t="s">
        <v>284</v>
      </c>
    </row>
    <row r="4" spans="2:9" ht="12.75" customHeight="1">
      <c r="B4" s="262"/>
      <c r="I4" s="354"/>
    </row>
    <row r="5" spans="2:10" ht="38.25" customHeight="1">
      <c r="B5" s="387" t="s">
        <v>360</v>
      </c>
      <c r="C5" s="387"/>
      <c r="D5" s="387"/>
      <c r="E5" s="387"/>
      <c r="F5" s="387"/>
      <c r="G5" s="387"/>
      <c r="J5" s="354"/>
    </row>
    <row r="6" spans="2:8" ht="12.75">
      <c r="B6" s="357">
        <v>1</v>
      </c>
      <c r="H6" s="354"/>
    </row>
    <row r="7" spans="2:7" s="262" customFormat="1" ht="15.75">
      <c r="B7" s="336" t="s">
        <v>349</v>
      </c>
      <c r="C7" s="389" t="s">
        <v>285</v>
      </c>
      <c r="D7" s="391" t="s">
        <v>286</v>
      </c>
      <c r="E7" s="392"/>
      <c r="F7" s="392"/>
      <c r="G7" s="393"/>
    </row>
    <row r="8" spans="2:10" s="262" customFormat="1" ht="38.25" customHeight="1" thickBot="1">
      <c r="B8" s="337" t="s">
        <v>351</v>
      </c>
      <c r="C8" s="390"/>
      <c r="D8" s="322" t="s">
        <v>352</v>
      </c>
      <c r="E8" s="322" t="s">
        <v>342</v>
      </c>
      <c r="F8" s="323" t="s">
        <v>365</v>
      </c>
      <c r="G8" s="322" t="s">
        <v>287</v>
      </c>
      <c r="I8" s="324" t="s">
        <v>353</v>
      </c>
      <c r="J8" s="2"/>
    </row>
    <row r="9" spans="2:9" ht="38.25" customHeight="1">
      <c r="B9" s="325" t="s">
        <v>328</v>
      </c>
      <c r="C9" s="303" t="s">
        <v>343</v>
      </c>
      <c r="D9" s="350">
        <v>1</v>
      </c>
      <c r="E9" s="326">
        <v>1</v>
      </c>
      <c r="F9" s="327" t="s">
        <v>345</v>
      </c>
      <c r="G9" s="346">
        <f>D9</f>
        <v>1</v>
      </c>
      <c r="I9" s="328" t="str">
        <f>IF(D9=E9,IF(D10=E10,"Y","N"),"N")</f>
        <v>Y</v>
      </c>
    </row>
    <row r="10" spans="2:9" ht="38.25" customHeight="1">
      <c r="B10" s="329" t="s">
        <v>328</v>
      </c>
      <c r="C10" s="305" t="s">
        <v>344</v>
      </c>
      <c r="D10" s="351">
        <v>1</v>
      </c>
      <c r="E10" s="330">
        <v>1</v>
      </c>
      <c r="F10" s="331" t="s">
        <v>345</v>
      </c>
      <c r="G10" s="347">
        <f>D10</f>
        <v>1</v>
      </c>
      <c r="I10" s="332" t="str">
        <f>IF(D12=E12,IF(D13=E13,"Y","N"),"N")</f>
        <v>Y</v>
      </c>
    </row>
    <row r="11" spans="2:7" ht="14.25" customHeight="1">
      <c r="B11" s="338"/>
      <c r="C11" s="338"/>
      <c r="D11" s="341"/>
      <c r="E11" s="338"/>
      <c r="F11" s="338"/>
      <c r="G11" s="338"/>
    </row>
    <row r="12" spans="2:8" ht="38.25" customHeight="1">
      <c r="B12" s="333" t="s">
        <v>354</v>
      </c>
      <c r="C12" s="334" t="s">
        <v>312</v>
      </c>
      <c r="D12" s="352">
        <v>89268</v>
      </c>
      <c r="E12" s="345">
        <v>89268</v>
      </c>
      <c r="F12" s="335" t="s">
        <v>289</v>
      </c>
      <c r="G12" s="348">
        <f>IF($I$9="Y",D12,E12)</f>
        <v>89268</v>
      </c>
      <c r="H12" s="388"/>
    </row>
    <row r="13" spans="2:9" ht="38.25" customHeight="1">
      <c r="B13" s="304" t="s">
        <v>354</v>
      </c>
      <c r="C13" s="339" t="s">
        <v>330</v>
      </c>
      <c r="D13" s="353">
        <v>0.0226</v>
      </c>
      <c r="E13" s="342">
        <v>0.0226</v>
      </c>
      <c r="F13" s="340" t="s">
        <v>290</v>
      </c>
      <c r="G13" s="349">
        <f>IF($I$9="Y",D13,E13)</f>
        <v>0.0226</v>
      </c>
      <c r="H13" s="388"/>
      <c r="I13" s="228"/>
    </row>
    <row r="14" spans="4:9" ht="12.75">
      <c r="D14" s="263"/>
      <c r="E14" s="263"/>
      <c r="H14" s="344"/>
      <c r="I14" s="228"/>
    </row>
    <row r="15" spans="2:7" ht="31.5" customHeight="1">
      <c r="B15" s="386">
        <f>IF(I9="N",IF(I10="N","Reminder: Please reset all summary parameters to original values before changing specific parameters.  Specific parameters will only be used in ERR computation when all summary parameters are set to initial values",0),0)</f>
        <v>0</v>
      </c>
      <c r="C15" s="386"/>
      <c r="D15" s="386"/>
      <c r="E15" s="386"/>
      <c r="F15" s="386"/>
      <c r="G15" s="386"/>
    </row>
    <row r="16" spans="2:8" ht="11.25" customHeight="1">
      <c r="B16" s="343"/>
      <c r="C16" s="343"/>
      <c r="D16" s="343"/>
      <c r="E16" s="343"/>
      <c r="F16" s="343"/>
      <c r="G16" s="343"/>
      <c r="H16" s="354"/>
    </row>
    <row r="17" spans="3:9" ht="12.75">
      <c r="C17" s="146" t="s">
        <v>288</v>
      </c>
      <c r="D17" s="306">
        <f>'Income Statements &amp; GDP Impact'!B383</f>
        <v>0.32170898125345265</v>
      </c>
      <c r="E17" s="263"/>
      <c r="G17" s="288"/>
      <c r="H17" s="344"/>
      <c r="I17" s="228"/>
    </row>
    <row r="19" spans="3:4" ht="12.75">
      <c r="C19" s="146" t="s">
        <v>355</v>
      </c>
      <c r="D19" s="307">
        <v>0.322</v>
      </c>
    </row>
    <row r="20" ht="12.75">
      <c r="D20" s="321"/>
    </row>
    <row r="26" ht="12.75">
      <c r="I26" s="354"/>
    </row>
    <row r="72" ht="12.75">
      <c r="F72" s="354">
        <v>1</v>
      </c>
    </row>
  </sheetData>
  <sheetProtection/>
  <mergeCells count="5">
    <mergeCell ref="B15:G15"/>
    <mergeCell ref="B5:G5"/>
    <mergeCell ref="H12:H13"/>
    <mergeCell ref="C7:C8"/>
    <mergeCell ref="D7:G7"/>
  </mergeCells>
  <conditionalFormatting sqref="B15:B16 B11">
    <cfRule type="cellIs" priority="1" dxfId="0" operator="equal" stopIfTrue="1">
      <formula>0</formula>
    </cfRule>
    <cfRule type="cellIs" priority="2" dxfId="1" operator="notEqual" stopIfTrue="1">
      <formula>0</formula>
    </cfRule>
  </conditionalFormatting>
  <printOptions/>
  <pageMargins left="0.75" right="0.75" top="0.63" bottom="0.63" header="0.5" footer="0.5"/>
  <pageSetup fitToHeight="2" fitToWidth="1" horizontalDpi="600" verticalDpi="600" orientation="landscape" scale="61" r:id="rId2"/>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BD528"/>
  <sheetViews>
    <sheetView showGridLines="0" zoomScale="75" zoomScaleNormal="75" zoomScaleSheetLayoutView="75" workbookViewId="0" topLeftCell="A2">
      <pane ySplit="1" topLeftCell="BM3" activePane="bottomLeft" state="frozen"/>
      <selection pane="topLeft" activeCell="A2" sqref="A2"/>
      <selection pane="bottomLeft" activeCell="X175" sqref="X175:X179"/>
    </sheetView>
  </sheetViews>
  <sheetFormatPr defaultColWidth="9.140625" defaultRowHeight="12.75"/>
  <cols>
    <col min="1" max="1" width="42.28125" style="2" customWidth="1"/>
    <col min="2" max="2" width="16.421875" style="2" customWidth="1"/>
    <col min="3" max="3" width="12.28125" style="2" customWidth="1"/>
    <col min="4" max="4" width="13.140625" style="2" customWidth="1"/>
    <col min="5" max="5" width="11.8515625" style="2" customWidth="1"/>
    <col min="6" max="6" width="14.28125" style="2" customWidth="1"/>
    <col min="7" max="7" width="11.8515625" style="2" customWidth="1"/>
    <col min="8" max="8" width="12.8515625" style="2" customWidth="1"/>
    <col min="9" max="10" width="12.140625" style="2" customWidth="1"/>
    <col min="11" max="11" width="11.7109375" style="2" customWidth="1"/>
    <col min="12" max="12" width="12.140625" style="2" customWidth="1"/>
    <col min="13" max="13" width="12.8515625" style="2" customWidth="1"/>
    <col min="14" max="14" width="12.421875" style="2" customWidth="1"/>
    <col min="15" max="15" width="13.140625" style="2" customWidth="1"/>
    <col min="16" max="16" width="12.140625" style="2" customWidth="1"/>
    <col min="17" max="17" width="12.28125" style="2" customWidth="1"/>
    <col min="18" max="18" width="12.421875" style="2" customWidth="1"/>
    <col min="19" max="19" width="12.7109375" style="2" customWidth="1"/>
    <col min="20" max="20" width="12.140625" style="2" customWidth="1"/>
    <col min="21" max="21" width="12.421875" style="2" customWidth="1"/>
    <col min="22" max="22" width="13.7109375" style="2" customWidth="1"/>
    <col min="23" max="23" width="13.57421875" style="2" customWidth="1"/>
    <col min="24" max="24" width="12.28125" style="2" customWidth="1"/>
    <col min="25" max="25" width="27.00390625" style="2" customWidth="1"/>
    <col min="26" max="16384" width="9.140625" style="2" customWidth="1"/>
  </cols>
  <sheetData>
    <row r="1" spans="1:23" ht="12.75" customHeight="1" hidden="1">
      <c r="A1" s="397" t="s">
        <v>4</v>
      </c>
      <c r="B1" s="397"/>
      <c r="C1" s="397"/>
      <c r="D1" s="397"/>
      <c r="E1" s="397"/>
      <c r="F1" s="397"/>
      <c r="G1" s="397"/>
      <c r="H1" s="397"/>
      <c r="I1" s="397"/>
      <c r="J1" s="397"/>
      <c r="K1" s="397"/>
      <c r="L1" s="397"/>
      <c r="M1" s="397"/>
      <c r="N1" s="397"/>
      <c r="O1" s="397"/>
      <c r="P1" s="397"/>
      <c r="Q1" s="397"/>
      <c r="R1" s="397"/>
      <c r="S1" s="397"/>
      <c r="T1" s="397"/>
      <c r="U1" s="397"/>
      <c r="V1" s="397"/>
      <c r="W1" s="397"/>
    </row>
    <row r="2" spans="1:23" s="312" customFormat="1" ht="12.75" customHeight="1">
      <c r="A2" s="311"/>
      <c r="B2" s="311"/>
      <c r="C2" s="311"/>
      <c r="D2" s="311"/>
      <c r="E2" s="311"/>
      <c r="F2" s="311"/>
      <c r="G2" s="311"/>
      <c r="H2" s="311"/>
      <c r="I2" s="311"/>
      <c r="J2" s="311"/>
      <c r="K2" s="311"/>
      <c r="L2" s="311"/>
      <c r="M2" s="311"/>
      <c r="N2" s="315" t="s">
        <v>350</v>
      </c>
      <c r="O2" s="316">
        <f>'User''s Guide'!C1</f>
        <v>39310</v>
      </c>
      <c r="P2" s="311"/>
      <c r="Q2" s="311"/>
      <c r="R2" s="311"/>
      <c r="S2" s="311"/>
      <c r="T2" s="311"/>
      <c r="U2" s="311"/>
      <c r="V2" s="311"/>
      <c r="W2" s="311"/>
    </row>
    <row r="3" spans="1:23" ht="13.5" thickBot="1">
      <c r="A3" s="405" t="s">
        <v>52</v>
      </c>
      <c r="B3" s="405"/>
      <c r="C3" s="405"/>
      <c r="D3" s="405"/>
      <c r="E3" s="405"/>
      <c r="F3" s="405"/>
      <c r="G3" s="405"/>
      <c r="H3" s="405"/>
      <c r="I3" s="405"/>
      <c r="J3" s="405"/>
      <c r="K3" s="405"/>
      <c r="L3" s="405"/>
      <c r="M3" s="405"/>
      <c r="N3" s="405"/>
      <c r="O3" s="405"/>
      <c r="P3" s="405"/>
      <c r="Q3" s="405"/>
      <c r="R3" s="405"/>
      <c r="S3" s="405"/>
      <c r="T3" s="405"/>
      <c r="U3" s="405"/>
      <c r="V3" s="405"/>
      <c r="W3" s="405"/>
    </row>
    <row r="4" spans="1:23" s="1" customFormat="1" ht="12.75">
      <c r="A4" s="18"/>
      <c r="B4" s="19" t="s">
        <v>3</v>
      </c>
      <c r="C4" s="19">
        <v>2007</v>
      </c>
      <c r="D4" s="19">
        <f>C4+1</f>
        <v>2008</v>
      </c>
      <c r="E4" s="19">
        <f aca="true" t="shared" si="0" ref="E4:W4">D4+1</f>
        <v>2009</v>
      </c>
      <c r="F4" s="19">
        <f t="shared" si="0"/>
        <v>2010</v>
      </c>
      <c r="G4" s="19">
        <f t="shared" si="0"/>
        <v>2011</v>
      </c>
      <c r="H4" s="19">
        <f t="shared" si="0"/>
        <v>2012</v>
      </c>
      <c r="I4" s="19">
        <f t="shared" si="0"/>
        <v>2013</v>
      </c>
      <c r="J4" s="19">
        <f t="shared" si="0"/>
        <v>2014</v>
      </c>
      <c r="K4" s="19">
        <f t="shared" si="0"/>
        <v>2015</v>
      </c>
      <c r="L4" s="19">
        <f t="shared" si="0"/>
        <v>2016</v>
      </c>
      <c r="M4" s="19">
        <f t="shared" si="0"/>
        <v>2017</v>
      </c>
      <c r="N4" s="19">
        <f t="shared" si="0"/>
        <v>2018</v>
      </c>
      <c r="O4" s="19">
        <f t="shared" si="0"/>
        <v>2019</v>
      </c>
      <c r="P4" s="19">
        <f t="shared" si="0"/>
        <v>2020</v>
      </c>
      <c r="Q4" s="19">
        <f t="shared" si="0"/>
        <v>2021</v>
      </c>
      <c r="R4" s="19">
        <f t="shared" si="0"/>
        <v>2022</v>
      </c>
      <c r="S4" s="19">
        <f t="shared" si="0"/>
        <v>2023</v>
      </c>
      <c r="T4" s="19">
        <f>S4+1</f>
        <v>2024</v>
      </c>
      <c r="U4" s="19">
        <f t="shared" si="0"/>
        <v>2025</v>
      </c>
      <c r="V4" s="19">
        <f t="shared" si="0"/>
        <v>2026</v>
      </c>
      <c r="W4" s="20">
        <f t="shared" si="0"/>
        <v>2027</v>
      </c>
    </row>
    <row r="5" spans="1:23" ht="12.75">
      <c r="A5" s="426" t="s">
        <v>28</v>
      </c>
      <c r="B5" s="427"/>
      <c r="C5" s="427"/>
      <c r="D5" s="427"/>
      <c r="E5" s="427"/>
      <c r="F5" s="427"/>
      <c r="G5" s="427"/>
      <c r="H5" s="427"/>
      <c r="I5" s="427"/>
      <c r="J5" s="427"/>
      <c r="K5" s="427"/>
      <c r="L5" s="427"/>
      <c r="M5" s="427"/>
      <c r="N5" s="427"/>
      <c r="O5" s="427"/>
      <c r="P5" s="427"/>
      <c r="Q5" s="427"/>
      <c r="R5" s="427"/>
      <c r="S5" s="427"/>
      <c r="T5" s="427"/>
      <c r="U5" s="427"/>
      <c r="V5" s="427"/>
      <c r="W5" s="428"/>
    </row>
    <row r="6" spans="1:23" ht="12.75">
      <c r="A6" s="5" t="s">
        <v>5</v>
      </c>
      <c r="B6" s="12" t="s">
        <v>19</v>
      </c>
      <c r="C6" s="13">
        <v>7243</v>
      </c>
      <c r="D6" s="13">
        <v>7243</v>
      </c>
      <c r="E6" s="13">
        <v>7168.294523872211</v>
      </c>
      <c r="F6" s="13">
        <v>7097.324321550811</v>
      </c>
      <c r="G6" s="13">
        <v>7097.324321550811</v>
      </c>
      <c r="H6" s="13">
        <v>7097.324321550811</v>
      </c>
      <c r="I6" s="13">
        <v>7097.324321550811</v>
      </c>
      <c r="J6" s="13">
        <v>7097.324321550811</v>
      </c>
      <c r="K6" s="13">
        <v>7097.324321550811</v>
      </c>
      <c r="L6" s="13">
        <v>7097.324321550811</v>
      </c>
      <c r="M6" s="13">
        <v>7097.324321550811</v>
      </c>
      <c r="N6" s="13">
        <v>7097.324321550811</v>
      </c>
      <c r="O6" s="13">
        <v>7097.324321550811</v>
      </c>
      <c r="P6" s="13">
        <v>7097.324321550811</v>
      </c>
      <c r="Q6" s="13">
        <v>7097.324321550811</v>
      </c>
      <c r="R6" s="13">
        <v>7097.324321550811</v>
      </c>
      <c r="S6" s="13">
        <v>7097.324321550811</v>
      </c>
      <c r="T6" s="13">
        <v>7097.324321550811</v>
      </c>
      <c r="U6" s="13">
        <v>7097.324321550811</v>
      </c>
      <c r="V6" s="13">
        <v>7097.324321550811</v>
      </c>
      <c r="W6" s="21">
        <v>7097.324321550811</v>
      </c>
    </row>
    <row r="7" spans="1:23" ht="12.75">
      <c r="A7" s="5" t="s">
        <v>6</v>
      </c>
      <c r="B7" s="12" t="str">
        <f>B6</f>
        <v>000 Tons</v>
      </c>
      <c r="C7" s="13">
        <v>4960</v>
      </c>
      <c r="D7" s="13">
        <v>4960</v>
      </c>
      <c r="E7" s="13">
        <v>4908.841755958328</v>
      </c>
      <c r="F7" s="13">
        <v>4860.241424118738</v>
      </c>
      <c r="G7" s="13">
        <v>4860.241424118738</v>
      </c>
      <c r="H7" s="13">
        <v>4860.241424118738</v>
      </c>
      <c r="I7" s="13">
        <v>4860.241424118738</v>
      </c>
      <c r="J7" s="13">
        <v>4860.241424118738</v>
      </c>
      <c r="K7" s="13">
        <v>4860.241424118738</v>
      </c>
      <c r="L7" s="13">
        <v>4860.241424118738</v>
      </c>
      <c r="M7" s="13">
        <v>4860.241424118738</v>
      </c>
      <c r="N7" s="13">
        <v>4860.241424118738</v>
      </c>
      <c r="O7" s="13">
        <v>4860.241424118738</v>
      </c>
      <c r="P7" s="13">
        <v>4860.241424118738</v>
      </c>
      <c r="Q7" s="13">
        <v>4860.241424118738</v>
      </c>
      <c r="R7" s="13">
        <v>4860.241424118738</v>
      </c>
      <c r="S7" s="13">
        <v>4860.241424118738</v>
      </c>
      <c r="T7" s="13">
        <v>4860.241424118738</v>
      </c>
      <c r="U7" s="13">
        <v>4860.241424118738</v>
      </c>
      <c r="V7" s="13">
        <v>4860.241424118738</v>
      </c>
      <c r="W7" s="21">
        <v>4860.241424118738</v>
      </c>
    </row>
    <row r="8" spans="1:23" ht="12.75">
      <c r="A8" s="5" t="s">
        <v>7</v>
      </c>
      <c r="B8" s="12" t="str">
        <f aca="true" t="shared" si="1" ref="B8:B22">B7</f>
        <v>000 Tons</v>
      </c>
      <c r="C8" s="13">
        <v>2283</v>
      </c>
      <c r="D8" s="13">
        <v>2283</v>
      </c>
      <c r="E8" s="13">
        <v>2259.4527679138837</v>
      </c>
      <c r="F8" s="13">
        <v>2237.082897432073</v>
      </c>
      <c r="G8" s="13">
        <v>2237.082897432073</v>
      </c>
      <c r="H8" s="13">
        <v>2237.082897432073</v>
      </c>
      <c r="I8" s="13">
        <v>2237.082897432073</v>
      </c>
      <c r="J8" s="13">
        <v>2237.082897432073</v>
      </c>
      <c r="K8" s="13">
        <v>2237.082897432073</v>
      </c>
      <c r="L8" s="13">
        <v>2237.082897432073</v>
      </c>
      <c r="M8" s="13">
        <v>2237.082897432073</v>
      </c>
      <c r="N8" s="13">
        <v>2237.082897432073</v>
      </c>
      <c r="O8" s="13">
        <v>2237.082897432073</v>
      </c>
      <c r="P8" s="13">
        <v>2237.082897432073</v>
      </c>
      <c r="Q8" s="13">
        <v>2237.082897432073</v>
      </c>
      <c r="R8" s="13">
        <v>2237.082897432073</v>
      </c>
      <c r="S8" s="13">
        <v>2237.082897432073</v>
      </c>
      <c r="T8" s="13">
        <v>2237.082897432073</v>
      </c>
      <c r="U8" s="13">
        <v>2237.082897432073</v>
      </c>
      <c r="V8" s="13">
        <v>2237.082897432073</v>
      </c>
      <c r="W8" s="21">
        <v>2237.082897432073</v>
      </c>
    </row>
    <row r="9" spans="1:23" s="1" customFormat="1" ht="12.75">
      <c r="A9" s="7" t="s">
        <v>8</v>
      </c>
      <c r="B9" s="14" t="str">
        <f t="shared" si="1"/>
        <v>000 Tons</v>
      </c>
      <c r="C9" s="15">
        <v>1315</v>
      </c>
      <c r="D9" s="15">
        <v>1364.146490314871</v>
      </c>
      <c r="E9" s="15">
        <v>1295.9391657991273</v>
      </c>
      <c r="F9" s="15">
        <v>1166.3452492192143</v>
      </c>
      <c r="G9" s="15">
        <v>1064.9173908183373</v>
      </c>
      <c r="H9" s="15">
        <v>1011.6715212774205</v>
      </c>
      <c r="I9" s="15">
        <v>1011.6715212774205</v>
      </c>
      <c r="J9" s="15">
        <v>1011.6715212774205</v>
      </c>
      <c r="K9" s="15">
        <v>1011.6715212774205</v>
      </c>
      <c r="L9" s="15">
        <v>1011.6715212774205</v>
      </c>
      <c r="M9" s="15">
        <v>1011.6715212774205</v>
      </c>
      <c r="N9" s="15">
        <v>1011.6715212774205</v>
      </c>
      <c r="O9" s="15">
        <v>1011.6715212774205</v>
      </c>
      <c r="P9" s="15">
        <v>1011.6715212774205</v>
      </c>
      <c r="Q9" s="15">
        <v>1011.6715212774205</v>
      </c>
      <c r="R9" s="15">
        <v>1011.6715212774205</v>
      </c>
      <c r="S9" s="15">
        <v>1011.6715212774205</v>
      </c>
      <c r="T9" s="15">
        <v>1011.6715212774205</v>
      </c>
      <c r="U9" s="15">
        <v>1011.6715212774205</v>
      </c>
      <c r="V9" s="15">
        <v>1011.6715212774205</v>
      </c>
      <c r="W9" s="22">
        <v>1011.6715212774205</v>
      </c>
    </row>
    <row r="10" spans="1:23" ht="12.75">
      <c r="A10" s="5" t="s">
        <v>9</v>
      </c>
      <c r="B10" s="12" t="str">
        <f t="shared" si="1"/>
        <v>000 Tons</v>
      </c>
      <c r="C10" s="13">
        <v>519</v>
      </c>
      <c r="D10" s="13">
        <v>538.3969798276944</v>
      </c>
      <c r="E10" s="13">
        <v>511.47713083630964</v>
      </c>
      <c r="F10" s="13">
        <v>460.3294177526786</v>
      </c>
      <c r="G10" s="13">
        <v>420.29819455111567</v>
      </c>
      <c r="H10" s="13">
        <v>399.28328482355994</v>
      </c>
      <c r="I10" s="13">
        <v>399.28328482355994</v>
      </c>
      <c r="J10" s="13">
        <v>399.28328482355994</v>
      </c>
      <c r="K10" s="13">
        <v>399.28328482355994</v>
      </c>
      <c r="L10" s="13">
        <v>399.28328482355994</v>
      </c>
      <c r="M10" s="13">
        <v>399.28328482355994</v>
      </c>
      <c r="N10" s="13">
        <v>399.28328482355994</v>
      </c>
      <c r="O10" s="13">
        <v>399.28328482355994</v>
      </c>
      <c r="P10" s="13">
        <v>399.28328482355994</v>
      </c>
      <c r="Q10" s="13">
        <v>399.28328482355994</v>
      </c>
      <c r="R10" s="13">
        <v>399.28328482355994</v>
      </c>
      <c r="S10" s="13">
        <v>399.28328482355994</v>
      </c>
      <c r="T10" s="13">
        <v>399.28328482355994</v>
      </c>
      <c r="U10" s="13">
        <v>399.28328482355994</v>
      </c>
      <c r="V10" s="13">
        <v>399.28328482355994</v>
      </c>
      <c r="W10" s="21">
        <v>399.28328482355994</v>
      </c>
    </row>
    <row r="11" spans="1:23" ht="12.75">
      <c r="A11" s="5" t="s">
        <v>10</v>
      </c>
      <c r="B11" s="12" t="str">
        <f t="shared" si="1"/>
        <v>000 Tons</v>
      </c>
      <c r="C11" s="13">
        <v>78</v>
      </c>
      <c r="D11" s="13">
        <v>80.91515303768819</v>
      </c>
      <c r="E11" s="13">
        <v>76.86939538580377</v>
      </c>
      <c r="F11" s="13">
        <v>69.18245584722338</v>
      </c>
      <c r="G11" s="13">
        <v>63.16620264930063</v>
      </c>
      <c r="H11" s="13">
        <v>60.007892516835604</v>
      </c>
      <c r="I11" s="13">
        <v>60.007892516835604</v>
      </c>
      <c r="J11" s="13">
        <v>60.007892516835604</v>
      </c>
      <c r="K11" s="13">
        <v>60.007892516835604</v>
      </c>
      <c r="L11" s="13">
        <v>60.007892516835604</v>
      </c>
      <c r="M11" s="13">
        <v>60.007892516835604</v>
      </c>
      <c r="N11" s="13">
        <v>60.007892516835604</v>
      </c>
      <c r="O11" s="13">
        <v>60.007892516835604</v>
      </c>
      <c r="P11" s="13">
        <v>60.007892516835604</v>
      </c>
      <c r="Q11" s="13">
        <v>60.007892516835604</v>
      </c>
      <c r="R11" s="13">
        <v>60.007892516835604</v>
      </c>
      <c r="S11" s="13">
        <v>60.007892516835604</v>
      </c>
      <c r="T11" s="13">
        <v>60.007892516835604</v>
      </c>
      <c r="U11" s="13">
        <v>60.007892516835604</v>
      </c>
      <c r="V11" s="13">
        <v>60.007892516835604</v>
      </c>
      <c r="W11" s="21">
        <v>60.007892516835604</v>
      </c>
    </row>
    <row r="12" spans="1:23" ht="12.75">
      <c r="A12" s="5" t="s">
        <v>11</v>
      </c>
      <c r="B12" s="12" t="str">
        <f t="shared" si="1"/>
        <v>000 Tons</v>
      </c>
      <c r="C12" s="13">
        <v>357</v>
      </c>
      <c r="D12" s="13">
        <v>370.3424312109574</v>
      </c>
      <c r="E12" s="13">
        <v>351.8253096504095</v>
      </c>
      <c r="F12" s="13">
        <v>316.64277868536846</v>
      </c>
      <c r="G12" s="13">
        <v>289.1068505871836</v>
      </c>
      <c r="H12" s="13">
        <v>274.65150805782446</v>
      </c>
      <c r="I12" s="13">
        <v>274.65150805782446</v>
      </c>
      <c r="J12" s="13">
        <v>274.65150805782446</v>
      </c>
      <c r="K12" s="13">
        <v>274.65150805782446</v>
      </c>
      <c r="L12" s="13">
        <v>274.65150805782446</v>
      </c>
      <c r="M12" s="13">
        <v>274.65150805782446</v>
      </c>
      <c r="N12" s="13">
        <v>274.65150805782446</v>
      </c>
      <c r="O12" s="13">
        <v>274.65150805782446</v>
      </c>
      <c r="P12" s="13">
        <v>274.65150805782446</v>
      </c>
      <c r="Q12" s="13">
        <v>274.65150805782446</v>
      </c>
      <c r="R12" s="13">
        <v>274.65150805782446</v>
      </c>
      <c r="S12" s="13">
        <v>274.65150805782446</v>
      </c>
      <c r="T12" s="13">
        <v>274.65150805782446</v>
      </c>
      <c r="U12" s="13">
        <v>274.65150805782446</v>
      </c>
      <c r="V12" s="13">
        <v>274.65150805782446</v>
      </c>
      <c r="W12" s="21">
        <v>274.65150805782446</v>
      </c>
    </row>
    <row r="13" spans="1:23" ht="12.75">
      <c r="A13" s="5" t="s">
        <v>7</v>
      </c>
      <c r="B13" s="12" t="str">
        <f t="shared" si="1"/>
        <v>000 Tons</v>
      </c>
      <c r="C13" s="13">
        <v>361</v>
      </c>
      <c r="D13" s="13">
        <v>374.491926238531</v>
      </c>
      <c r="E13" s="13">
        <v>355.76732992660436</v>
      </c>
      <c r="F13" s="13">
        <v>320.1905969339438</v>
      </c>
      <c r="G13" s="13">
        <v>292.3461430307373</v>
      </c>
      <c r="H13" s="13">
        <v>277.7288358792006</v>
      </c>
      <c r="I13" s="13">
        <v>277.7288358792006</v>
      </c>
      <c r="J13" s="13">
        <v>277.7288358792006</v>
      </c>
      <c r="K13" s="13">
        <v>277.7288358792006</v>
      </c>
      <c r="L13" s="13">
        <v>277.7288358792006</v>
      </c>
      <c r="M13" s="13">
        <v>277.7288358792006</v>
      </c>
      <c r="N13" s="13">
        <v>277.7288358792006</v>
      </c>
      <c r="O13" s="13">
        <v>277.7288358792006</v>
      </c>
      <c r="P13" s="13">
        <v>277.7288358792006</v>
      </c>
      <c r="Q13" s="13">
        <v>277.7288358792006</v>
      </c>
      <c r="R13" s="13">
        <v>277.7288358792006</v>
      </c>
      <c r="S13" s="13">
        <v>277.7288358792006</v>
      </c>
      <c r="T13" s="13">
        <v>277.7288358792006</v>
      </c>
      <c r="U13" s="13">
        <v>277.7288358792006</v>
      </c>
      <c r="V13" s="13">
        <v>277.7288358792006</v>
      </c>
      <c r="W13" s="21">
        <v>277.7288358792006</v>
      </c>
    </row>
    <row r="14" spans="1:23" s="1" customFormat="1" ht="12.75">
      <c r="A14" s="7" t="s">
        <v>12</v>
      </c>
      <c r="B14" s="14" t="str">
        <f t="shared" si="1"/>
        <v>000 Tons</v>
      </c>
      <c r="C14" s="15">
        <v>2985</v>
      </c>
      <c r="D14" s="15">
        <v>4056</v>
      </c>
      <c r="E14" s="15">
        <v>3908.6902934457294</v>
      </c>
      <c r="F14" s="15">
        <v>3676.852354705279</v>
      </c>
      <c r="G14" s="15">
        <v>3408.136435750645</v>
      </c>
      <c r="H14" s="15">
        <v>3296.6163572900696</v>
      </c>
      <c r="I14" s="15">
        <v>3296.6163572900696</v>
      </c>
      <c r="J14" s="15">
        <v>3296.6163572900696</v>
      </c>
      <c r="K14" s="15">
        <v>3296.6163572900696</v>
      </c>
      <c r="L14" s="15">
        <v>3296.6163572900696</v>
      </c>
      <c r="M14" s="15">
        <v>3296.6163572900696</v>
      </c>
      <c r="N14" s="15">
        <v>3296.6163572900696</v>
      </c>
      <c r="O14" s="15">
        <v>3296.6163572900696</v>
      </c>
      <c r="P14" s="15">
        <v>3296.6163572900696</v>
      </c>
      <c r="Q14" s="15">
        <v>3296.6163572900696</v>
      </c>
      <c r="R14" s="15">
        <v>3296.6163572900696</v>
      </c>
      <c r="S14" s="15">
        <v>3296.6163572900696</v>
      </c>
      <c r="T14" s="15">
        <v>3296.6163572900696</v>
      </c>
      <c r="U14" s="15">
        <v>3296.6163572900696</v>
      </c>
      <c r="V14" s="15">
        <v>3296.6163572900696</v>
      </c>
      <c r="W14" s="22">
        <v>3296.6163572900696</v>
      </c>
    </row>
    <row r="15" spans="1:23" ht="12.75">
      <c r="A15" s="5" t="s">
        <v>6</v>
      </c>
      <c r="B15" s="12" t="str">
        <f t="shared" si="1"/>
        <v>000 Tons</v>
      </c>
      <c r="C15" s="13">
        <v>414</v>
      </c>
      <c r="D15" s="13">
        <v>428.49</v>
      </c>
      <c r="E15" s="13">
        <v>412.92768832311646</v>
      </c>
      <c r="F15" s="13">
        <v>388.4355190995229</v>
      </c>
      <c r="G15" s="13">
        <v>360.04743130049155</v>
      </c>
      <c r="H15" s="13">
        <v>348.2660608814649</v>
      </c>
      <c r="I15" s="13">
        <v>348.2660608814649</v>
      </c>
      <c r="J15" s="13">
        <v>348.2660608814649</v>
      </c>
      <c r="K15" s="13">
        <v>348.2660608814649</v>
      </c>
      <c r="L15" s="13">
        <v>348.2660608814649</v>
      </c>
      <c r="M15" s="13">
        <v>348.2660608814649</v>
      </c>
      <c r="N15" s="13">
        <v>348.2660608814649</v>
      </c>
      <c r="O15" s="13">
        <v>348.2660608814649</v>
      </c>
      <c r="P15" s="13">
        <v>348.2660608814649</v>
      </c>
      <c r="Q15" s="13">
        <v>348.2660608814649</v>
      </c>
      <c r="R15" s="13">
        <v>348.2660608814649</v>
      </c>
      <c r="S15" s="13">
        <v>348.2660608814649</v>
      </c>
      <c r="T15" s="13">
        <v>348.2660608814649</v>
      </c>
      <c r="U15" s="13">
        <v>348.2660608814649</v>
      </c>
      <c r="V15" s="13">
        <v>348.2660608814649</v>
      </c>
      <c r="W15" s="21">
        <v>348.2660608814649</v>
      </c>
    </row>
    <row r="16" spans="1:23" ht="12.75">
      <c r="A16" s="5" t="s">
        <v>13</v>
      </c>
      <c r="B16" s="12" t="str">
        <f t="shared" si="1"/>
        <v>000 Tons</v>
      </c>
      <c r="C16" s="13">
        <v>2373</v>
      </c>
      <c r="D16" s="13">
        <v>3420.46</v>
      </c>
      <c r="E16" s="13">
        <v>3296.23244603535</v>
      </c>
      <c r="F16" s="13">
        <v>3100.7215002897483</v>
      </c>
      <c r="G16" s="13">
        <v>2874.1110337839377</v>
      </c>
      <c r="H16" s="13">
        <v>2780.0651837910236</v>
      </c>
      <c r="I16" s="13">
        <v>2780.0651837910236</v>
      </c>
      <c r="J16" s="13">
        <v>2780.0651837910236</v>
      </c>
      <c r="K16" s="13">
        <v>2780.0651837910236</v>
      </c>
      <c r="L16" s="13">
        <v>2780.0651837910236</v>
      </c>
      <c r="M16" s="13">
        <v>2780.0651837910236</v>
      </c>
      <c r="N16" s="13">
        <v>2780.0651837910236</v>
      </c>
      <c r="O16" s="13">
        <v>2780.0651837910236</v>
      </c>
      <c r="P16" s="13">
        <v>2780.0651837910236</v>
      </c>
      <c r="Q16" s="13">
        <v>2780.0651837910236</v>
      </c>
      <c r="R16" s="13">
        <v>2780.0651837910236</v>
      </c>
      <c r="S16" s="13">
        <v>2780.0651837910236</v>
      </c>
      <c r="T16" s="13">
        <v>2780.0651837910236</v>
      </c>
      <c r="U16" s="13">
        <v>2780.0651837910236</v>
      </c>
      <c r="V16" s="13">
        <v>2780.0651837910236</v>
      </c>
      <c r="W16" s="21">
        <v>2780.0651837910236</v>
      </c>
    </row>
    <row r="17" spans="1:23" ht="12.75">
      <c r="A17" s="5" t="s">
        <v>7</v>
      </c>
      <c r="B17" s="12" t="str">
        <f t="shared" si="1"/>
        <v>000 Tons</v>
      </c>
      <c r="C17" s="13">
        <v>197</v>
      </c>
      <c r="D17" s="13">
        <v>207.05</v>
      </c>
      <c r="E17" s="13">
        <v>199.53015908726275</v>
      </c>
      <c r="F17" s="13">
        <v>187.6953353160079</v>
      </c>
      <c r="G17" s="13">
        <v>173.9779706662157</v>
      </c>
      <c r="H17" s="13">
        <v>168.28511261758104</v>
      </c>
      <c r="I17" s="13">
        <v>168.28511261758104</v>
      </c>
      <c r="J17" s="13">
        <v>168.28511261758104</v>
      </c>
      <c r="K17" s="13">
        <v>168.28511261758104</v>
      </c>
      <c r="L17" s="13">
        <v>168.28511261758104</v>
      </c>
      <c r="M17" s="13">
        <v>168.28511261758104</v>
      </c>
      <c r="N17" s="13">
        <v>168.28511261758104</v>
      </c>
      <c r="O17" s="13">
        <v>168.28511261758104</v>
      </c>
      <c r="P17" s="13">
        <v>168.28511261758104</v>
      </c>
      <c r="Q17" s="13">
        <v>168.28511261758104</v>
      </c>
      <c r="R17" s="13">
        <v>168.28511261758104</v>
      </c>
      <c r="S17" s="13">
        <v>168.28511261758104</v>
      </c>
      <c r="T17" s="13">
        <v>168.28511261758104</v>
      </c>
      <c r="U17" s="13">
        <v>168.28511261758104</v>
      </c>
      <c r="V17" s="13">
        <v>168.28511261758104</v>
      </c>
      <c r="W17" s="21">
        <v>168.28511261758104</v>
      </c>
    </row>
    <row r="18" spans="1:23" s="1" customFormat="1" ht="12.75">
      <c r="A18" s="7" t="s">
        <v>14</v>
      </c>
      <c r="B18" s="14" t="str">
        <f t="shared" si="1"/>
        <v>000 Tons</v>
      </c>
      <c r="C18" s="15">
        <v>4640.2</v>
      </c>
      <c r="D18" s="15">
        <v>4640.2</v>
      </c>
      <c r="E18" s="15">
        <v>4500.994</v>
      </c>
      <c r="F18" s="15">
        <v>4320.954239999999</v>
      </c>
      <c r="G18" s="15">
        <v>4234.535155199999</v>
      </c>
      <c r="H18" s="15">
        <v>4149.844452095999</v>
      </c>
      <c r="I18" s="15">
        <v>4149.844452095999</v>
      </c>
      <c r="J18" s="15">
        <v>4149.844452095999</v>
      </c>
      <c r="K18" s="15">
        <v>4149.844452095999</v>
      </c>
      <c r="L18" s="15">
        <v>4149.844452095999</v>
      </c>
      <c r="M18" s="15">
        <v>4149.844452095999</v>
      </c>
      <c r="N18" s="15">
        <v>4149.844452095999</v>
      </c>
      <c r="O18" s="15">
        <v>4149.844452095999</v>
      </c>
      <c r="P18" s="15">
        <v>4149.844452095999</v>
      </c>
      <c r="Q18" s="15">
        <v>4149.844452095999</v>
      </c>
      <c r="R18" s="15">
        <v>4149.844452095999</v>
      </c>
      <c r="S18" s="15">
        <v>4149.844452095999</v>
      </c>
      <c r="T18" s="15">
        <v>4149.844452095999</v>
      </c>
      <c r="U18" s="15">
        <v>4149.844452095999</v>
      </c>
      <c r="V18" s="15">
        <v>4149.844452095999</v>
      </c>
      <c r="W18" s="22">
        <v>4149.844452095999</v>
      </c>
    </row>
    <row r="19" spans="1:23" ht="12.75">
      <c r="A19" s="5" t="s">
        <v>15</v>
      </c>
      <c r="B19" s="12" t="str">
        <f t="shared" si="1"/>
        <v>000 Tons</v>
      </c>
      <c r="C19" s="13">
        <v>1255.2</v>
      </c>
      <c r="D19" s="13">
        <v>1129.68</v>
      </c>
      <c r="E19" s="13">
        <v>1095.7896</v>
      </c>
      <c r="F19" s="13">
        <v>1051.9580159999998</v>
      </c>
      <c r="G19" s="13">
        <v>1051.9580159999998</v>
      </c>
      <c r="H19" s="13">
        <v>1051.9580159999998</v>
      </c>
      <c r="I19" s="13">
        <v>1051.9580159999998</v>
      </c>
      <c r="J19" s="13">
        <v>1051.9580159999998</v>
      </c>
      <c r="K19" s="13">
        <v>1051.9580159999998</v>
      </c>
      <c r="L19" s="13">
        <v>1051.9580159999998</v>
      </c>
      <c r="M19" s="13">
        <v>1051.9580159999998</v>
      </c>
      <c r="N19" s="13">
        <v>1051.9580159999998</v>
      </c>
      <c r="O19" s="13">
        <v>1051.9580159999998</v>
      </c>
      <c r="P19" s="13">
        <v>1051.9580159999998</v>
      </c>
      <c r="Q19" s="13">
        <v>1051.9580159999998</v>
      </c>
      <c r="R19" s="13">
        <v>1051.9580159999998</v>
      </c>
      <c r="S19" s="13">
        <v>1051.9580159999998</v>
      </c>
      <c r="T19" s="13">
        <v>1051.9580159999998</v>
      </c>
      <c r="U19" s="13">
        <v>1051.9580159999998</v>
      </c>
      <c r="V19" s="13">
        <v>1051.9580159999998</v>
      </c>
      <c r="W19" s="21">
        <v>1051.9580159999998</v>
      </c>
    </row>
    <row r="20" spans="1:23" ht="12.75">
      <c r="A20" s="5" t="s">
        <v>16</v>
      </c>
      <c r="B20" s="12" t="str">
        <f t="shared" si="1"/>
        <v>000 Tons</v>
      </c>
      <c r="C20" s="13">
        <v>2543</v>
      </c>
      <c r="D20" s="13">
        <v>2668.52</v>
      </c>
      <c r="E20" s="13">
        <v>2588.4643999999994</v>
      </c>
      <c r="F20" s="13">
        <v>2484.925823999999</v>
      </c>
      <c r="G20" s="13">
        <v>2435.227307519999</v>
      </c>
      <c r="H20" s="13">
        <v>2386.5227613695993</v>
      </c>
      <c r="I20" s="13">
        <v>2386.5227613695993</v>
      </c>
      <c r="J20" s="13">
        <v>2386.5227613695993</v>
      </c>
      <c r="K20" s="13">
        <v>2386.5227613695993</v>
      </c>
      <c r="L20" s="13">
        <v>2386.5227613695993</v>
      </c>
      <c r="M20" s="13">
        <v>2386.5227613695993</v>
      </c>
      <c r="N20" s="13">
        <v>2386.5227613695993</v>
      </c>
      <c r="O20" s="13">
        <v>2386.5227613695993</v>
      </c>
      <c r="P20" s="13">
        <v>2386.5227613695993</v>
      </c>
      <c r="Q20" s="13">
        <v>2386.5227613695993</v>
      </c>
      <c r="R20" s="13">
        <v>2386.5227613695993</v>
      </c>
      <c r="S20" s="13">
        <v>2386.5227613695993</v>
      </c>
      <c r="T20" s="13">
        <v>2386.5227613695993</v>
      </c>
      <c r="U20" s="13">
        <v>2386.5227613695993</v>
      </c>
      <c r="V20" s="13">
        <v>2386.5227613695993</v>
      </c>
      <c r="W20" s="21">
        <v>2386.5227613695993</v>
      </c>
    </row>
    <row r="21" spans="1:23" ht="12.75">
      <c r="A21" s="5" t="s">
        <v>17</v>
      </c>
      <c r="B21" s="12" t="str">
        <f t="shared" si="1"/>
        <v>000 Tons</v>
      </c>
      <c r="C21" s="13">
        <v>842</v>
      </c>
      <c r="D21" s="13">
        <v>842</v>
      </c>
      <c r="E21" s="13">
        <v>816.74</v>
      </c>
      <c r="F21" s="13">
        <v>784.0704000000005</v>
      </c>
      <c r="G21" s="13">
        <v>747.3498316800005</v>
      </c>
      <c r="H21" s="13">
        <v>711.3636747264004</v>
      </c>
      <c r="I21" s="13">
        <v>711.3636747264004</v>
      </c>
      <c r="J21" s="13">
        <v>711.3636747264004</v>
      </c>
      <c r="K21" s="13">
        <v>711.3636747264004</v>
      </c>
      <c r="L21" s="13">
        <v>711.3636747264004</v>
      </c>
      <c r="M21" s="13">
        <v>711.3636747264004</v>
      </c>
      <c r="N21" s="13">
        <v>711.3636747264004</v>
      </c>
      <c r="O21" s="13">
        <v>711.3636747264004</v>
      </c>
      <c r="P21" s="13">
        <v>711.3636747264004</v>
      </c>
      <c r="Q21" s="13">
        <v>711.3636747264004</v>
      </c>
      <c r="R21" s="13">
        <v>711.3636747264004</v>
      </c>
      <c r="S21" s="13">
        <v>711.3636747264004</v>
      </c>
      <c r="T21" s="13">
        <v>711.3636747264004</v>
      </c>
      <c r="U21" s="13">
        <v>711.3636747264004</v>
      </c>
      <c r="V21" s="13">
        <v>711.3636747264004</v>
      </c>
      <c r="W21" s="21">
        <v>711.3636747264004</v>
      </c>
    </row>
    <row r="22" spans="1:23" s="1" customFormat="1" ht="12.75">
      <c r="A22" s="7" t="s">
        <v>18</v>
      </c>
      <c r="B22" s="14" t="str">
        <f t="shared" si="1"/>
        <v>000 Tons</v>
      </c>
      <c r="C22" s="15">
        <v>16183.2</v>
      </c>
      <c r="D22" s="15">
        <v>17303.34649031487</v>
      </c>
      <c r="E22" s="15">
        <v>16873.91798311707</v>
      </c>
      <c r="F22" s="15">
        <v>16261.476165475302</v>
      </c>
      <c r="G22" s="15">
        <v>15804.91330331979</v>
      </c>
      <c r="H22" s="15">
        <v>15555.4566522143</v>
      </c>
      <c r="I22" s="15">
        <v>15555.4566522143</v>
      </c>
      <c r="J22" s="15">
        <v>15555.4566522143</v>
      </c>
      <c r="K22" s="15">
        <v>15555.4566522143</v>
      </c>
      <c r="L22" s="15">
        <v>15555.4566522143</v>
      </c>
      <c r="M22" s="15">
        <v>15555.4566522143</v>
      </c>
      <c r="N22" s="15">
        <v>15555.4566522143</v>
      </c>
      <c r="O22" s="15">
        <v>15555.4566522143</v>
      </c>
      <c r="P22" s="15">
        <v>15555.4566522143</v>
      </c>
      <c r="Q22" s="15">
        <v>15555.4566522143</v>
      </c>
      <c r="R22" s="15">
        <v>15555.4566522143</v>
      </c>
      <c r="S22" s="15">
        <v>15555.4566522143</v>
      </c>
      <c r="T22" s="15">
        <v>15555.4566522143</v>
      </c>
      <c r="U22" s="15">
        <v>15555.4566522143</v>
      </c>
      <c r="V22" s="15">
        <v>15555.4566522143</v>
      </c>
      <c r="W22" s="22">
        <v>15555.4566522143</v>
      </c>
    </row>
    <row r="23" spans="1:23" ht="12.75">
      <c r="A23" s="426"/>
      <c r="B23" s="427"/>
      <c r="C23" s="427"/>
      <c r="D23" s="427"/>
      <c r="E23" s="427"/>
      <c r="F23" s="427"/>
      <c r="G23" s="427"/>
      <c r="H23" s="427"/>
      <c r="I23" s="427"/>
      <c r="J23" s="427"/>
      <c r="K23" s="427"/>
      <c r="L23" s="427"/>
      <c r="M23" s="427"/>
      <c r="N23" s="427"/>
      <c r="O23" s="427"/>
      <c r="P23" s="427"/>
      <c r="Q23" s="427"/>
      <c r="R23" s="427"/>
      <c r="S23" s="427"/>
      <c r="T23" s="427"/>
      <c r="U23" s="427"/>
      <c r="V23" s="427"/>
      <c r="W23" s="428"/>
    </row>
    <row r="24" spans="1:23" ht="12.75">
      <c r="A24" s="5" t="s">
        <v>5</v>
      </c>
      <c r="B24" s="12" t="s">
        <v>20</v>
      </c>
      <c r="C24" s="13">
        <v>2064.255</v>
      </c>
      <c r="D24" s="13">
        <v>2064.255</v>
      </c>
      <c r="E24" s="13">
        <v>2042.9639393035802</v>
      </c>
      <c r="F24" s="13">
        <v>2022.7374316419812</v>
      </c>
      <c r="G24" s="13">
        <v>2022.7374316419812</v>
      </c>
      <c r="H24" s="13">
        <v>2022.7374316419812</v>
      </c>
      <c r="I24" s="13">
        <v>2022.7374316419812</v>
      </c>
      <c r="J24" s="13">
        <v>2022.7374316419812</v>
      </c>
      <c r="K24" s="13">
        <v>2022.7374316419812</v>
      </c>
      <c r="L24" s="13">
        <v>2022.7374316419812</v>
      </c>
      <c r="M24" s="13">
        <v>2022.7374316419812</v>
      </c>
      <c r="N24" s="13">
        <v>2022.7374316419812</v>
      </c>
      <c r="O24" s="13">
        <v>2022.7374316419812</v>
      </c>
      <c r="P24" s="13">
        <v>2022.7374316419812</v>
      </c>
      <c r="Q24" s="13">
        <v>2022.7374316419812</v>
      </c>
      <c r="R24" s="13">
        <v>2022.7374316419812</v>
      </c>
      <c r="S24" s="13">
        <v>2022.7374316419812</v>
      </c>
      <c r="T24" s="13">
        <v>2022.7374316419812</v>
      </c>
      <c r="U24" s="13">
        <v>2022.7374316419812</v>
      </c>
      <c r="V24" s="13">
        <v>2022.7374316419812</v>
      </c>
      <c r="W24" s="21">
        <v>2022.7374316419812</v>
      </c>
    </row>
    <row r="25" spans="1:23" ht="12.75">
      <c r="A25" s="5" t="s">
        <v>8</v>
      </c>
      <c r="B25" s="12" t="s">
        <v>20</v>
      </c>
      <c r="C25" s="13">
        <v>594.38</v>
      </c>
      <c r="D25" s="13">
        <v>616.5942136223217</v>
      </c>
      <c r="E25" s="13">
        <v>585.7645029412055</v>
      </c>
      <c r="F25" s="13">
        <v>527.1880526470849</v>
      </c>
      <c r="G25" s="13">
        <v>481.34266064988844</v>
      </c>
      <c r="H25" s="13">
        <v>457.2755276173941</v>
      </c>
      <c r="I25" s="13">
        <v>457.2755276173941</v>
      </c>
      <c r="J25" s="13">
        <v>457.2755276173941</v>
      </c>
      <c r="K25" s="13">
        <v>457.2755276173941</v>
      </c>
      <c r="L25" s="13">
        <v>457.2755276173941</v>
      </c>
      <c r="M25" s="13">
        <v>457.2755276173941</v>
      </c>
      <c r="N25" s="13">
        <v>457.2755276173941</v>
      </c>
      <c r="O25" s="13">
        <v>457.2755276173941</v>
      </c>
      <c r="P25" s="13">
        <v>457.2755276173941</v>
      </c>
      <c r="Q25" s="13">
        <v>457.2755276173941</v>
      </c>
      <c r="R25" s="13">
        <v>457.2755276173941</v>
      </c>
      <c r="S25" s="13">
        <v>457.2755276173941</v>
      </c>
      <c r="T25" s="13">
        <v>457.2755276173941</v>
      </c>
      <c r="U25" s="13">
        <v>457.2755276173941</v>
      </c>
      <c r="V25" s="13">
        <v>457.2755276173941</v>
      </c>
      <c r="W25" s="21">
        <v>457.2755276173941</v>
      </c>
    </row>
    <row r="26" spans="1:23" ht="12.75">
      <c r="A26" s="5" t="s">
        <v>12</v>
      </c>
      <c r="B26" s="12" t="s">
        <v>20</v>
      </c>
      <c r="C26" s="13">
        <v>2582.025</v>
      </c>
      <c r="D26" s="13">
        <v>3508.44</v>
      </c>
      <c r="E26" s="13">
        <v>3381.0171038305557</v>
      </c>
      <c r="F26" s="13">
        <v>3180.4772868200666</v>
      </c>
      <c r="G26" s="13">
        <v>2948.0380169243076</v>
      </c>
      <c r="H26" s="13">
        <v>2851.57314905591</v>
      </c>
      <c r="I26" s="13">
        <v>2851.57314905591</v>
      </c>
      <c r="J26" s="13">
        <v>2851.57314905591</v>
      </c>
      <c r="K26" s="13">
        <v>2851.57314905591</v>
      </c>
      <c r="L26" s="13">
        <v>2851.57314905591</v>
      </c>
      <c r="M26" s="13">
        <v>2851.57314905591</v>
      </c>
      <c r="N26" s="13">
        <v>2851.57314905591</v>
      </c>
      <c r="O26" s="13">
        <v>2851.57314905591</v>
      </c>
      <c r="P26" s="13">
        <v>2851.57314905591</v>
      </c>
      <c r="Q26" s="13">
        <v>2851.57314905591</v>
      </c>
      <c r="R26" s="13">
        <v>2851.57314905591</v>
      </c>
      <c r="S26" s="13">
        <v>2851.57314905591</v>
      </c>
      <c r="T26" s="13">
        <v>2851.57314905591</v>
      </c>
      <c r="U26" s="13">
        <v>2851.57314905591</v>
      </c>
      <c r="V26" s="13">
        <v>2851.57314905591</v>
      </c>
      <c r="W26" s="21">
        <v>2851.57314905591</v>
      </c>
    </row>
    <row r="27" spans="1:23" ht="12.75">
      <c r="A27" s="5" t="s">
        <v>14</v>
      </c>
      <c r="B27" s="12" t="s">
        <v>20</v>
      </c>
      <c r="C27" s="13">
        <v>5155.2622</v>
      </c>
      <c r="D27" s="13">
        <v>5155.2622</v>
      </c>
      <c r="E27" s="13">
        <v>5000.604334</v>
      </c>
      <c r="F27" s="13">
        <v>4800.580160639999</v>
      </c>
      <c r="G27" s="13">
        <v>4704.568557427199</v>
      </c>
      <c r="H27" s="13">
        <v>4610.477186278656</v>
      </c>
      <c r="I27" s="13">
        <v>4610.477186278656</v>
      </c>
      <c r="J27" s="13">
        <v>4610.477186278656</v>
      </c>
      <c r="K27" s="13">
        <v>4610.477186278656</v>
      </c>
      <c r="L27" s="13">
        <v>4610.477186278656</v>
      </c>
      <c r="M27" s="13">
        <v>4610.477186278656</v>
      </c>
      <c r="N27" s="13">
        <v>4610.477186278656</v>
      </c>
      <c r="O27" s="13">
        <v>4610.477186278656</v>
      </c>
      <c r="P27" s="13">
        <v>4610.477186278656</v>
      </c>
      <c r="Q27" s="13">
        <v>4610.477186278656</v>
      </c>
      <c r="R27" s="13">
        <v>4610.477186278656</v>
      </c>
      <c r="S27" s="13">
        <v>4610.477186278656</v>
      </c>
      <c r="T27" s="13">
        <v>4610.477186278656</v>
      </c>
      <c r="U27" s="13">
        <v>4610.477186278656</v>
      </c>
      <c r="V27" s="13">
        <v>4610.477186278656</v>
      </c>
      <c r="W27" s="21">
        <v>4610.477186278656</v>
      </c>
    </row>
    <row r="28" spans="1:23" s="1" customFormat="1" ht="12.75">
      <c r="A28" s="7" t="s">
        <v>18</v>
      </c>
      <c r="B28" s="14" t="s">
        <v>20</v>
      </c>
      <c r="C28" s="15">
        <v>10395.9222</v>
      </c>
      <c r="D28" s="15">
        <v>11344.551413622321</v>
      </c>
      <c r="E28" s="15">
        <v>11010.34988007534</v>
      </c>
      <c r="F28" s="15">
        <v>10530.982931749131</v>
      </c>
      <c r="G28" s="15">
        <v>10156.686666643376</v>
      </c>
      <c r="H28" s="15">
        <v>9942.063294593941</v>
      </c>
      <c r="I28" s="15">
        <v>9942.063294593941</v>
      </c>
      <c r="J28" s="15">
        <v>9942.063294593941</v>
      </c>
      <c r="K28" s="15">
        <v>9942.063294593941</v>
      </c>
      <c r="L28" s="15">
        <v>9942.063294593941</v>
      </c>
      <c r="M28" s="15">
        <v>9942.063294593941</v>
      </c>
      <c r="N28" s="15">
        <v>9942.063294593941</v>
      </c>
      <c r="O28" s="15">
        <v>9942.063294593941</v>
      </c>
      <c r="P28" s="15">
        <v>9942.063294593941</v>
      </c>
      <c r="Q28" s="15">
        <v>9942.063294593941</v>
      </c>
      <c r="R28" s="15">
        <v>9942.063294593941</v>
      </c>
      <c r="S28" s="15">
        <v>9942.063294593941</v>
      </c>
      <c r="T28" s="15">
        <v>9942.063294593941</v>
      </c>
      <c r="U28" s="15">
        <v>9942.063294593941</v>
      </c>
      <c r="V28" s="15">
        <v>9942.063294593941</v>
      </c>
      <c r="W28" s="22">
        <v>9942.063294593941</v>
      </c>
    </row>
    <row r="29" spans="1:23" s="1" customFormat="1" ht="12.75">
      <c r="A29" s="423"/>
      <c r="B29" s="424"/>
      <c r="C29" s="424"/>
      <c r="D29" s="424"/>
      <c r="E29" s="424"/>
      <c r="F29" s="424"/>
      <c r="G29" s="424"/>
      <c r="H29" s="424"/>
      <c r="I29" s="424"/>
      <c r="J29" s="424"/>
      <c r="K29" s="424"/>
      <c r="L29" s="424"/>
      <c r="M29" s="424"/>
      <c r="N29" s="424"/>
      <c r="O29" s="424"/>
      <c r="P29" s="424"/>
      <c r="Q29" s="424"/>
      <c r="R29" s="424"/>
      <c r="S29" s="424"/>
      <c r="T29" s="424"/>
      <c r="U29" s="424"/>
      <c r="V29" s="424"/>
      <c r="W29" s="425"/>
    </row>
    <row r="30" spans="1:23" s="1" customFormat="1" ht="12.75">
      <c r="A30" s="426" t="s">
        <v>29</v>
      </c>
      <c r="B30" s="427"/>
      <c r="C30" s="427"/>
      <c r="D30" s="427"/>
      <c r="E30" s="427"/>
      <c r="F30" s="427"/>
      <c r="G30" s="427"/>
      <c r="H30" s="427"/>
      <c r="I30" s="427"/>
      <c r="J30" s="427"/>
      <c r="K30" s="427"/>
      <c r="L30" s="427"/>
      <c r="M30" s="427"/>
      <c r="N30" s="427"/>
      <c r="O30" s="427"/>
      <c r="P30" s="427"/>
      <c r="Q30" s="427"/>
      <c r="R30" s="427"/>
      <c r="S30" s="427"/>
      <c r="T30" s="427"/>
      <c r="U30" s="427"/>
      <c r="V30" s="427"/>
      <c r="W30" s="428"/>
    </row>
    <row r="31" spans="1:23" s="1" customFormat="1" ht="12.75">
      <c r="A31" s="5" t="s">
        <v>30</v>
      </c>
      <c r="B31" s="12" t="s">
        <v>32</v>
      </c>
      <c r="C31" s="11">
        <v>3988.9411999999993</v>
      </c>
      <c r="D31" s="11">
        <v>3870.0300839999995</v>
      </c>
      <c r="E31" s="11">
        <v>3754.7165862799993</v>
      </c>
      <c r="F31" s="11">
        <v>3193.7318296019994</v>
      </c>
      <c r="G31" s="11">
        <v>2716.9836956762592</v>
      </c>
      <c r="H31" s="11">
        <v>2636.359908118918</v>
      </c>
      <c r="I31" s="11">
        <v>2558.190263120816</v>
      </c>
      <c r="J31" s="11">
        <v>2482.402553562475</v>
      </c>
      <c r="K31" s="11">
        <v>2408.9267952242963</v>
      </c>
      <c r="L31" s="11">
        <v>2337.6951623670097</v>
      </c>
      <c r="M31" s="11">
        <v>2268.6419253354197</v>
      </c>
      <c r="N31" s="11">
        <v>2201.703390128355</v>
      </c>
      <c r="O31" s="11">
        <v>2136.817839879621</v>
      </c>
      <c r="P31" s="11">
        <v>2073.9254781965546</v>
      </c>
      <c r="Q31" s="11">
        <v>2012.9683743045123</v>
      </c>
      <c r="R31" s="13">
        <f aca="true" t="shared" si="2" ref="R31:W33">Q31</f>
        <v>2012.9683743045123</v>
      </c>
      <c r="S31" s="13">
        <f t="shared" si="2"/>
        <v>2012.9683743045123</v>
      </c>
      <c r="T31" s="13">
        <f t="shared" si="2"/>
        <v>2012.9683743045123</v>
      </c>
      <c r="U31" s="13">
        <f t="shared" si="2"/>
        <v>2012.9683743045123</v>
      </c>
      <c r="V31" s="13">
        <f t="shared" si="2"/>
        <v>2012.9683743045123</v>
      </c>
      <c r="W31" s="21">
        <f t="shared" si="2"/>
        <v>2012.9683743045123</v>
      </c>
    </row>
    <row r="32" spans="1:23" s="1" customFormat="1" ht="12.75">
      <c r="A32" s="5" t="s">
        <v>31</v>
      </c>
      <c r="B32" s="12" t="str">
        <f>B31</f>
        <v>000 Passenger</v>
      </c>
      <c r="C32" s="11">
        <v>10.816</v>
      </c>
      <c r="D32" s="11">
        <v>11.248640000000002</v>
      </c>
      <c r="E32" s="11">
        <v>11.698585600000003</v>
      </c>
      <c r="F32" s="11">
        <v>12.166529024000004</v>
      </c>
      <c r="G32" s="11">
        <v>12.653190184960005</v>
      </c>
      <c r="H32" s="11">
        <v>13.159317792358406</v>
      </c>
      <c r="I32" s="11">
        <v>13.685690504052744</v>
      </c>
      <c r="J32" s="11">
        <v>14.233118124214855</v>
      </c>
      <c r="K32" s="11">
        <v>14.80244284918345</v>
      </c>
      <c r="L32" s="11">
        <v>15.39454056315079</v>
      </c>
      <c r="M32" s="11">
        <v>16.01032218567682</v>
      </c>
      <c r="N32" s="11">
        <v>16.650735073103892</v>
      </c>
      <c r="O32" s="11">
        <v>17.316764476028048</v>
      </c>
      <c r="P32" s="11">
        <v>18.009435055069172</v>
      </c>
      <c r="Q32" s="11">
        <v>18.72981245727194</v>
      </c>
      <c r="R32" s="13">
        <f t="shared" si="2"/>
        <v>18.72981245727194</v>
      </c>
      <c r="S32" s="13">
        <f t="shared" si="2"/>
        <v>18.72981245727194</v>
      </c>
      <c r="T32" s="13">
        <f t="shared" si="2"/>
        <v>18.72981245727194</v>
      </c>
      <c r="U32" s="13">
        <f t="shared" si="2"/>
        <v>18.72981245727194</v>
      </c>
      <c r="V32" s="13">
        <f t="shared" si="2"/>
        <v>18.72981245727194</v>
      </c>
      <c r="W32" s="21">
        <f t="shared" si="2"/>
        <v>18.72981245727194</v>
      </c>
    </row>
    <row r="33" spans="1:23" s="1" customFormat="1" ht="12.75">
      <c r="A33" s="7" t="s">
        <v>18</v>
      </c>
      <c r="B33" s="14" t="str">
        <f>B32</f>
        <v>000 Passenger</v>
      </c>
      <c r="C33" s="15">
        <f>C31+C32</f>
        <v>3999.757199999999</v>
      </c>
      <c r="D33" s="15">
        <f aca="true" t="shared" si="3" ref="D33:Q33">D31+D32</f>
        <v>3881.2787239999993</v>
      </c>
      <c r="E33" s="15">
        <f t="shared" si="3"/>
        <v>3766.4151718799994</v>
      </c>
      <c r="F33" s="15">
        <f t="shared" si="3"/>
        <v>3205.898358625999</v>
      </c>
      <c r="G33" s="15">
        <f t="shared" si="3"/>
        <v>2729.636885861219</v>
      </c>
      <c r="H33" s="15">
        <f t="shared" si="3"/>
        <v>2649.5192259112764</v>
      </c>
      <c r="I33" s="15">
        <f t="shared" si="3"/>
        <v>2571.8759536248685</v>
      </c>
      <c r="J33" s="15">
        <f t="shared" si="3"/>
        <v>2496.63567168669</v>
      </c>
      <c r="K33" s="15">
        <f t="shared" si="3"/>
        <v>2423.72923807348</v>
      </c>
      <c r="L33" s="15">
        <f t="shared" si="3"/>
        <v>2353.0897029301605</v>
      </c>
      <c r="M33" s="15">
        <f t="shared" si="3"/>
        <v>2284.6522475210963</v>
      </c>
      <c r="N33" s="15">
        <f t="shared" si="3"/>
        <v>2218.354125201459</v>
      </c>
      <c r="O33" s="15">
        <f t="shared" si="3"/>
        <v>2154.1346043556487</v>
      </c>
      <c r="P33" s="15">
        <f t="shared" si="3"/>
        <v>2091.934913251624</v>
      </c>
      <c r="Q33" s="15">
        <f t="shared" si="3"/>
        <v>2031.6981867617842</v>
      </c>
      <c r="R33" s="15">
        <f t="shared" si="2"/>
        <v>2031.6981867617842</v>
      </c>
      <c r="S33" s="15">
        <f t="shared" si="2"/>
        <v>2031.6981867617842</v>
      </c>
      <c r="T33" s="15">
        <f t="shared" si="2"/>
        <v>2031.6981867617842</v>
      </c>
      <c r="U33" s="15">
        <f t="shared" si="2"/>
        <v>2031.6981867617842</v>
      </c>
      <c r="V33" s="15">
        <f t="shared" si="2"/>
        <v>2031.6981867617842</v>
      </c>
      <c r="W33" s="22">
        <f t="shared" si="2"/>
        <v>2031.6981867617842</v>
      </c>
    </row>
    <row r="34" spans="1:23" s="1" customFormat="1" ht="12.75">
      <c r="A34" s="426"/>
      <c r="B34" s="427"/>
      <c r="C34" s="427"/>
      <c r="D34" s="427"/>
      <c r="E34" s="427"/>
      <c r="F34" s="427"/>
      <c r="G34" s="427"/>
      <c r="H34" s="427"/>
      <c r="I34" s="427"/>
      <c r="J34" s="427"/>
      <c r="K34" s="427"/>
      <c r="L34" s="427"/>
      <c r="M34" s="427"/>
      <c r="N34" s="427"/>
      <c r="O34" s="427"/>
      <c r="P34" s="427"/>
      <c r="Q34" s="427"/>
      <c r="R34" s="427"/>
      <c r="S34" s="427"/>
      <c r="T34" s="427"/>
      <c r="U34" s="427"/>
      <c r="V34" s="427"/>
      <c r="W34" s="428"/>
    </row>
    <row r="35" spans="1:23" s="1" customFormat="1" ht="12.75">
      <c r="A35" s="5" t="s">
        <v>30</v>
      </c>
      <c r="B35" s="12" t="s">
        <v>34</v>
      </c>
      <c r="C35" s="13">
        <f>C37-C36</f>
        <v>1159.3294601999999</v>
      </c>
      <c r="D35" s="13">
        <f aca="true" t="shared" si="4" ref="D35:W35">D37-D36</f>
        <v>1124.550333514</v>
      </c>
      <c r="E35" s="13">
        <f t="shared" si="4"/>
        <v>1090.81461091338</v>
      </c>
      <c r="F35" s="13">
        <f t="shared" si="4"/>
        <v>927.1946420076367</v>
      </c>
      <c r="G35" s="13">
        <f t="shared" si="4"/>
        <v>788.1177573470057</v>
      </c>
      <c r="H35" s="13">
        <f t="shared" si="4"/>
        <v>764.4751103499084</v>
      </c>
      <c r="I35" s="13">
        <f t="shared" si="4"/>
        <v>741.5417781916568</v>
      </c>
      <c r="J35" s="13">
        <f t="shared" si="4"/>
        <v>719.2964828442423</v>
      </c>
      <c r="K35" s="13">
        <f t="shared" si="4"/>
        <v>697.7185846771837</v>
      </c>
      <c r="L35" s="13">
        <f t="shared" si="4"/>
        <v>676.7880633078677</v>
      </c>
      <c r="M35" s="13">
        <f t="shared" si="4"/>
        <v>656.4854990264708</v>
      </c>
      <c r="N35" s="13">
        <f t="shared" si="4"/>
        <v>636.79205477823</v>
      </c>
      <c r="O35" s="13">
        <f t="shared" si="4"/>
        <v>617.6894586863381</v>
      </c>
      <c r="P35" s="13">
        <f t="shared" si="4"/>
        <v>599.1599870992611</v>
      </c>
      <c r="Q35" s="13">
        <f t="shared" si="4"/>
        <v>581.1864481467371</v>
      </c>
      <c r="R35" s="13">
        <f t="shared" si="4"/>
        <v>581.1864481467371</v>
      </c>
      <c r="S35" s="13">
        <f t="shared" si="4"/>
        <v>581.1864481467371</v>
      </c>
      <c r="T35" s="13">
        <f t="shared" si="4"/>
        <v>581.1864481467371</v>
      </c>
      <c r="U35" s="13">
        <f t="shared" si="4"/>
        <v>581.1864481467371</v>
      </c>
      <c r="V35" s="13">
        <f t="shared" si="4"/>
        <v>581.1864481467371</v>
      </c>
      <c r="W35" s="21">
        <f t="shared" si="4"/>
        <v>581.1864481467371</v>
      </c>
    </row>
    <row r="36" spans="1:23" s="1" customFormat="1" ht="12.75">
      <c r="A36" s="5" t="s">
        <v>31</v>
      </c>
      <c r="B36" s="12" t="s">
        <v>34</v>
      </c>
      <c r="C36" s="13">
        <f>C32*1110/1000</f>
        <v>12.00576</v>
      </c>
      <c r="D36" s="13">
        <f aca="true" t="shared" si="5" ref="D36:W36">D32*1110/1000</f>
        <v>12.485990400000002</v>
      </c>
      <c r="E36" s="13">
        <f t="shared" si="5"/>
        <v>12.985430016000004</v>
      </c>
      <c r="F36" s="13">
        <f t="shared" si="5"/>
        <v>13.504847216640004</v>
      </c>
      <c r="G36" s="13">
        <f t="shared" si="5"/>
        <v>14.045041105305605</v>
      </c>
      <c r="H36" s="13">
        <f t="shared" si="5"/>
        <v>14.606842749517831</v>
      </c>
      <c r="I36" s="13">
        <f t="shared" si="5"/>
        <v>15.191116459498545</v>
      </c>
      <c r="J36" s="13">
        <f t="shared" si="5"/>
        <v>15.798761117878488</v>
      </c>
      <c r="K36" s="13">
        <f t="shared" si="5"/>
        <v>16.43071156259363</v>
      </c>
      <c r="L36" s="13">
        <f t="shared" si="5"/>
        <v>17.087940025097378</v>
      </c>
      <c r="M36" s="13">
        <f t="shared" si="5"/>
        <v>17.77145762610127</v>
      </c>
      <c r="N36" s="13">
        <f t="shared" si="5"/>
        <v>18.48231593114532</v>
      </c>
      <c r="O36" s="13">
        <f t="shared" si="5"/>
        <v>19.221608568391133</v>
      </c>
      <c r="P36" s="13">
        <f t="shared" si="5"/>
        <v>19.99047291112678</v>
      </c>
      <c r="Q36" s="13">
        <f t="shared" si="5"/>
        <v>20.790091827571853</v>
      </c>
      <c r="R36" s="13">
        <f t="shared" si="5"/>
        <v>20.790091827571853</v>
      </c>
      <c r="S36" s="13">
        <f t="shared" si="5"/>
        <v>20.790091827571853</v>
      </c>
      <c r="T36" s="13">
        <f t="shared" si="5"/>
        <v>20.790091827571853</v>
      </c>
      <c r="U36" s="13">
        <f t="shared" si="5"/>
        <v>20.790091827571853</v>
      </c>
      <c r="V36" s="13">
        <f t="shared" si="5"/>
        <v>20.790091827571853</v>
      </c>
      <c r="W36" s="21">
        <f t="shared" si="5"/>
        <v>20.790091827571853</v>
      </c>
    </row>
    <row r="37" spans="1:23" s="1" customFormat="1" ht="13.5" thickBot="1">
      <c r="A37" s="92" t="s">
        <v>18</v>
      </c>
      <c r="B37" s="39" t="s">
        <v>34</v>
      </c>
      <c r="C37" s="93">
        <v>1171.3352201999999</v>
      </c>
      <c r="D37" s="93">
        <v>1137.036323914</v>
      </c>
      <c r="E37" s="93">
        <v>1103.80004092938</v>
      </c>
      <c r="F37" s="93">
        <v>940.6994892242767</v>
      </c>
      <c r="G37" s="93">
        <v>802.1627984523113</v>
      </c>
      <c r="H37" s="93">
        <v>779.0819530994262</v>
      </c>
      <c r="I37" s="93">
        <v>756.7328946511553</v>
      </c>
      <c r="J37" s="93">
        <v>735.0952439621208</v>
      </c>
      <c r="K37" s="93">
        <v>714.1492962397773</v>
      </c>
      <c r="L37" s="93">
        <v>693.8760033329651</v>
      </c>
      <c r="M37" s="93">
        <v>674.2569566525722</v>
      </c>
      <c r="N37" s="93">
        <v>655.2743707093753</v>
      </c>
      <c r="O37" s="93">
        <v>636.9110672547292</v>
      </c>
      <c r="P37" s="93">
        <v>619.1504600103879</v>
      </c>
      <c r="Q37" s="93">
        <v>601.9765399743089</v>
      </c>
      <c r="R37" s="94">
        <f aca="true" t="shared" si="6" ref="R37:W37">Q37</f>
        <v>601.9765399743089</v>
      </c>
      <c r="S37" s="94">
        <f t="shared" si="6"/>
        <v>601.9765399743089</v>
      </c>
      <c r="T37" s="94">
        <f t="shared" si="6"/>
        <v>601.9765399743089</v>
      </c>
      <c r="U37" s="94">
        <f t="shared" si="6"/>
        <v>601.9765399743089</v>
      </c>
      <c r="V37" s="94">
        <f t="shared" si="6"/>
        <v>601.9765399743089</v>
      </c>
      <c r="W37" s="95">
        <f t="shared" si="6"/>
        <v>601.9765399743089</v>
      </c>
    </row>
    <row r="38" spans="1:23" ht="12.75">
      <c r="A38" s="429" t="s">
        <v>50</v>
      </c>
      <c r="B38" s="430"/>
      <c r="C38" s="430"/>
      <c r="D38" s="430"/>
      <c r="E38" s="430"/>
      <c r="F38" s="430"/>
      <c r="G38" s="430"/>
      <c r="H38" s="430"/>
      <c r="I38" s="430"/>
      <c r="J38" s="430"/>
      <c r="K38" s="430"/>
      <c r="L38" s="430"/>
      <c r="M38" s="430"/>
      <c r="N38" s="430"/>
      <c r="O38" s="430"/>
      <c r="P38" s="430"/>
      <c r="Q38" s="430"/>
      <c r="R38" s="430"/>
      <c r="S38" s="430"/>
      <c r="T38" s="430"/>
      <c r="U38" s="430"/>
      <c r="V38" s="430"/>
      <c r="W38" s="431"/>
    </row>
    <row r="39" spans="1:23" ht="12.75">
      <c r="A39" s="42"/>
      <c r="B39" s="42"/>
      <c r="C39" s="42"/>
      <c r="D39" s="42"/>
      <c r="E39" s="42"/>
      <c r="F39" s="42"/>
      <c r="G39" s="42"/>
      <c r="H39" s="42"/>
      <c r="I39" s="42"/>
      <c r="J39" s="42"/>
      <c r="K39" s="42"/>
      <c r="L39" s="42"/>
      <c r="M39" s="42"/>
      <c r="N39" s="42"/>
      <c r="O39" s="42"/>
      <c r="P39" s="42"/>
      <c r="Q39" s="42"/>
      <c r="R39" s="42"/>
      <c r="S39" s="42"/>
      <c r="T39" s="42"/>
      <c r="U39" s="42"/>
      <c r="V39" s="42"/>
      <c r="W39" s="42"/>
    </row>
    <row r="40" spans="1:23" ht="12.75">
      <c r="A40" s="405" t="s">
        <v>53</v>
      </c>
      <c r="B40" s="405"/>
      <c r="C40" s="405"/>
      <c r="D40" s="405"/>
      <c r="E40" s="405"/>
      <c r="F40" s="405"/>
      <c r="G40" s="405"/>
      <c r="H40" s="405"/>
      <c r="I40" s="405"/>
      <c r="J40" s="405"/>
      <c r="K40" s="405"/>
      <c r="L40" s="405"/>
      <c r="M40" s="405"/>
      <c r="N40" s="405"/>
      <c r="O40" s="405"/>
      <c r="P40" s="405"/>
      <c r="Q40" s="405"/>
      <c r="R40" s="405"/>
      <c r="S40" s="405"/>
      <c r="T40" s="405"/>
      <c r="U40" s="405"/>
      <c r="V40" s="405"/>
      <c r="W40" s="405"/>
    </row>
    <row r="41" spans="1:23" s="1" customFormat="1" ht="12.75">
      <c r="A41" s="43"/>
      <c r="B41" s="14" t="s">
        <v>3</v>
      </c>
      <c r="C41" s="14">
        <v>2007</v>
      </c>
      <c r="D41" s="14">
        <f>C41+1</f>
        <v>2008</v>
      </c>
      <c r="E41" s="14">
        <f aca="true" t="shared" si="7" ref="E41:W41">D41+1</f>
        <v>2009</v>
      </c>
      <c r="F41" s="14">
        <f t="shared" si="7"/>
        <v>2010</v>
      </c>
      <c r="G41" s="14">
        <f t="shared" si="7"/>
        <v>2011</v>
      </c>
      <c r="H41" s="14">
        <f t="shared" si="7"/>
        <v>2012</v>
      </c>
      <c r="I41" s="14">
        <f t="shared" si="7"/>
        <v>2013</v>
      </c>
      <c r="J41" s="14">
        <f t="shared" si="7"/>
        <v>2014</v>
      </c>
      <c r="K41" s="14">
        <f t="shared" si="7"/>
        <v>2015</v>
      </c>
      <c r="L41" s="14">
        <f t="shared" si="7"/>
        <v>2016</v>
      </c>
      <c r="M41" s="14">
        <f t="shared" si="7"/>
        <v>2017</v>
      </c>
      <c r="N41" s="14">
        <f t="shared" si="7"/>
        <v>2018</v>
      </c>
      <c r="O41" s="14">
        <f t="shared" si="7"/>
        <v>2019</v>
      </c>
      <c r="P41" s="14">
        <f t="shared" si="7"/>
        <v>2020</v>
      </c>
      <c r="Q41" s="14">
        <f t="shared" si="7"/>
        <v>2021</v>
      </c>
      <c r="R41" s="14">
        <f t="shared" si="7"/>
        <v>2022</v>
      </c>
      <c r="S41" s="14">
        <f t="shared" si="7"/>
        <v>2023</v>
      </c>
      <c r="T41" s="14">
        <f>S41+1</f>
        <v>2024</v>
      </c>
      <c r="U41" s="14">
        <f t="shared" si="7"/>
        <v>2025</v>
      </c>
      <c r="V41" s="14">
        <f t="shared" si="7"/>
        <v>2026</v>
      </c>
      <c r="W41" s="14">
        <f t="shared" si="7"/>
        <v>2027</v>
      </c>
    </row>
    <row r="42" spans="1:23" s="1" customFormat="1" ht="12.75">
      <c r="A42" s="44" t="s">
        <v>5</v>
      </c>
      <c r="B42" s="14" t="s">
        <v>19</v>
      </c>
      <c r="C42" s="15">
        <v>7243</v>
      </c>
      <c r="D42" s="15">
        <f>D6</f>
        <v>7243</v>
      </c>
      <c r="E42" s="15">
        <f>E6*1.1</f>
        <v>7885.123976259433</v>
      </c>
      <c r="F42" s="15">
        <f>F6*1.25</f>
        <v>8871.655401938513</v>
      </c>
      <c r="G42" s="15">
        <v>8648.809614524751</v>
      </c>
      <c r="H42" s="15">
        <v>9167.23179324923</v>
      </c>
      <c r="I42" s="15">
        <v>9718.821850652843</v>
      </c>
      <c r="J42" s="15">
        <v>10305.747907026078</v>
      </c>
      <c r="K42" s="15">
        <v>10930.320759404549</v>
      </c>
      <c r="L42" s="15">
        <v>11595.003289850292</v>
      </c>
      <c r="M42" s="15">
        <v>12302.420494511956</v>
      </c>
      <c r="N42" s="15">
        <v>13055.370174431922</v>
      </c>
      <c r="O42" s="15">
        <v>13856.834331772248</v>
      </c>
      <c r="P42" s="15">
        <v>14709.991318013594</v>
      </c>
      <c r="Q42" s="15">
        <v>15618.228783753755</v>
      </c>
      <c r="R42" s="15">
        <v>16585.15748300779</v>
      </c>
      <c r="S42" s="15">
        <v>17614.62598840312</v>
      </c>
      <c r="T42" s="15">
        <v>18710.736377384877</v>
      </c>
      <c r="U42" s="15">
        <v>19877.860953514373</v>
      </c>
      <c r="V42" s="15">
        <v>21120.660071172857</v>
      </c>
      <c r="W42" s="15">
        <v>22444.101136491332</v>
      </c>
    </row>
    <row r="43" spans="1:23" ht="12.75">
      <c r="A43" s="45" t="s">
        <v>6</v>
      </c>
      <c r="B43" s="12" t="str">
        <f>B42</f>
        <v>000 Tons</v>
      </c>
      <c r="C43" s="13">
        <v>4960</v>
      </c>
      <c r="D43" s="13">
        <f>D7</f>
        <v>4960</v>
      </c>
      <c r="E43" s="13">
        <f>E7*1.1</f>
        <v>5399.7259315541605</v>
      </c>
      <c r="F43" s="13">
        <f aca="true" t="shared" si="8" ref="F43:F58">F7*1.25</f>
        <v>6075.301780148422</v>
      </c>
      <c r="G43" s="13">
        <v>5488.6603104</v>
      </c>
      <c r="H43" s="13">
        <v>5598.433516608</v>
      </c>
      <c r="I43" s="13">
        <v>5710.40218694016</v>
      </c>
      <c r="J43" s="13">
        <v>5824.6102306789635</v>
      </c>
      <c r="K43" s="13">
        <v>5941.102435292543</v>
      </c>
      <c r="L43" s="13">
        <v>6059.924483998394</v>
      </c>
      <c r="M43" s="13">
        <v>6181.122973678362</v>
      </c>
      <c r="N43" s="13">
        <v>6304.745433151929</v>
      </c>
      <c r="O43" s="13">
        <v>6430.840341814968</v>
      </c>
      <c r="P43" s="13">
        <v>6559.457148651268</v>
      </c>
      <c r="Q43" s="13">
        <v>6690.646291624294</v>
      </c>
      <c r="R43" s="13">
        <v>6824.45921745678</v>
      </c>
      <c r="S43" s="13">
        <v>6960.948401805916</v>
      </c>
      <c r="T43" s="13">
        <v>7100.167369842034</v>
      </c>
      <c r="U43" s="13">
        <v>7242.170717238874</v>
      </c>
      <c r="V43" s="13">
        <v>7387.014131583652</v>
      </c>
      <c r="W43" s="13">
        <v>7534.754414215325</v>
      </c>
    </row>
    <row r="44" spans="1:23" ht="12.75">
      <c r="A44" s="45" t="s">
        <v>7</v>
      </c>
      <c r="B44" s="12" t="str">
        <f aca="true" t="shared" si="9" ref="B44:B58">B43</f>
        <v>000 Tons</v>
      </c>
      <c r="C44" s="13">
        <v>2283</v>
      </c>
      <c r="D44" s="13">
        <f aca="true" t="shared" si="10" ref="D44:D58">D8</f>
        <v>2283</v>
      </c>
      <c r="E44" s="13">
        <f aca="true" t="shared" si="11" ref="E44:E58">E8*1.1</f>
        <v>2485.3980447052722</v>
      </c>
      <c r="F44" s="13">
        <f t="shared" si="8"/>
        <v>2796.353621790091</v>
      </c>
      <c r="G44" s="13">
        <v>3160.1493041247513</v>
      </c>
      <c r="H44" s="13">
        <v>3568.7982766412297</v>
      </c>
      <c r="I44" s="13">
        <v>4008.4196637126824</v>
      </c>
      <c r="J44" s="13">
        <v>4481.137676347114</v>
      </c>
      <c r="K44" s="13">
        <v>4989.218324112006</v>
      </c>
      <c r="L44" s="13">
        <v>5535.078805851898</v>
      </c>
      <c r="M44" s="13">
        <v>6121.297520833595</v>
      </c>
      <c r="N44" s="13">
        <v>6750.624741279993</v>
      </c>
      <c r="O44" s="13">
        <v>7425.99398995728</v>
      </c>
      <c r="P44" s="13">
        <v>8150.534169362326</v>
      </c>
      <c r="Q44" s="13">
        <v>8927.582492129462</v>
      </c>
      <c r="R44" s="13">
        <v>9760.698265551011</v>
      </c>
      <c r="S44" s="13">
        <v>10653.677586597205</v>
      </c>
      <c r="T44" s="13">
        <v>11610.569007542843</v>
      </c>
      <c r="U44" s="13">
        <v>12635.690236275499</v>
      </c>
      <c r="V44" s="13">
        <v>13733.645939589205</v>
      </c>
      <c r="W44" s="13">
        <v>14909.346722276008</v>
      </c>
    </row>
    <row r="45" spans="1:23" s="1" customFormat="1" ht="12.75">
      <c r="A45" s="44" t="s">
        <v>8</v>
      </c>
      <c r="B45" s="14" t="str">
        <f t="shared" si="9"/>
        <v>000 Tons</v>
      </c>
      <c r="C45" s="15">
        <v>1315</v>
      </c>
      <c r="D45" s="15">
        <f t="shared" si="10"/>
        <v>1364.146490314871</v>
      </c>
      <c r="E45" s="15">
        <f t="shared" si="11"/>
        <v>1425.5330823790403</v>
      </c>
      <c r="F45" s="15">
        <f t="shared" si="8"/>
        <v>1457.931561524018</v>
      </c>
      <c r="G45" s="15">
        <v>3602.7397303390003</v>
      </c>
      <c r="H45" s="15">
        <v>3710.8219222491703</v>
      </c>
      <c r="I45" s="15">
        <v>3822.1465799166454</v>
      </c>
      <c r="J45" s="15">
        <v>3936.810977314145</v>
      </c>
      <c r="K45" s="15">
        <v>4054.9153066335693</v>
      </c>
      <c r="L45" s="15">
        <v>4176.562765832577</v>
      </c>
      <c r="M45" s="15">
        <v>4301.859648807554</v>
      </c>
      <c r="N45" s="15">
        <v>4430.915438271781</v>
      </c>
      <c r="O45" s="15">
        <v>4563.842901419935</v>
      </c>
      <c r="P45" s="15">
        <v>4700.758188462532</v>
      </c>
      <c r="Q45" s="15">
        <v>4841.780934116408</v>
      </c>
      <c r="R45" s="15">
        <v>4987.034362139901</v>
      </c>
      <c r="S45" s="15">
        <v>5136.645393004098</v>
      </c>
      <c r="T45" s="15">
        <v>5290.744754794221</v>
      </c>
      <c r="U45" s="15">
        <v>5449.467097438048</v>
      </c>
      <c r="V45" s="15">
        <v>5612.951110361189</v>
      </c>
      <c r="W45" s="15">
        <v>5781.339643672025</v>
      </c>
    </row>
    <row r="46" spans="1:23" ht="12.75">
      <c r="A46" s="45" t="s">
        <v>9</v>
      </c>
      <c r="B46" s="12" t="str">
        <f t="shared" si="9"/>
        <v>000 Tons</v>
      </c>
      <c r="C46" s="13">
        <v>519</v>
      </c>
      <c r="D46" s="13">
        <f t="shared" si="10"/>
        <v>538.3969798276944</v>
      </c>
      <c r="E46" s="13">
        <f t="shared" si="11"/>
        <v>562.6248439199406</v>
      </c>
      <c r="F46" s="13">
        <f t="shared" si="8"/>
        <v>575.4117721908482</v>
      </c>
      <c r="G46" s="13">
        <v>2000</v>
      </c>
      <c r="H46" s="13">
        <v>2000</v>
      </c>
      <c r="I46" s="13">
        <v>2000</v>
      </c>
      <c r="J46" s="13">
        <v>2000</v>
      </c>
      <c r="K46" s="13">
        <v>2000</v>
      </c>
      <c r="L46" s="13">
        <v>2000</v>
      </c>
      <c r="M46" s="13">
        <v>2000</v>
      </c>
      <c r="N46" s="13">
        <v>2000</v>
      </c>
      <c r="O46" s="13">
        <v>2000</v>
      </c>
      <c r="P46" s="13">
        <v>2000</v>
      </c>
      <c r="Q46" s="13">
        <v>2000</v>
      </c>
      <c r="R46" s="13">
        <v>2000</v>
      </c>
      <c r="S46" s="13">
        <v>2000</v>
      </c>
      <c r="T46" s="13">
        <v>2000</v>
      </c>
      <c r="U46" s="13">
        <v>2000</v>
      </c>
      <c r="V46" s="13">
        <v>2000</v>
      </c>
      <c r="W46" s="13">
        <v>2000</v>
      </c>
    </row>
    <row r="47" spans="1:23" ht="12.75">
      <c r="A47" s="45" t="s">
        <v>10</v>
      </c>
      <c r="B47" s="12" t="str">
        <f t="shared" si="9"/>
        <v>000 Tons</v>
      </c>
      <c r="C47" s="13">
        <v>78</v>
      </c>
      <c r="D47" s="13">
        <f t="shared" si="10"/>
        <v>80.91515303768819</v>
      </c>
      <c r="E47" s="13">
        <f t="shared" si="11"/>
        <v>84.55633492438416</v>
      </c>
      <c r="F47" s="13">
        <f t="shared" si="8"/>
        <v>86.47806980902922</v>
      </c>
      <c r="G47" s="13">
        <v>90.99345900914442</v>
      </c>
      <c r="H47" s="13">
        <v>93.72326277941875</v>
      </c>
      <c r="I47" s="13">
        <v>96.53496066280131</v>
      </c>
      <c r="J47" s="13">
        <v>99.43100948268535</v>
      </c>
      <c r="K47" s="13">
        <v>102.41393976716591</v>
      </c>
      <c r="L47" s="13">
        <v>105.4863579601809</v>
      </c>
      <c r="M47" s="13">
        <v>108.65094869898633</v>
      </c>
      <c r="N47" s="13">
        <v>111.91047715995592</v>
      </c>
      <c r="O47" s="13">
        <v>115.2677914747546</v>
      </c>
      <c r="P47" s="13">
        <v>118.72582521899724</v>
      </c>
      <c r="Q47" s="13">
        <v>122.28759997556716</v>
      </c>
      <c r="R47" s="13">
        <v>125.95622797483418</v>
      </c>
      <c r="S47" s="13">
        <v>129.73491481407922</v>
      </c>
      <c r="T47" s="13">
        <v>133.6269622585016</v>
      </c>
      <c r="U47" s="13">
        <v>137.63577112625666</v>
      </c>
      <c r="V47" s="13">
        <v>141.76484426004436</v>
      </c>
      <c r="W47" s="13">
        <v>146.0177895878457</v>
      </c>
    </row>
    <row r="48" spans="1:23" ht="12.75">
      <c r="A48" s="45" t="s">
        <v>11</v>
      </c>
      <c r="B48" s="12" t="str">
        <f t="shared" si="9"/>
        <v>000 Tons</v>
      </c>
      <c r="C48" s="13">
        <v>357</v>
      </c>
      <c r="D48" s="13">
        <f t="shared" si="10"/>
        <v>370.3424312109574</v>
      </c>
      <c r="E48" s="13">
        <f t="shared" si="11"/>
        <v>387.0078406154505</v>
      </c>
      <c r="F48" s="13">
        <f t="shared" si="8"/>
        <v>395.8034733567106</v>
      </c>
      <c r="G48" s="13">
        <v>418.49176171998755</v>
      </c>
      <c r="H48" s="13">
        <v>431.0465145715872</v>
      </c>
      <c r="I48" s="13">
        <v>443.9779100087348</v>
      </c>
      <c r="J48" s="13">
        <v>457.2972473089969</v>
      </c>
      <c r="K48" s="13">
        <v>471.0161647282668</v>
      </c>
      <c r="L48" s="13">
        <v>485.1466496701148</v>
      </c>
      <c r="M48" s="13">
        <v>499.70104916021825</v>
      </c>
      <c r="N48" s="13">
        <v>514.6920806350248</v>
      </c>
      <c r="O48" s="13">
        <v>530.1328430540756</v>
      </c>
      <c r="P48" s="13">
        <v>546.0368283456978</v>
      </c>
      <c r="Q48" s="13">
        <v>562.4179331960688</v>
      </c>
      <c r="R48" s="13">
        <v>579.2904711919509</v>
      </c>
      <c r="S48" s="13">
        <v>596.6691853277094</v>
      </c>
      <c r="T48" s="13">
        <v>614.5692608875407</v>
      </c>
      <c r="U48" s="13">
        <v>633.006338714167</v>
      </c>
      <c r="V48" s="13">
        <v>651.996528875592</v>
      </c>
      <c r="W48" s="13">
        <v>671.5564247418598</v>
      </c>
    </row>
    <row r="49" spans="1:23" ht="12.75">
      <c r="A49" s="45" t="s">
        <v>7</v>
      </c>
      <c r="B49" s="12" t="str">
        <f t="shared" si="9"/>
        <v>000 Tons</v>
      </c>
      <c r="C49" s="13">
        <v>361</v>
      </c>
      <c r="D49" s="13">
        <f t="shared" si="10"/>
        <v>374.491926238531</v>
      </c>
      <c r="E49" s="13">
        <f t="shared" si="11"/>
        <v>391.34406291926484</v>
      </c>
      <c r="F49" s="13">
        <f t="shared" si="8"/>
        <v>400.2382461674298</v>
      </c>
      <c r="G49" s="13">
        <v>1093.2545096098684</v>
      </c>
      <c r="H49" s="13">
        <v>1186.0521448981644</v>
      </c>
      <c r="I49" s="13">
        <v>1281.633709245109</v>
      </c>
      <c r="J49" s="13">
        <v>1380.0827205224628</v>
      </c>
      <c r="K49" s="13">
        <v>1481.4852021381366</v>
      </c>
      <c r="L49" s="13">
        <v>1585.9297582022805</v>
      </c>
      <c r="M49" s="13">
        <v>1693.5076509483492</v>
      </c>
      <c r="N49" s="13">
        <v>1804.3128804767998</v>
      </c>
      <c r="O49" s="13">
        <v>1918.4422668911043</v>
      </c>
      <c r="P49" s="13">
        <v>2035.9955348978378</v>
      </c>
      <c r="Q49" s="13">
        <v>2157.075400944773</v>
      </c>
      <c r="R49" s="13">
        <v>2281.7876629731154</v>
      </c>
      <c r="S49" s="13">
        <v>2410.241292862309</v>
      </c>
      <c r="T49" s="13">
        <v>2542.548531648179</v>
      </c>
      <c r="U49" s="13">
        <v>2678.8249875976244</v>
      </c>
      <c r="V49" s="13">
        <v>2819.1897372255535</v>
      </c>
      <c r="W49" s="13">
        <v>2963.7654293423193</v>
      </c>
    </row>
    <row r="50" spans="1:23" s="1" customFormat="1" ht="12.75">
      <c r="A50" s="44" t="s">
        <v>12</v>
      </c>
      <c r="B50" s="14" t="str">
        <f t="shared" si="9"/>
        <v>000 Tons</v>
      </c>
      <c r="C50" s="15">
        <v>2985</v>
      </c>
      <c r="D50" s="15">
        <f t="shared" si="10"/>
        <v>4056</v>
      </c>
      <c r="E50" s="15">
        <f t="shared" si="11"/>
        <v>4299.559322790303</v>
      </c>
      <c r="F50" s="15">
        <f t="shared" si="8"/>
        <v>4596.065443381599</v>
      </c>
      <c r="G50" s="15">
        <v>11395.289214418197</v>
      </c>
      <c r="H50" s="15">
        <v>13929.814288564565</v>
      </c>
      <c r="I50" s="15">
        <v>15663.755778915129</v>
      </c>
      <c r="J50" s="15">
        <v>17437.94819839845</v>
      </c>
      <c r="K50" s="15">
        <v>19252.88102373461</v>
      </c>
      <c r="L50" s="15">
        <v>21109.017434227448</v>
      </c>
      <c r="M50" s="15">
        <v>23006.791434160805</v>
      </c>
      <c r="N50" s="15">
        <v>24946.60480650309</v>
      </c>
      <c r="O50" s="15">
        <v>26928.82389223443</v>
      </c>
      <c r="P50" s="15">
        <v>28953.776189806442</v>
      </c>
      <c r="Q50" s="15">
        <v>31021.746769503567</v>
      </c>
      <c r="R50" s="15">
        <v>33132.97449780717</v>
      </c>
      <c r="S50" s="15">
        <v>35287.64806727696</v>
      </c>
      <c r="T50" s="15">
        <v>37485.90182797085</v>
      </c>
      <c r="U50" s="15">
        <v>39727.811417034194</v>
      </c>
      <c r="V50" s="15">
        <v>42013.38918381679</v>
      </c>
      <c r="W50" s="15">
        <v>44342.57940873347</v>
      </c>
    </row>
    <row r="51" spans="1:23" ht="12.75">
      <c r="A51" s="45" t="s">
        <v>6</v>
      </c>
      <c r="B51" s="12" t="str">
        <f t="shared" si="9"/>
        <v>000 Tons</v>
      </c>
      <c r="C51" s="13">
        <v>414</v>
      </c>
      <c r="D51" s="13">
        <f t="shared" si="10"/>
        <v>428.49</v>
      </c>
      <c r="E51" s="13">
        <f t="shared" si="11"/>
        <v>454.22045715542816</v>
      </c>
      <c r="F51" s="13">
        <f t="shared" si="8"/>
        <v>485.5443988744036</v>
      </c>
      <c r="G51" s="13">
        <v>1929.69399488</v>
      </c>
      <c r="H51" s="13">
        <v>2584.0695144704</v>
      </c>
      <c r="I51" s="13">
        <v>2790.795075628032</v>
      </c>
      <c r="J51" s="13">
        <v>3014.0586816782748</v>
      </c>
      <c r="K51" s="13">
        <v>3255.183376212537</v>
      </c>
      <c r="L51" s="13">
        <v>3515.59804630954</v>
      </c>
      <c r="M51" s="13">
        <v>3796.8458900143037</v>
      </c>
      <c r="N51" s="13">
        <v>4100.593561215448</v>
      </c>
      <c r="O51" s="13">
        <v>4428.641046112684</v>
      </c>
      <c r="P51" s="13">
        <v>4782.9323298017</v>
      </c>
      <c r="Q51" s="13">
        <v>5165.566916185836</v>
      </c>
      <c r="R51" s="13">
        <v>5578.812269480703</v>
      </c>
      <c r="S51" s="13">
        <v>6025.11725103916</v>
      </c>
      <c r="T51" s="13">
        <v>6507.126631122293</v>
      </c>
      <c r="U51" s="13">
        <v>7027.696761612076</v>
      </c>
      <c r="V51" s="13">
        <v>7589.912502541043</v>
      </c>
      <c r="W51" s="13">
        <v>8197.105502744327</v>
      </c>
    </row>
    <row r="52" spans="1:23" ht="12.75">
      <c r="A52" s="45" t="s">
        <v>13</v>
      </c>
      <c r="B52" s="12" t="str">
        <f t="shared" si="9"/>
        <v>000 Tons</v>
      </c>
      <c r="C52" s="13">
        <v>2373</v>
      </c>
      <c r="D52" s="13">
        <f t="shared" si="10"/>
        <v>3420.46</v>
      </c>
      <c r="E52" s="13">
        <f t="shared" si="11"/>
        <v>3625.8556906388853</v>
      </c>
      <c r="F52" s="13">
        <f t="shared" si="8"/>
        <v>3875.9018753621854</v>
      </c>
      <c r="G52" s="13">
        <v>7145.022587360001</v>
      </c>
      <c r="H52" s="13">
        <v>7973.723942601601</v>
      </c>
      <c r="I52" s="13">
        <v>8452.147379157697</v>
      </c>
      <c r="J52" s="13">
        <v>8959.27622190716</v>
      </c>
      <c r="K52" s="13">
        <v>9496.83279522159</v>
      </c>
      <c r="L52" s="13">
        <v>10066.642762934885</v>
      </c>
      <c r="M52" s="13">
        <v>10670.641328710979</v>
      </c>
      <c r="N52" s="13">
        <v>11310.879808433638</v>
      </c>
      <c r="O52" s="13">
        <v>11989.532596939656</v>
      </c>
      <c r="P52" s="13">
        <v>12708.904552756036</v>
      </c>
      <c r="Q52" s="13">
        <v>13471.4388259214</v>
      </c>
      <c r="R52" s="13">
        <v>14279.725155476684</v>
      </c>
      <c r="S52" s="13">
        <v>15136.508664805286</v>
      </c>
      <c r="T52" s="13">
        <v>16044.699184693603</v>
      </c>
      <c r="U52" s="13">
        <v>17007.38113577522</v>
      </c>
      <c r="V52" s="13">
        <v>18027.824003921734</v>
      </c>
      <c r="W52" s="13">
        <v>19109.49344415704</v>
      </c>
    </row>
    <row r="53" spans="1:23" ht="12.75">
      <c r="A53" s="45" t="s">
        <v>7</v>
      </c>
      <c r="B53" s="12" t="str">
        <f t="shared" si="9"/>
        <v>000 Tons</v>
      </c>
      <c r="C53" s="13">
        <v>197</v>
      </c>
      <c r="D53" s="13">
        <f t="shared" si="10"/>
        <v>207.05</v>
      </c>
      <c r="E53" s="13">
        <f t="shared" si="11"/>
        <v>219.48317499598903</v>
      </c>
      <c r="F53" s="13">
        <f t="shared" si="8"/>
        <v>234.6191691450099</v>
      </c>
      <c r="G53" s="13">
        <v>2320.5726321781945</v>
      </c>
      <c r="H53" s="13">
        <v>3372.020831492564</v>
      </c>
      <c r="I53" s="13">
        <v>4420.8133241294</v>
      </c>
      <c r="J53" s="13">
        <v>5464.613294813017</v>
      </c>
      <c r="K53" s="13">
        <v>6500.864852300485</v>
      </c>
      <c r="L53" s="13">
        <v>7526.77662498302</v>
      </c>
      <c r="M53" s="13">
        <v>8539.304215435524</v>
      </c>
      <c r="N53" s="13">
        <v>9535.131436854002</v>
      </c>
      <c r="O53" s="13">
        <v>10510.650249182092</v>
      </c>
      <c r="P53" s="13">
        <v>11461.939307248706</v>
      </c>
      <c r="Q53" s="13">
        <v>12384.741027396334</v>
      </c>
      <c r="R53" s="13">
        <v>13274.437072849782</v>
      </c>
      <c r="S53" s="13">
        <v>14126.022151432515</v>
      </c>
      <c r="T53" s="13">
        <v>14934.07601215495</v>
      </c>
      <c r="U53" s="13">
        <v>15692.733519646901</v>
      </c>
      <c r="V53" s="13">
        <v>16395.652677354014</v>
      </c>
      <c r="W53" s="13">
        <v>17035.980461832107</v>
      </c>
    </row>
    <row r="54" spans="1:23" s="1" customFormat="1" ht="12.75">
      <c r="A54" s="44" t="s">
        <v>14</v>
      </c>
      <c r="B54" s="14" t="str">
        <f t="shared" si="9"/>
        <v>000 Tons</v>
      </c>
      <c r="C54" s="15">
        <v>4640.2</v>
      </c>
      <c r="D54" s="15">
        <f t="shared" si="10"/>
        <v>4640.2</v>
      </c>
      <c r="E54" s="15">
        <f t="shared" si="11"/>
        <v>4951.0934</v>
      </c>
      <c r="F54" s="15">
        <f t="shared" si="8"/>
        <v>5401.192799999999</v>
      </c>
      <c r="G54" s="15">
        <v>5174.554541450599</v>
      </c>
      <c r="H54" s="15">
        <v>5366.01305948427</v>
      </c>
      <c r="I54" s="15">
        <v>5564.555542685188</v>
      </c>
      <c r="J54" s="15">
        <v>5770.444097764539</v>
      </c>
      <c r="K54" s="15">
        <v>5983.9505293818265</v>
      </c>
      <c r="L54" s="15">
        <v>6205.356698968953</v>
      </c>
      <c r="M54" s="15">
        <v>6434.9548968308045</v>
      </c>
      <c r="N54" s="15">
        <v>6673.048228013544</v>
      </c>
      <c r="O54" s="15">
        <v>6919.951012450045</v>
      </c>
      <c r="P54" s="15">
        <v>7175.989199910696</v>
      </c>
      <c r="Q54" s="15">
        <v>7441.500800307391</v>
      </c>
      <c r="R54" s="15">
        <v>7716.836329918764</v>
      </c>
      <c r="S54" s="15">
        <v>8002.359274125758</v>
      </c>
      <c r="T54" s="15">
        <v>8298.446567268411</v>
      </c>
      <c r="U54" s="15">
        <v>8605.48909025734</v>
      </c>
      <c r="V54" s="15">
        <v>8923.892186596862</v>
      </c>
      <c r="W54" s="15">
        <v>9254.076197500946</v>
      </c>
    </row>
    <row r="55" spans="1:23" ht="12.75">
      <c r="A55" s="45" t="s">
        <v>15</v>
      </c>
      <c r="B55" s="12" t="str">
        <f t="shared" si="9"/>
        <v>000 Tons</v>
      </c>
      <c r="C55" s="13">
        <v>1255.2</v>
      </c>
      <c r="D55" s="13">
        <f t="shared" si="10"/>
        <v>1129.68</v>
      </c>
      <c r="E55" s="13">
        <f t="shared" si="11"/>
        <v>1205.3685600000001</v>
      </c>
      <c r="F55" s="13">
        <f t="shared" si="8"/>
        <v>1314.9475199999997</v>
      </c>
      <c r="G55" s="13">
        <v>1129.68</v>
      </c>
      <c r="H55" s="13">
        <v>1129.68</v>
      </c>
      <c r="I55" s="13">
        <v>1129.68</v>
      </c>
      <c r="J55" s="13">
        <v>1129.68</v>
      </c>
      <c r="K55" s="13">
        <v>1129.68</v>
      </c>
      <c r="L55" s="13">
        <v>1129.68</v>
      </c>
      <c r="M55" s="13">
        <v>1129.68</v>
      </c>
      <c r="N55" s="13">
        <v>1129.68</v>
      </c>
      <c r="O55" s="13">
        <v>1129.68</v>
      </c>
      <c r="P55" s="13">
        <v>1129.68</v>
      </c>
      <c r="Q55" s="13">
        <v>1129.68</v>
      </c>
      <c r="R55" s="13">
        <v>1129.68</v>
      </c>
      <c r="S55" s="13">
        <v>1129.68</v>
      </c>
      <c r="T55" s="13">
        <v>1129.68</v>
      </c>
      <c r="U55" s="13">
        <v>1129.68</v>
      </c>
      <c r="V55" s="13">
        <v>1129.68</v>
      </c>
      <c r="W55" s="13">
        <v>1129.68</v>
      </c>
    </row>
    <row r="56" spans="1:23" ht="12.75">
      <c r="A56" s="45" t="s">
        <v>16</v>
      </c>
      <c r="B56" s="12" t="str">
        <f t="shared" si="9"/>
        <v>000 Tons</v>
      </c>
      <c r="C56" s="13">
        <v>2543</v>
      </c>
      <c r="D56" s="13">
        <f t="shared" si="10"/>
        <v>2668.52</v>
      </c>
      <c r="E56" s="13">
        <f t="shared" si="11"/>
        <v>2847.3108399999996</v>
      </c>
      <c r="F56" s="13">
        <f t="shared" si="8"/>
        <v>3106.1572799999985</v>
      </c>
      <c r="G56" s="13">
        <v>2924.172541450598</v>
      </c>
      <c r="H56" s="13">
        <v>3003.5608594842697</v>
      </c>
      <c r="I56" s="13">
        <v>3078.8261226851873</v>
      </c>
      <c r="J56" s="13">
        <v>3149.109735764538</v>
      </c>
      <c r="K56" s="13">
        <v>3213.450731181825</v>
      </c>
      <c r="L56" s="13">
        <v>3270.774920948952</v>
      </c>
      <c r="M56" s="13">
        <v>3319.882941008803</v>
      </c>
      <c r="N56" s="13">
        <v>3359.437076609342</v>
      </c>
      <c r="O56" s="13">
        <v>3387.9467459054226</v>
      </c>
      <c r="P56" s="13">
        <v>3403.752506711611</v>
      </c>
      <c r="Q56" s="13">
        <v>3405.0084377883977</v>
      </c>
      <c r="R56" s="13">
        <v>3389.6627311478715</v>
      </c>
      <c r="S56" s="13">
        <v>3355.436315477776</v>
      </c>
      <c r="T56" s="13">
        <v>3299.7993127556306</v>
      </c>
      <c r="U56" s="13">
        <v>3219.9451102932817</v>
      </c>
      <c r="V56" s="13">
        <v>3112.7618086363973</v>
      </c>
      <c r="W56" s="13">
        <v>2974.800781744434</v>
      </c>
    </row>
    <row r="57" spans="1:23" ht="12.75">
      <c r="A57" s="45" t="s">
        <v>17</v>
      </c>
      <c r="B57" s="12" t="str">
        <f t="shared" si="9"/>
        <v>000 Tons</v>
      </c>
      <c r="C57" s="13">
        <v>842</v>
      </c>
      <c r="D57" s="13">
        <f t="shared" si="10"/>
        <v>842</v>
      </c>
      <c r="E57" s="13">
        <f t="shared" si="11"/>
        <v>898.4140000000001</v>
      </c>
      <c r="F57" s="13">
        <f t="shared" si="8"/>
        <v>980.0880000000006</v>
      </c>
      <c r="G57" s="13">
        <v>1120.7020000000002</v>
      </c>
      <c r="H57" s="13">
        <v>1232.7722000000003</v>
      </c>
      <c r="I57" s="13">
        <v>1356.0494200000005</v>
      </c>
      <c r="J57" s="13">
        <v>1491.6543620000007</v>
      </c>
      <c r="K57" s="13">
        <v>1640.8197982000008</v>
      </c>
      <c r="L57" s="13">
        <v>1804.901778020001</v>
      </c>
      <c r="M57" s="13">
        <v>1985.3919558220014</v>
      </c>
      <c r="N57" s="13">
        <v>2183.9311514042015</v>
      </c>
      <c r="O57" s="13">
        <v>2402.324266544622</v>
      </c>
      <c r="P57" s="13">
        <v>2642.5566931990843</v>
      </c>
      <c r="Q57" s="13">
        <v>2906.812362518993</v>
      </c>
      <c r="R57" s="13">
        <v>3197.4935987708923</v>
      </c>
      <c r="S57" s="13">
        <v>3517.2429586479816</v>
      </c>
      <c r="T57" s="13">
        <v>3868.96725451278</v>
      </c>
      <c r="U57" s="13">
        <v>4255.863979964059</v>
      </c>
      <c r="V57" s="13">
        <v>4681.450377960465</v>
      </c>
      <c r="W57" s="13">
        <v>5149.595415756512</v>
      </c>
    </row>
    <row r="58" spans="1:23" s="1" customFormat="1" ht="12.75">
      <c r="A58" s="44" t="s">
        <v>18</v>
      </c>
      <c r="B58" s="14" t="str">
        <f t="shared" si="9"/>
        <v>000 Tons</v>
      </c>
      <c r="C58" s="15">
        <v>16183.2</v>
      </c>
      <c r="D58" s="15">
        <f t="shared" si="10"/>
        <v>17303.34649031487</v>
      </c>
      <c r="E58" s="15">
        <f t="shared" si="11"/>
        <v>18561.30978142878</v>
      </c>
      <c r="F58" s="15">
        <f t="shared" si="8"/>
        <v>20326.845206844126</v>
      </c>
      <c r="G58" s="15">
        <v>28821.393100732545</v>
      </c>
      <c r="H58" s="15">
        <v>32173.881063547236</v>
      </c>
      <c r="I58" s="15">
        <v>34769.27975216981</v>
      </c>
      <c r="J58" s="15">
        <v>37450.95118050321</v>
      </c>
      <c r="K58" s="15">
        <v>40222.06761915455</v>
      </c>
      <c r="L58" s="15">
        <v>43085.94018887927</v>
      </c>
      <c r="M58" s="15">
        <v>46046.02647431112</v>
      </c>
      <c r="N58" s="15">
        <v>49105.93864722033</v>
      </c>
      <c r="O58" s="15">
        <v>52269.45213787666</v>
      </c>
      <c r="P58" s="15">
        <v>55540.514896193265</v>
      </c>
      <c r="Q58" s="15">
        <v>58923.25728768112</v>
      </c>
      <c r="R58" s="15">
        <v>62422.00267287363</v>
      </c>
      <c r="S58" s="15">
        <v>66041.27872280993</v>
      </c>
      <c r="T58" s="15">
        <v>69785.82952741836</v>
      </c>
      <c r="U58" s="15">
        <v>73660.62855824396</v>
      </c>
      <c r="V58" s="15">
        <v>77670.89255194769</v>
      </c>
      <c r="W58" s="15">
        <v>81822.09638639777</v>
      </c>
    </row>
    <row r="59" spans="1:23" ht="12.75">
      <c r="A59" s="419"/>
      <c r="B59" s="420"/>
      <c r="C59" s="420"/>
      <c r="D59" s="420"/>
      <c r="E59" s="420"/>
      <c r="F59" s="420"/>
      <c r="G59" s="420"/>
      <c r="H59" s="420"/>
      <c r="I59" s="420"/>
      <c r="J59" s="420"/>
      <c r="K59" s="420"/>
      <c r="L59" s="420"/>
      <c r="M59" s="420"/>
      <c r="N59" s="420"/>
      <c r="O59" s="420"/>
      <c r="P59" s="420"/>
      <c r="Q59" s="420"/>
      <c r="R59" s="420"/>
      <c r="S59" s="420"/>
      <c r="T59" s="420"/>
      <c r="U59" s="420"/>
      <c r="V59" s="420"/>
      <c r="W59" s="421"/>
    </row>
    <row r="60" spans="1:23" ht="12.75">
      <c r="A60" s="45" t="s">
        <v>5</v>
      </c>
      <c r="B60" s="12" t="s">
        <v>20</v>
      </c>
      <c r="C60" s="13">
        <v>2064.255</v>
      </c>
      <c r="D60" s="13">
        <f>D24</f>
        <v>2064.255</v>
      </c>
      <c r="E60" s="13">
        <f>E24*1.1</f>
        <v>2247.2603332339386</v>
      </c>
      <c r="F60" s="13">
        <f>F24*1.25</f>
        <v>2528.4217895524766</v>
      </c>
      <c r="G60" s="13">
        <v>2464.9107401395536</v>
      </c>
      <c r="H60" s="13">
        <v>2612.661061076031</v>
      </c>
      <c r="I60" s="13">
        <v>2769.86422743606</v>
      </c>
      <c r="J60" s="13">
        <v>2937.138153502432</v>
      </c>
      <c r="K60" s="13">
        <v>3115.1414164302964</v>
      </c>
      <c r="L60" s="13">
        <v>3304.5759376073333</v>
      </c>
      <c r="M60" s="13">
        <v>3506.1898409359073</v>
      </c>
      <c r="N60" s="13">
        <v>3720.780499713098</v>
      </c>
      <c r="O60" s="13">
        <v>3949.1977845550905</v>
      </c>
      <c r="P60" s="13">
        <v>4192.347525633874</v>
      </c>
      <c r="Q60" s="13">
        <v>4451.195203369821</v>
      </c>
      <c r="R60" s="13">
        <v>4726.7698826572205</v>
      </c>
      <c r="S60" s="13">
        <v>5020.168406694889</v>
      </c>
      <c r="T60" s="13">
        <v>5332.55986755469</v>
      </c>
      <c r="U60" s="13">
        <v>5665.190371751596</v>
      </c>
      <c r="V60" s="13">
        <v>6019.388120284264</v>
      </c>
      <c r="W60" s="13">
        <v>6396.56882390003</v>
      </c>
    </row>
    <row r="61" spans="1:23" ht="12.75">
      <c r="A61" s="45" t="s">
        <v>8</v>
      </c>
      <c r="B61" s="12" t="s">
        <v>20</v>
      </c>
      <c r="C61" s="13">
        <v>594.38</v>
      </c>
      <c r="D61" s="13">
        <f>D25</f>
        <v>616.5942136223217</v>
      </c>
      <c r="E61" s="13">
        <f>E25*1.1</f>
        <v>644.3409532353261</v>
      </c>
      <c r="F61" s="13">
        <f>F25*1.25</f>
        <v>658.9850658088561</v>
      </c>
      <c r="G61" s="13">
        <v>1628.438358113228</v>
      </c>
      <c r="H61" s="13">
        <v>1677.2915088566251</v>
      </c>
      <c r="I61" s="13">
        <v>1727.6102541223236</v>
      </c>
      <c r="J61" s="13">
        <v>1779.4385617459936</v>
      </c>
      <c r="K61" s="13">
        <v>1832.8217185983733</v>
      </c>
      <c r="L61" s="13">
        <v>1887.8063701563246</v>
      </c>
      <c r="M61" s="13">
        <v>1944.4405612610144</v>
      </c>
      <c r="N61" s="13">
        <v>2002.773778098845</v>
      </c>
      <c r="O61" s="13">
        <v>2062.8569914418104</v>
      </c>
      <c r="P61" s="13">
        <v>2124.742701185065</v>
      </c>
      <c r="Q61" s="13">
        <v>2188.4849822206165</v>
      </c>
      <c r="R61" s="13">
        <v>2254.139531687235</v>
      </c>
      <c r="S61" s="13">
        <v>2321.763717637852</v>
      </c>
      <c r="T61" s="13">
        <v>2391.4166291669876</v>
      </c>
      <c r="U61" s="13">
        <v>2463.1591280419975</v>
      </c>
      <c r="V61" s="13">
        <v>2537.0539018832574</v>
      </c>
      <c r="W61" s="13">
        <v>2613.165518939755</v>
      </c>
    </row>
    <row r="62" spans="1:23" ht="12.75">
      <c r="A62" s="45" t="s">
        <v>12</v>
      </c>
      <c r="B62" s="12" t="s">
        <v>20</v>
      </c>
      <c r="C62" s="13">
        <v>2582.025</v>
      </c>
      <c r="D62" s="13">
        <f>D26</f>
        <v>3508.44</v>
      </c>
      <c r="E62" s="13">
        <f>E26*1.1</f>
        <v>3719.1188142136116</v>
      </c>
      <c r="F62" s="13">
        <f>F26*1.25</f>
        <v>3975.5966085250834</v>
      </c>
      <c r="G62" s="13">
        <v>9856.92517047174</v>
      </c>
      <c r="H62" s="13">
        <v>12049.289359608349</v>
      </c>
      <c r="I62" s="13">
        <v>13549.148748761587</v>
      </c>
      <c r="J62" s="13">
        <v>15083.825191614662</v>
      </c>
      <c r="K62" s="13">
        <v>16653.74208553044</v>
      </c>
      <c r="L62" s="13">
        <v>18259.300080606743</v>
      </c>
      <c r="M62" s="13">
        <v>19900.874590549098</v>
      </c>
      <c r="N62" s="13">
        <v>21578.813157625173</v>
      </c>
      <c r="O62" s="13">
        <v>23293.432666782785</v>
      </c>
      <c r="P62" s="13">
        <v>25045.01640418257</v>
      </c>
      <c r="Q62" s="13">
        <v>26833.810955620585</v>
      </c>
      <c r="R62" s="13">
        <v>28660.0229406032</v>
      </c>
      <c r="S62" s="13">
        <v>30523.81557819457</v>
      </c>
      <c r="T62" s="13">
        <v>32425.305081194783</v>
      </c>
      <c r="U62" s="13">
        <v>34364.556875734575</v>
      </c>
      <c r="V62" s="13">
        <v>36341.58164400152</v>
      </c>
      <c r="W62" s="13">
        <v>38356.33118855445</v>
      </c>
    </row>
    <row r="63" spans="1:23" ht="12.75">
      <c r="A63" s="45" t="s">
        <v>14</v>
      </c>
      <c r="B63" s="12" t="s">
        <v>20</v>
      </c>
      <c r="C63" s="13">
        <v>5155.2622</v>
      </c>
      <c r="D63" s="13">
        <f>D27</f>
        <v>5155.2622</v>
      </c>
      <c r="E63" s="13">
        <f>E27*1.1</f>
        <v>5500.6647674</v>
      </c>
      <c r="F63" s="13">
        <f>F27*1.25</f>
        <v>6000.725200799999</v>
      </c>
      <c r="G63" s="13">
        <v>5748.930095551615</v>
      </c>
      <c r="H63" s="13">
        <v>5961.640509087024</v>
      </c>
      <c r="I63" s="13">
        <v>6182.221207923244</v>
      </c>
      <c r="J63" s="13">
        <v>6410.963392616403</v>
      </c>
      <c r="K63" s="13">
        <v>6648.169038143209</v>
      </c>
      <c r="L63" s="13">
        <v>6894.151292554507</v>
      </c>
      <c r="M63" s="13">
        <v>7149.234890379023</v>
      </c>
      <c r="N63" s="13">
        <v>7413.756581323048</v>
      </c>
      <c r="O63" s="13">
        <v>7688.065574832</v>
      </c>
      <c r="P63" s="13">
        <v>7972.524001100784</v>
      </c>
      <c r="Q63" s="13">
        <v>8267.50738914151</v>
      </c>
      <c r="R63" s="13">
        <v>8573.405162539746</v>
      </c>
      <c r="S63" s="13">
        <v>8890.621153553717</v>
      </c>
      <c r="T63" s="13">
        <v>9219.574136235206</v>
      </c>
      <c r="U63" s="13">
        <v>9560.698379275906</v>
      </c>
      <c r="V63" s="13">
        <v>9914.444219309114</v>
      </c>
      <c r="W63" s="13">
        <v>10281.278655423552</v>
      </c>
    </row>
    <row r="64" spans="1:23" s="1" customFormat="1" ht="12.75">
      <c r="A64" s="44" t="s">
        <v>18</v>
      </c>
      <c r="B64" s="14" t="s">
        <v>20</v>
      </c>
      <c r="C64" s="15">
        <v>10395.9222</v>
      </c>
      <c r="D64" s="15">
        <v>11344.551413622321</v>
      </c>
      <c r="E64" s="15">
        <f>E28*1.1</f>
        <v>12111.384868082876</v>
      </c>
      <c r="F64" s="15">
        <f>F28*1.25</f>
        <v>13163.728664686414</v>
      </c>
      <c r="G64" s="15">
        <v>19699.204364276135</v>
      </c>
      <c r="H64" s="15">
        <v>22300.882438628032</v>
      </c>
      <c r="I64" s="15">
        <v>24228.844438243214</v>
      </c>
      <c r="J64" s="15">
        <v>26211.36529947949</v>
      </c>
      <c r="K64" s="15">
        <v>28249.87425870232</v>
      </c>
      <c r="L64" s="15">
        <v>30345.83368092491</v>
      </c>
      <c r="M64" s="15">
        <v>32500.73988312504</v>
      </c>
      <c r="N64" s="15">
        <v>34716.124016760165</v>
      </c>
      <c r="O64" s="15">
        <v>36993.55301761169</v>
      </c>
      <c r="P64" s="15">
        <v>39334.63063210229</v>
      </c>
      <c r="Q64" s="15">
        <v>41740.99853035253</v>
      </c>
      <c r="R64" s="15">
        <v>44214.33751748741</v>
      </c>
      <c r="S64" s="15">
        <v>46756.36885608103</v>
      </c>
      <c r="T64" s="15">
        <v>49368.855714151665</v>
      </c>
      <c r="U64" s="15">
        <v>52053.60475480407</v>
      </c>
      <c r="V64" s="15">
        <v>54812.46788547815</v>
      </c>
      <c r="W64" s="15">
        <v>57647.34418681779</v>
      </c>
    </row>
    <row r="65" spans="1:23" ht="12.75">
      <c r="A65" s="413" t="s">
        <v>50</v>
      </c>
      <c r="B65" s="414"/>
      <c r="C65" s="414"/>
      <c r="D65" s="414"/>
      <c r="E65" s="414"/>
      <c r="F65" s="414"/>
      <c r="G65" s="414"/>
      <c r="H65" s="414"/>
      <c r="I65" s="414"/>
      <c r="J65" s="414"/>
      <c r="K65" s="414"/>
      <c r="L65" s="414"/>
      <c r="M65" s="414"/>
      <c r="N65" s="414"/>
      <c r="O65" s="414"/>
      <c r="P65" s="414"/>
      <c r="Q65" s="414"/>
      <c r="R65" s="414"/>
      <c r="S65" s="414"/>
      <c r="T65" s="414"/>
      <c r="U65" s="414"/>
      <c r="V65" s="414"/>
      <c r="W65" s="415"/>
    </row>
    <row r="66" spans="1:56" ht="12.75">
      <c r="A66" s="416" t="s">
        <v>105</v>
      </c>
      <c r="B66" s="417"/>
      <c r="C66" s="417"/>
      <c r="D66" s="417"/>
      <c r="E66" s="417"/>
      <c r="F66" s="417"/>
      <c r="G66" s="417"/>
      <c r="H66" s="417"/>
      <c r="I66" s="417"/>
      <c r="J66" s="417"/>
      <c r="K66" s="417"/>
      <c r="L66" s="417"/>
      <c r="M66" s="417"/>
      <c r="N66" s="417"/>
      <c r="O66" s="417"/>
      <c r="P66" s="417"/>
      <c r="Q66" s="417"/>
      <c r="R66" s="417"/>
      <c r="S66" s="417"/>
      <c r="T66" s="417"/>
      <c r="U66" s="417"/>
      <c r="V66" s="417"/>
      <c r="W66" s="418"/>
      <c r="Z66" s="3">
        <v>2007</v>
      </c>
      <c r="AA66" s="3">
        <f>Z66+1</f>
        <v>2008</v>
      </c>
      <c r="AB66" s="3">
        <f aca="true" t="shared" si="12" ref="AB66:AT66">AA66+1</f>
        <v>2009</v>
      </c>
      <c r="AC66" s="3">
        <f t="shared" si="12"/>
        <v>2010</v>
      </c>
      <c r="AD66" s="3">
        <f t="shared" si="12"/>
        <v>2011</v>
      </c>
      <c r="AE66" s="3">
        <f t="shared" si="12"/>
        <v>2012</v>
      </c>
      <c r="AF66" s="3">
        <f t="shared" si="12"/>
        <v>2013</v>
      </c>
      <c r="AG66" s="3">
        <f t="shared" si="12"/>
        <v>2014</v>
      </c>
      <c r="AH66" s="3">
        <f t="shared" si="12"/>
        <v>2015</v>
      </c>
      <c r="AI66" s="3">
        <f t="shared" si="12"/>
        <v>2016</v>
      </c>
      <c r="AJ66" s="3">
        <f t="shared" si="12"/>
        <v>2017</v>
      </c>
      <c r="AK66" s="3">
        <f t="shared" si="12"/>
        <v>2018</v>
      </c>
      <c r="AL66" s="3">
        <f t="shared" si="12"/>
        <v>2019</v>
      </c>
      <c r="AM66" s="3">
        <f t="shared" si="12"/>
        <v>2020</v>
      </c>
      <c r="AN66" s="3">
        <f t="shared" si="12"/>
        <v>2021</v>
      </c>
      <c r="AO66" s="3">
        <f t="shared" si="12"/>
        <v>2022</v>
      </c>
      <c r="AP66" s="3">
        <f t="shared" si="12"/>
        <v>2023</v>
      </c>
      <c r="AQ66" s="3">
        <f t="shared" si="12"/>
        <v>2024</v>
      </c>
      <c r="AR66" s="3">
        <f t="shared" si="12"/>
        <v>2025</v>
      </c>
      <c r="AS66" s="3">
        <f t="shared" si="12"/>
        <v>2026</v>
      </c>
      <c r="AT66" s="3">
        <f t="shared" si="12"/>
        <v>2027</v>
      </c>
      <c r="AU66" s="3"/>
      <c r="AV66" s="3"/>
      <c r="AW66" s="3"/>
      <c r="AX66" s="3"/>
      <c r="AY66" s="3"/>
      <c r="AZ66" s="3"/>
      <c r="BA66" s="3"/>
      <c r="BB66" s="3"/>
      <c r="BC66" s="3"/>
      <c r="BD66" s="3"/>
    </row>
    <row r="67" spans="1:46" ht="12.75">
      <c r="A67" s="46"/>
      <c r="B67" s="14" t="s">
        <v>3</v>
      </c>
      <c r="C67" s="14">
        <v>2007</v>
      </c>
      <c r="D67" s="14">
        <f>C67+1</f>
        <v>2008</v>
      </c>
      <c r="E67" s="14">
        <f aca="true" t="shared" si="13" ref="E67:W67">D67+1</f>
        <v>2009</v>
      </c>
      <c r="F67" s="14">
        <f t="shared" si="13"/>
        <v>2010</v>
      </c>
      <c r="G67" s="14">
        <f t="shared" si="13"/>
        <v>2011</v>
      </c>
      <c r="H67" s="14">
        <f t="shared" si="13"/>
        <v>2012</v>
      </c>
      <c r="I67" s="14">
        <f t="shared" si="13"/>
        <v>2013</v>
      </c>
      <c r="J67" s="14">
        <f t="shared" si="13"/>
        <v>2014</v>
      </c>
      <c r="K67" s="14">
        <f t="shared" si="13"/>
        <v>2015</v>
      </c>
      <c r="L67" s="14">
        <f t="shared" si="13"/>
        <v>2016</v>
      </c>
      <c r="M67" s="14">
        <f t="shared" si="13"/>
        <v>2017</v>
      </c>
      <c r="N67" s="14">
        <f t="shared" si="13"/>
        <v>2018</v>
      </c>
      <c r="O67" s="14">
        <f t="shared" si="13"/>
        <v>2019</v>
      </c>
      <c r="P67" s="14">
        <f t="shared" si="13"/>
        <v>2020</v>
      </c>
      <c r="Q67" s="14">
        <f t="shared" si="13"/>
        <v>2021</v>
      </c>
      <c r="R67" s="14">
        <f t="shared" si="13"/>
        <v>2022</v>
      </c>
      <c r="S67" s="14">
        <f t="shared" si="13"/>
        <v>2023</v>
      </c>
      <c r="T67" s="14">
        <f>S67+1</f>
        <v>2024</v>
      </c>
      <c r="U67" s="14">
        <f t="shared" si="13"/>
        <v>2025</v>
      </c>
      <c r="V67" s="14">
        <f t="shared" si="13"/>
        <v>2026</v>
      </c>
      <c r="W67" s="14">
        <f t="shared" si="13"/>
        <v>2027</v>
      </c>
      <c r="X67" s="2" t="s">
        <v>99</v>
      </c>
      <c r="Y67" s="2" t="s">
        <v>107</v>
      </c>
      <c r="Z67" s="62">
        <f>C22/1000</f>
        <v>16.1832</v>
      </c>
      <c r="AA67" s="62">
        <f>D22/1000</f>
        <v>17.30334649031487</v>
      </c>
      <c r="AB67" s="62">
        <f aca="true" t="shared" si="14" ref="AB67:AT67">E22/1000</f>
        <v>16.87391798311707</v>
      </c>
      <c r="AC67" s="62">
        <f t="shared" si="14"/>
        <v>16.2614761654753</v>
      </c>
      <c r="AD67" s="62">
        <f t="shared" si="14"/>
        <v>15.80491330331979</v>
      </c>
      <c r="AE67" s="62">
        <f t="shared" si="14"/>
        <v>15.5554566522143</v>
      </c>
      <c r="AF67" s="62">
        <f t="shared" si="14"/>
        <v>15.5554566522143</v>
      </c>
      <c r="AG67" s="62">
        <f t="shared" si="14"/>
        <v>15.5554566522143</v>
      </c>
      <c r="AH67" s="62">
        <f t="shared" si="14"/>
        <v>15.5554566522143</v>
      </c>
      <c r="AI67" s="62">
        <f t="shared" si="14"/>
        <v>15.5554566522143</v>
      </c>
      <c r="AJ67" s="62">
        <f t="shared" si="14"/>
        <v>15.5554566522143</v>
      </c>
      <c r="AK67" s="62">
        <f t="shared" si="14"/>
        <v>15.5554566522143</v>
      </c>
      <c r="AL67" s="62">
        <f t="shared" si="14"/>
        <v>15.5554566522143</v>
      </c>
      <c r="AM67" s="62">
        <f t="shared" si="14"/>
        <v>15.5554566522143</v>
      </c>
      <c r="AN67" s="62">
        <f t="shared" si="14"/>
        <v>15.5554566522143</v>
      </c>
      <c r="AO67" s="62">
        <f t="shared" si="14"/>
        <v>15.5554566522143</v>
      </c>
      <c r="AP67" s="62">
        <f t="shared" si="14"/>
        <v>15.5554566522143</v>
      </c>
      <c r="AQ67" s="62">
        <f t="shared" si="14"/>
        <v>15.5554566522143</v>
      </c>
      <c r="AR67" s="62">
        <f t="shared" si="14"/>
        <v>15.5554566522143</v>
      </c>
      <c r="AS67" s="62">
        <f t="shared" si="14"/>
        <v>15.5554566522143</v>
      </c>
      <c r="AT67" s="62">
        <f t="shared" si="14"/>
        <v>15.5554566522143</v>
      </c>
    </row>
    <row r="68" spans="1:46" ht="12.75">
      <c r="A68" s="44" t="s">
        <v>5</v>
      </c>
      <c r="B68" s="12" t="s">
        <v>19</v>
      </c>
      <c r="C68" s="13">
        <f aca="true" t="shared" si="15" ref="C68:W80">C42-C6</f>
        <v>0</v>
      </c>
      <c r="D68" s="13">
        <f t="shared" si="15"/>
        <v>0</v>
      </c>
      <c r="E68" s="13">
        <f t="shared" si="15"/>
        <v>716.8294523872219</v>
      </c>
      <c r="F68" s="13">
        <f t="shared" si="15"/>
        <v>1774.331080387702</v>
      </c>
      <c r="G68" s="13">
        <f t="shared" si="15"/>
        <v>1551.48529297394</v>
      </c>
      <c r="H68" s="13">
        <f t="shared" si="15"/>
        <v>2069.9074716984187</v>
      </c>
      <c r="I68" s="13">
        <f t="shared" si="15"/>
        <v>2621.497529102032</v>
      </c>
      <c r="J68" s="13">
        <f t="shared" si="15"/>
        <v>3208.423585475267</v>
      </c>
      <c r="K68" s="13">
        <f t="shared" si="15"/>
        <v>3832.996437853738</v>
      </c>
      <c r="L68" s="13">
        <f t="shared" si="15"/>
        <v>4497.678968299481</v>
      </c>
      <c r="M68" s="13">
        <f t="shared" si="15"/>
        <v>5205.096172961145</v>
      </c>
      <c r="N68" s="13">
        <f t="shared" si="15"/>
        <v>5958.045852881111</v>
      </c>
      <c r="O68" s="13">
        <f t="shared" si="15"/>
        <v>6759.510010221437</v>
      </c>
      <c r="P68" s="13">
        <f t="shared" si="15"/>
        <v>7612.666996462783</v>
      </c>
      <c r="Q68" s="13">
        <f t="shared" si="15"/>
        <v>8520.904462202943</v>
      </c>
      <c r="R68" s="13">
        <f t="shared" si="15"/>
        <v>9487.83316145698</v>
      </c>
      <c r="S68" s="13">
        <f t="shared" si="15"/>
        <v>10517.301666852309</v>
      </c>
      <c r="T68" s="13">
        <f t="shared" si="15"/>
        <v>11613.412055834066</v>
      </c>
      <c r="U68" s="13">
        <f t="shared" si="15"/>
        <v>12780.536631963561</v>
      </c>
      <c r="V68" s="13">
        <f t="shared" si="15"/>
        <v>14023.335749622045</v>
      </c>
      <c r="W68" s="13">
        <f t="shared" si="15"/>
        <v>15346.77681494052</v>
      </c>
      <c r="Y68" s="2" t="s">
        <v>110</v>
      </c>
      <c r="Z68" s="62">
        <f>C84/1000</f>
        <v>0</v>
      </c>
      <c r="AA68" s="62">
        <f aca="true" t="shared" si="16" ref="AA68:AT68">D84/1000</f>
        <v>0</v>
      </c>
      <c r="AB68" s="62">
        <f t="shared" si="16"/>
        <v>1.68739179831171</v>
      </c>
      <c r="AC68" s="62">
        <f t="shared" si="16"/>
        <v>4.0653690413688235</v>
      </c>
      <c r="AD68" s="62">
        <f t="shared" si="16"/>
        <v>13.016479797412755</v>
      </c>
      <c r="AE68" s="62">
        <f t="shared" si="16"/>
        <v>16.61842441133294</v>
      </c>
      <c r="AF68" s="62">
        <f t="shared" si="16"/>
        <v>19.21382309995551</v>
      </c>
      <c r="AG68" s="62">
        <f t="shared" si="16"/>
        <v>21.89549452828891</v>
      </c>
      <c r="AH68" s="62">
        <f t="shared" si="16"/>
        <v>24.66661096694025</v>
      </c>
      <c r="AI68" s="62">
        <f t="shared" si="16"/>
        <v>27.53048353666497</v>
      </c>
      <c r="AJ68" s="62">
        <f t="shared" si="16"/>
        <v>30.49056982209682</v>
      </c>
      <c r="AK68" s="62">
        <f t="shared" si="16"/>
        <v>33.55048199500603</v>
      </c>
      <c r="AL68" s="62">
        <f t="shared" si="16"/>
        <v>36.71399548566236</v>
      </c>
      <c r="AM68" s="62">
        <f t="shared" si="16"/>
        <v>39.98505824397896</v>
      </c>
      <c r="AN68" s="62">
        <f t="shared" si="16"/>
        <v>43.36780063546682</v>
      </c>
      <c r="AO68" s="62">
        <f t="shared" si="16"/>
        <v>46.86654602065933</v>
      </c>
      <c r="AP68" s="62">
        <f t="shared" si="16"/>
        <v>50.48582207059563</v>
      </c>
      <c r="AQ68" s="62">
        <f t="shared" si="16"/>
        <v>54.23037287520406</v>
      </c>
      <c r="AR68" s="62">
        <f t="shared" si="16"/>
        <v>58.10517190602966</v>
      </c>
      <c r="AS68" s="62">
        <f t="shared" si="16"/>
        <v>62.11543589973339</v>
      </c>
      <c r="AT68" s="62">
        <f t="shared" si="16"/>
        <v>66.26663973418347</v>
      </c>
    </row>
    <row r="69" spans="1:46" ht="12.75">
      <c r="A69" s="45" t="s">
        <v>6</v>
      </c>
      <c r="B69" s="12" t="str">
        <f>B68</f>
        <v>000 Tons</v>
      </c>
      <c r="C69" s="13">
        <f t="shared" si="15"/>
        <v>0</v>
      </c>
      <c r="D69" s="13">
        <f t="shared" si="15"/>
        <v>0</v>
      </c>
      <c r="E69" s="13">
        <f t="shared" si="15"/>
        <v>490.88417559583286</v>
      </c>
      <c r="F69" s="13">
        <f t="shared" si="15"/>
        <v>1215.060356029684</v>
      </c>
      <c r="G69" s="13">
        <f t="shared" si="15"/>
        <v>628.4188862812616</v>
      </c>
      <c r="H69" s="13">
        <f t="shared" si="15"/>
        <v>738.192092489262</v>
      </c>
      <c r="I69" s="13">
        <f t="shared" si="15"/>
        <v>850.1607628214224</v>
      </c>
      <c r="J69" s="13">
        <f t="shared" si="15"/>
        <v>964.3688065602255</v>
      </c>
      <c r="K69" s="13">
        <f t="shared" si="15"/>
        <v>1080.8610111738053</v>
      </c>
      <c r="L69" s="13">
        <f t="shared" si="15"/>
        <v>1199.683059879656</v>
      </c>
      <c r="M69" s="13">
        <f t="shared" si="15"/>
        <v>1320.8815495596236</v>
      </c>
      <c r="N69" s="13">
        <f t="shared" si="15"/>
        <v>1444.5040090331913</v>
      </c>
      <c r="O69" s="13">
        <f t="shared" si="15"/>
        <v>1570.5989176962303</v>
      </c>
      <c r="P69" s="13">
        <f t="shared" si="15"/>
        <v>1699.2157245325297</v>
      </c>
      <c r="Q69" s="13">
        <f t="shared" si="15"/>
        <v>1830.4048675055556</v>
      </c>
      <c r="R69" s="13">
        <f t="shared" si="15"/>
        <v>1964.2177933380417</v>
      </c>
      <c r="S69" s="13">
        <f t="shared" si="15"/>
        <v>2100.7069776871776</v>
      </c>
      <c r="T69" s="13">
        <f t="shared" si="15"/>
        <v>2239.9259457232956</v>
      </c>
      <c r="U69" s="13">
        <f t="shared" si="15"/>
        <v>2381.929293120136</v>
      </c>
      <c r="V69" s="13">
        <f t="shared" si="15"/>
        <v>2526.7727074649138</v>
      </c>
      <c r="W69" s="13">
        <f t="shared" si="15"/>
        <v>2674.5129900965867</v>
      </c>
      <c r="Y69" s="2" t="s">
        <v>108</v>
      </c>
      <c r="Z69" s="64">
        <f>C58/1000</f>
        <v>16.1832</v>
      </c>
      <c r="AA69" s="64">
        <f>D58/1000</f>
        <v>17.30334649031487</v>
      </c>
      <c r="AB69" s="64">
        <f aca="true" t="shared" si="17" ref="AB69:AT69">E58/1000</f>
        <v>18.56130978142878</v>
      </c>
      <c r="AC69" s="64">
        <f t="shared" si="17"/>
        <v>20.326845206844126</v>
      </c>
      <c r="AD69" s="64">
        <f t="shared" si="17"/>
        <v>28.821393100732543</v>
      </c>
      <c r="AE69" s="64">
        <f t="shared" si="17"/>
        <v>32.173881063547235</v>
      </c>
      <c r="AF69" s="64">
        <f t="shared" si="17"/>
        <v>34.76927975216981</v>
      </c>
      <c r="AG69" s="64">
        <f t="shared" si="17"/>
        <v>37.45095118050321</v>
      </c>
      <c r="AH69" s="64">
        <f t="shared" si="17"/>
        <v>40.22206761915455</v>
      </c>
      <c r="AI69" s="64">
        <f t="shared" si="17"/>
        <v>43.08594018887927</v>
      </c>
      <c r="AJ69" s="64">
        <f t="shared" si="17"/>
        <v>46.04602647431112</v>
      </c>
      <c r="AK69" s="64">
        <f t="shared" si="17"/>
        <v>49.105938647220334</v>
      </c>
      <c r="AL69" s="64">
        <f t="shared" si="17"/>
        <v>52.269452137876655</v>
      </c>
      <c r="AM69" s="64">
        <f t="shared" si="17"/>
        <v>55.540514896193265</v>
      </c>
      <c r="AN69" s="64">
        <f t="shared" si="17"/>
        <v>58.92325728768112</v>
      </c>
      <c r="AO69" s="64">
        <f t="shared" si="17"/>
        <v>62.422002672873624</v>
      </c>
      <c r="AP69" s="64">
        <f t="shared" si="17"/>
        <v>66.04127872280993</v>
      </c>
      <c r="AQ69" s="64">
        <f t="shared" si="17"/>
        <v>69.78582952741836</v>
      </c>
      <c r="AR69" s="64">
        <f t="shared" si="17"/>
        <v>73.66062855824396</v>
      </c>
      <c r="AS69" s="64">
        <f t="shared" si="17"/>
        <v>77.67089255194769</v>
      </c>
      <c r="AT69" s="64">
        <f t="shared" si="17"/>
        <v>81.82209638639776</v>
      </c>
    </row>
    <row r="70" spans="1:23" ht="12.75">
      <c r="A70" s="45" t="s">
        <v>7</v>
      </c>
      <c r="B70" s="12" t="str">
        <f aca="true" t="shared" si="18" ref="B70:B84">B69</f>
        <v>000 Tons</v>
      </c>
      <c r="C70" s="13">
        <f t="shared" si="15"/>
        <v>0</v>
      </c>
      <c r="D70" s="13">
        <f t="shared" si="15"/>
        <v>0</v>
      </c>
      <c r="E70" s="13">
        <f t="shared" si="15"/>
        <v>225.94527679138855</v>
      </c>
      <c r="F70" s="13">
        <f t="shared" si="15"/>
        <v>559.270724358018</v>
      </c>
      <c r="G70" s="13">
        <f t="shared" si="15"/>
        <v>923.0664066926784</v>
      </c>
      <c r="H70" s="13">
        <f t="shared" si="15"/>
        <v>1331.7153792091567</v>
      </c>
      <c r="I70" s="13">
        <f t="shared" si="15"/>
        <v>1771.3367662806095</v>
      </c>
      <c r="J70" s="13">
        <f t="shared" si="15"/>
        <v>2244.0547789150414</v>
      </c>
      <c r="K70" s="13">
        <f t="shared" si="15"/>
        <v>2752.1354266799326</v>
      </c>
      <c r="L70" s="13">
        <f t="shared" si="15"/>
        <v>3297.9959084198254</v>
      </c>
      <c r="M70" s="13">
        <f t="shared" si="15"/>
        <v>3884.2146234015217</v>
      </c>
      <c r="N70" s="13">
        <f t="shared" si="15"/>
        <v>4513.54184384792</v>
      </c>
      <c r="O70" s="13">
        <f t="shared" si="15"/>
        <v>5188.911092525207</v>
      </c>
      <c r="P70" s="13">
        <f t="shared" si="15"/>
        <v>5913.451271930253</v>
      </c>
      <c r="Q70" s="13">
        <f t="shared" si="15"/>
        <v>6690.4995946973895</v>
      </c>
      <c r="R70" s="13">
        <f t="shared" si="15"/>
        <v>7523.615368118938</v>
      </c>
      <c r="S70" s="13">
        <f t="shared" si="15"/>
        <v>8416.594689165133</v>
      </c>
      <c r="T70" s="13">
        <f t="shared" si="15"/>
        <v>9373.48611011077</v>
      </c>
      <c r="U70" s="13">
        <f t="shared" si="15"/>
        <v>10398.607338843427</v>
      </c>
      <c r="V70" s="13">
        <f t="shared" si="15"/>
        <v>11496.563042157133</v>
      </c>
      <c r="W70" s="13">
        <f t="shared" si="15"/>
        <v>12672.263824843936</v>
      </c>
    </row>
    <row r="71" spans="1:46" ht="12.75">
      <c r="A71" s="44" t="s">
        <v>8</v>
      </c>
      <c r="B71" s="12" t="str">
        <f t="shared" si="18"/>
        <v>000 Tons</v>
      </c>
      <c r="C71" s="13">
        <f t="shared" si="15"/>
        <v>0</v>
      </c>
      <c r="D71" s="13">
        <f t="shared" si="15"/>
        <v>0</v>
      </c>
      <c r="E71" s="13">
        <f t="shared" si="15"/>
        <v>129.59391657991296</v>
      </c>
      <c r="F71" s="13">
        <f t="shared" si="15"/>
        <v>291.58631230480364</v>
      </c>
      <c r="G71" s="13">
        <f t="shared" si="15"/>
        <v>2537.8223395206633</v>
      </c>
      <c r="H71" s="13">
        <f t="shared" si="15"/>
        <v>2699.1504009717496</v>
      </c>
      <c r="I71" s="13">
        <f t="shared" si="15"/>
        <v>2810.4750586392247</v>
      </c>
      <c r="J71" s="13">
        <f t="shared" si="15"/>
        <v>2925.1394560367244</v>
      </c>
      <c r="K71" s="13">
        <f t="shared" si="15"/>
        <v>3043.2437853561487</v>
      </c>
      <c r="L71" s="13">
        <f t="shared" si="15"/>
        <v>3164.891244555156</v>
      </c>
      <c r="M71" s="13">
        <f t="shared" si="15"/>
        <v>3290.188127530133</v>
      </c>
      <c r="N71" s="13">
        <f t="shared" si="15"/>
        <v>3419.24391699436</v>
      </c>
      <c r="O71" s="13">
        <f t="shared" si="15"/>
        <v>3552.171380142514</v>
      </c>
      <c r="P71" s="13">
        <f t="shared" si="15"/>
        <v>3689.0866671851118</v>
      </c>
      <c r="Q71" s="13">
        <f t="shared" si="15"/>
        <v>3830.1094128389877</v>
      </c>
      <c r="R71" s="13">
        <f t="shared" si="15"/>
        <v>3975.36284086248</v>
      </c>
      <c r="S71" s="13">
        <f t="shared" si="15"/>
        <v>4124.973871726677</v>
      </c>
      <c r="T71" s="13">
        <f t="shared" si="15"/>
        <v>4279.0732335168</v>
      </c>
      <c r="U71" s="13">
        <f t="shared" si="15"/>
        <v>4437.795576160627</v>
      </c>
      <c r="V71" s="13">
        <f t="shared" si="15"/>
        <v>4601.279589083769</v>
      </c>
      <c r="W71" s="13">
        <f t="shared" si="15"/>
        <v>4769.668122394604</v>
      </c>
      <c r="X71" s="2" t="s">
        <v>109</v>
      </c>
      <c r="Y71" s="2" t="s">
        <v>107</v>
      </c>
      <c r="Z71" s="4">
        <f>C28</f>
        <v>10395.9222</v>
      </c>
      <c r="AA71" s="4">
        <f aca="true" t="shared" si="19" ref="AA71:AT71">D28</f>
        <v>11344.551413622321</v>
      </c>
      <c r="AB71" s="4">
        <f t="shared" si="19"/>
        <v>11010.34988007534</v>
      </c>
      <c r="AC71" s="4">
        <f t="shared" si="19"/>
        <v>10530.982931749131</v>
      </c>
      <c r="AD71" s="4">
        <f t="shared" si="19"/>
        <v>10156.686666643376</v>
      </c>
      <c r="AE71" s="4">
        <f t="shared" si="19"/>
        <v>9942.063294593941</v>
      </c>
      <c r="AF71" s="4">
        <f t="shared" si="19"/>
        <v>9942.063294593941</v>
      </c>
      <c r="AG71" s="4">
        <f t="shared" si="19"/>
        <v>9942.063294593941</v>
      </c>
      <c r="AH71" s="4">
        <f t="shared" si="19"/>
        <v>9942.063294593941</v>
      </c>
      <c r="AI71" s="4">
        <f t="shared" si="19"/>
        <v>9942.063294593941</v>
      </c>
      <c r="AJ71" s="4">
        <f t="shared" si="19"/>
        <v>9942.063294593941</v>
      </c>
      <c r="AK71" s="4">
        <f t="shared" si="19"/>
        <v>9942.063294593941</v>
      </c>
      <c r="AL71" s="4">
        <f t="shared" si="19"/>
        <v>9942.063294593941</v>
      </c>
      <c r="AM71" s="4">
        <f t="shared" si="19"/>
        <v>9942.063294593941</v>
      </c>
      <c r="AN71" s="4">
        <f t="shared" si="19"/>
        <v>9942.063294593941</v>
      </c>
      <c r="AO71" s="4">
        <f t="shared" si="19"/>
        <v>9942.063294593941</v>
      </c>
      <c r="AP71" s="4">
        <f t="shared" si="19"/>
        <v>9942.063294593941</v>
      </c>
      <c r="AQ71" s="4">
        <f t="shared" si="19"/>
        <v>9942.063294593941</v>
      </c>
      <c r="AR71" s="4">
        <f t="shared" si="19"/>
        <v>9942.063294593941</v>
      </c>
      <c r="AS71" s="4">
        <f t="shared" si="19"/>
        <v>9942.063294593941</v>
      </c>
      <c r="AT71" s="4">
        <f t="shared" si="19"/>
        <v>9942.063294593941</v>
      </c>
    </row>
    <row r="72" spans="1:46" ht="12.75">
      <c r="A72" s="45" t="s">
        <v>9</v>
      </c>
      <c r="B72" s="12" t="str">
        <f t="shared" si="18"/>
        <v>000 Tons</v>
      </c>
      <c r="C72" s="13">
        <f t="shared" si="15"/>
        <v>0</v>
      </c>
      <c r="D72" s="13">
        <f t="shared" si="15"/>
        <v>0</v>
      </c>
      <c r="E72" s="13">
        <f t="shared" si="15"/>
        <v>51.147713083631004</v>
      </c>
      <c r="F72" s="13">
        <f t="shared" si="15"/>
        <v>115.0823544381696</v>
      </c>
      <c r="G72" s="13">
        <f t="shared" si="15"/>
        <v>1579.7018054488844</v>
      </c>
      <c r="H72" s="13">
        <f t="shared" si="15"/>
        <v>1600.7167151764402</v>
      </c>
      <c r="I72" s="13">
        <f t="shared" si="15"/>
        <v>1600.7167151764402</v>
      </c>
      <c r="J72" s="13">
        <f t="shared" si="15"/>
        <v>1600.7167151764402</v>
      </c>
      <c r="K72" s="13">
        <f t="shared" si="15"/>
        <v>1600.7167151764402</v>
      </c>
      <c r="L72" s="13">
        <f t="shared" si="15"/>
        <v>1600.7167151764402</v>
      </c>
      <c r="M72" s="13">
        <f t="shared" si="15"/>
        <v>1600.7167151764402</v>
      </c>
      <c r="N72" s="13">
        <f t="shared" si="15"/>
        <v>1600.7167151764402</v>
      </c>
      <c r="O72" s="13">
        <f t="shared" si="15"/>
        <v>1600.7167151764402</v>
      </c>
      <c r="P72" s="13">
        <f t="shared" si="15"/>
        <v>1600.7167151764402</v>
      </c>
      <c r="Q72" s="13">
        <f t="shared" si="15"/>
        <v>1600.7167151764402</v>
      </c>
      <c r="R72" s="13">
        <f t="shared" si="15"/>
        <v>1600.7167151764402</v>
      </c>
      <c r="S72" s="13">
        <f t="shared" si="15"/>
        <v>1600.7167151764402</v>
      </c>
      <c r="T72" s="13">
        <f t="shared" si="15"/>
        <v>1600.7167151764402</v>
      </c>
      <c r="U72" s="13">
        <f t="shared" si="15"/>
        <v>1600.7167151764402</v>
      </c>
      <c r="V72" s="13">
        <f t="shared" si="15"/>
        <v>1600.7167151764402</v>
      </c>
      <c r="W72" s="13">
        <f t="shared" si="15"/>
        <v>1600.7167151764402</v>
      </c>
      <c r="Y72" s="2" t="s">
        <v>106</v>
      </c>
      <c r="Z72" s="4">
        <f>C90</f>
        <v>0</v>
      </c>
      <c r="AA72" s="4">
        <f aca="true" t="shared" si="20" ref="AA72:AT72">D90</f>
        <v>0</v>
      </c>
      <c r="AB72" s="4">
        <f t="shared" si="20"/>
        <v>1101.0349880075355</v>
      </c>
      <c r="AC72" s="4">
        <f t="shared" si="20"/>
        <v>2632.745732937283</v>
      </c>
      <c r="AD72" s="4">
        <f t="shared" si="20"/>
        <v>9542.517697632758</v>
      </c>
      <c r="AE72" s="4">
        <f t="shared" si="20"/>
        <v>12358.81914403409</v>
      </c>
      <c r="AF72" s="4">
        <f t="shared" si="20"/>
        <v>14286.781143649272</v>
      </c>
      <c r="AG72" s="4">
        <f t="shared" si="20"/>
        <v>16269.302004885549</v>
      </c>
      <c r="AH72" s="4">
        <f t="shared" si="20"/>
        <v>18307.81096410838</v>
      </c>
      <c r="AI72" s="4">
        <f t="shared" si="20"/>
        <v>20403.770386330965</v>
      </c>
      <c r="AJ72" s="4">
        <f t="shared" si="20"/>
        <v>22558.676588531096</v>
      </c>
      <c r="AK72" s="4">
        <f t="shared" si="20"/>
        <v>24774.06072216622</v>
      </c>
      <c r="AL72" s="4">
        <f t="shared" si="20"/>
        <v>27051.489723017745</v>
      </c>
      <c r="AM72" s="4">
        <f t="shared" si="20"/>
        <v>29392.56733750835</v>
      </c>
      <c r="AN72" s="4">
        <f t="shared" si="20"/>
        <v>31798.93523575859</v>
      </c>
      <c r="AO72" s="4">
        <f t="shared" si="20"/>
        <v>34272.274222893466</v>
      </c>
      <c r="AP72" s="4">
        <f t="shared" si="20"/>
        <v>36814.30556148709</v>
      </c>
      <c r="AQ72" s="4">
        <f t="shared" si="20"/>
        <v>39426.79241955772</v>
      </c>
      <c r="AR72" s="4">
        <f t="shared" si="20"/>
        <v>42111.54146021013</v>
      </c>
      <c r="AS72" s="4">
        <f t="shared" si="20"/>
        <v>44870.40459088421</v>
      </c>
      <c r="AT72" s="4">
        <f t="shared" si="20"/>
        <v>47705.28089222385</v>
      </c>
    </row>
    <row r="73" spans="1:46" ht="12.75">
      <c r="A73" s="45" t="s">
        <v>10</v>
      </c>
      <c r="B73" s="12" t="str">
        <f t="shared" si="18"/>
        <v>000 Tons</v>
      </c>
      <c r="C73" s="13">
        <f t="shared" si="15"/>
        <v>0</v>
      </c>
      <c r="D73" s="13">
        <f t="shared" si="15"/>
        <v>0</v>
      </c>
      <c r="E73" s="13">
        <f t="shared" si="15"/>
        <v>7.68693953858039</v>
      </c>
      <c r="F73" s="13">
        <f t="shared" si="15"/>
        <v>17.29561396180584</v>
      </c>
      <c r="G73" s="13">
        <f t="shared" si="15"/>
        <v>27.827256359843787</v>
      </c>
      <c r="H73" s="13">
        <f t="shared" si="15"/>
        <v>33.71537026258314</v>
      </c>
      <c r="I73" s="13">
        <f t="shared" si="15"/>
        <v>36.52706814596571</v>
      </c>
      <c r="J73" s="13">
        <f t="shared" si="15"/>
        <v>39.42311696584975</v>
      </c>
      <c r="K73" s="13">
        <f t="shared" si="15"/>
        <v>42.40604725033031</v>
      </c>
      <c r="L73" s="13">
        <f t="shared" si="15"/>
        <v>45.47846544334529</v>
      </c>
      <c r="M73" s="13">
        <f t="shared" si="15"/>
        <v>48.64305618215072</v>
      </c>
      <c r="N73" s="13">
        <f t="shared" si="15"/>
        <v>51.90258464312031</v>
      </c>
      <c r="O73" s="13">
        <f t="shared" si="15"/>
        <v>55.259898957919</v>
      </c>
      <c r="P73" s="13">
        <f t="shared" si="15"/>
        <v>58.71793270216164</v>
      </c>
      <c r="Q73" s="13">
        <f t="shared" si="15"/>
        <v>62.27970745873156</v>
      </c>
      <c r="R73" s="13">
        <f t="shared" si="15"/>
        <v>65.94833545799858</v>
      </c>
      <c r="S73" s="13">
        <f t="shared" si="15"/>
        <v>69.72702229724362</v>
      </c>
      <c r="T73" s="13">
        <f t="shared" si="15"/>
        <v>73.61906974166601</v>
      </c>
      <c r="U73" s="13">
        <f t="shared" si="15"/>
        <v>77.62787860942106</v>
      </c>
      <c r="V73" s="13">
        <f t="shared" si="15"/>
        <v>81.75695174320876</v>
      </c>
      <c r="W73" s="13">
        <f t="shared" si="15"/>
        <v>86.0098970710101</v>
      </c>
      <c r="Y73" s="2" t="s">
        <v>108</v>
      </c>
      <c r="Z73" s="4">
        <f>C64</f>
        <v>10395.9222</v>
      </c>
      <c r="AA73" s="4">
        <f aca="true" t="shared" si="21" ref="AA73:AT73">D64</f>
        <v>11344.551413622321</v>
      </c>
      <c r="AB73" s="4">
        <f t="shared" si="21"/>
        <v>12111.384868082876</v>
      </c>
      <c r="AC73" s="4">
        <f t="shared" si="21"/>
        <v>13163.728664686414</v>
      </c>
      <c r="AD73" s="4">
        <f t="shared" si="21"/>
        <v>19699.204364276135</v>
      </c>
      <c r="AE73" s="4">
        <f t="shared" si="21"/>
        <v>22300.882438628032</v>
      </c>
      <c r="AF73" s="4">
        <f t="shared" si="21"/>
        <v>24228.844438243214</v>
      </c>
      <c r="AG73" s="4">
        <f t="shared" si="21"/>
        <v>26211.36529947949</v>
      </c>
      <c r="AH73" s="4">
        <f t="shared" si="21"/>
        <v>28249.87425870232</v>
      </c>
      <c r="AI73" s="4">
        <f t="shared" si="21"/>
        <v>30345.83368092491</v>
      </c>
      <c r="AJ73" s="4">
        <f t="shared" si="21"/>
        <v>32500.73988312504</v>
      </c>
      <c r="AK73" s="4">
        <f t="shared" si="21"/>
        <v>34716.124016760165</v>
      </c>
      <c r="AL73" s="4">
        <f t="shared" si="21"/>
        <v>36993.55301761169</v>
      </c>
      <c r="AM73" s="4">
        <f t="shared" si="21"/>
        <v>39334.63063210229</v>
      </c>
      <c r="AN73" s="4">
        <f t="shared" si="21"/>
        <v>41740.99853035253</v>
      </c>
      <c r="AO73" s="4">
        <f t="shared" si="21"/>
        <v>44214.33751748741</v>
      </c>
      <c r="AP73" s="4">
        <f t="shared" si="21"/>
        <v>46756.36885608103</v>
      </c>
      <c r="AQ73" s="4">
        <f t="shared" si="21"/>
        <v>49368.855714151665</v>
      </c>
      <c r="AR73" s="4">
        <f t="shared" si="21"/>
        <v>52053.60475480407</v>
      </c>
      <c r="AS73" s="4">
        <f t="shared" si="21"/>
        <v>54812.46788547815</v>
      </c>
      <c r="AT73" s="4">
        <f t="shared" si="21"/>
        <v>57647.34418681779</v>
      </c>
    </row>
    <row r="74" spans="1:23" ht="12.75">
      <c r="A74" s="45" t="s">
        <v>11</v>
      </c>
      <c r="B74" s="12" t="str">
        <f t="shared" si="18"/>
        <v>000 Tons</v>
      </c>
      <c r="C74" s="13">
        <f t="shared" si="15"/>
        <v>0</v>
      </c>
      <c r="D74" s="13">
        <f t="shared" si="15"/>
        <v>0</v>
      </c>
      <c r="E74" s="13">
        <f t="shared" si="15"/>
        <v>35.182530965040996</v>
      </c>
      <c r="F74" s="13">
        <f t="shared" si="15"/>
        <v>79.16069467134213</v>
      </c>
      <c r="G74" s="13">
        <f t="shared" si="15"/>
        <v>129.38491113280395</v>
      </c>
      <c r="H74" s="13">
        <f t="shared" si="15"/>
        <v>156.39500651376272</v>
      </c>
      <c r="I74" s="13">
        <f t="shared" si="15"/>
        <v>169.32640195091034</v>
      </c>
      <c r="J74" s="13">
        <f t="shared" si="15"/>
        <v>182.64573925117242</v>
      </c>
      <c r="K74" s="13">
        <f t="shared" si="15"/>
        <v>196.36465667044234</v>
      </c>
      <c r="L74" s="13">
        <f t="shared" si="15"/>
        <v>210.49514161229035</v>
      </c>
      <c r="M74" s="13">
        <f t="shared" si="15"/>
        <v>225.0495411023938</v>
      </c>
      <c r="N74" s="13">
        <f t="shared" si="15"/>
        <v>240.04057257720035</v>
      </c>
      <c r="O74" s="13">
        <f t="shared" si="15"/>
        <v>255.48133499625112</v>
      </c>
      <c r="P74" s="13">
        <f t="shared" si="15"/>
        <v>271.38532028787336</v>
      </c>
      <c r="Q74" s="13">
        <f t="shared" si="15"/>
        <v>287.76642513824436</v>
      </c>
      <c r="R74" s="13">
        <f t="shared" si="15"/>
        <v>304.63896313412647</v>
      </c>
      <c r="S74" s="13">
        <f t="shared" si="15"/>
        <v>322.017677269885</v>
      </c>
      <c r="T74" s="13">
        <f t="shared" si="15"/>
        <v>339.9177528297163</v>
      </c>
      <c r="U74" s="13">
        <f t="shared" si="15"/>
        <v>358.35483065634253</v>
      </c>
      <c r="V74" s="13">
        <f t="shared" si="15"/>
        <v>377.3450208177676</v>
      </c>
      <c r="W74" s="13">
        <f t="shared" si="15"/>
        <v>396.90491668403536</v>
      </c>
    </row>
    <row r="75" spans="1:23" ht="12.75">
      <c r="A75" s="45" t="s">
        <v>7</v>
      </c>
      <c r="B75" s="12" t="str">
        <f t="shared" si="18"/>
        <v>000 Tons</v>
      </c>
      <c r="C75" s="13">
        <f t="shared" si="15"/>
        <v>0</v>
      </c>
      <c r="D75" s="13">
        <f t="shared" si="15"/>
        <v>0</v>
      </c>
      <c r="E75" s="13">
        <f t="shared" si="15"/>
        <v>35.57673299266048</v>
      </c>
      <c r="F75" s="13">
        <f t="shared" si="15"/>
        <v>80.04764923348597</v>
      </c>
      <c r="G75" s="13">
        <f t="shared" si="15"/>
        <v>800.9083665791311</v>
      </c>
      <c r="H75" s="13">
        <f t="shared" si="15"/>
        <v>908.3233090189639</v>
      </c>
      <c r="I75" s="13">
        <f t="shared" si="15"/>
        <v>1003.9048733659084</v>
      </c>
      <c r="J75" s="13">
        <f t="shared" si="15"/>
        <v>1102.353884643262</v>
      </c>
      <c r="K75" s="13">
        <f t="shared" si="15"/>
        <v>1203.756366258936</v>
      </c>
      <c r="L75" s="13">
        <f t="shared" si="15"/>
        <v>1308.2009223230798</v>
      </c>
      <c r="M75" s="13">
        <f t="shared" si="15"/>
        <v>1415.7788150691485</v>
      </c>
      <c r="N75" s="13">
        <f t="shared" si="15"/>
        <v>1526.5840445975991</v>
      </c>
      <c r="O75" s="13">
        <f t="shared" si="15"/>
        <v>1640.7134310119036</v>
      </c>
      <c r="P75" s="13">
        <f t="shared" si="15"/>
        <v>1758.2666990186372</v>
      </c>
      <c r="Q75" s="13">
        <f t="shared" si="15"/>
        <v>1879.3465650655721</v>
      </c>
      <c r="R75" s="13">
        <f t="shared" si="15"/>
        <v>2004.0588270939147</v>
      </c>
      <c r="S75" s="13">
        <f t="shared" si="15"/>
        <v>2132.512456983108</v>
      </c>
      <c r="T75" s="13">
        <f t="shared" si="15"/>
        <v>2264.8196957689784</v>
      </c>
      <c r="U75" s="13">
        <f t="shared" si="15"/>
        <v>2401.0961517184237</v>
      </c>
      <c r="V75" s="13">
        <f t="shared" si="15"/>
        <v>2541.460901346353</v>
      </c>
      <c r="W75" s="13">
        <f t="shared" si="15"/>
        <v>2686.0365934631186</v>
      </c>
    </row>
    <row r="76" spans="1:23" ht="12.75">
      <c r="A76" s="44" t="s">
        <v>12</v>
      </c>
      <c r="B76" s="12" t="str">
        <f t="shared" si="18"/>
        <v>000 Tons</v>
      </c>
      <c r="C76" s="13">
        <f t="shared" si="15"/>
        <v>0</v>
      </c>
      <c r="D76" s="13">
        <f t="shared" si="15"/>
        <v>0</v>
      </c>
      <c r="E76" s="13">
        <f t="shared" si="15"/>
        <v>390.8690293445734</v>
      </c>
      <c r="F76" s="13">
        <f t="shared" si="15"/>
        <v>919.2130886763198</v>
      </c>
      <c r="G76" s="13">
        <f t="shared" si="15"/>
        <v>7987.152778667552</v>
      </c>
      <c r="H76" s="13">
        <f t="shared" si="15"/>
        <v>10633.197931274495</v>
      </c>
      <c r="I76" s="13">
        <f t="shared" si="15"/>
        <v>12367.13942162506</v>
      </c>
      <c r="J76" s="13">
        <f t="shared" si="15"/>
        <v>14141.331841108382</v>
      </c>
      <c r="K76" s="13">
        <f t="shared" si="15"/>
        <v>15956.264666444542</v>
      </c>
      <c r="L76" s="13">
        <f t="shared" si="15"/>
        <v>17812.401076937378</v>
      </c>
      <c r="M76" s="13">
        <f t="shared" si="15"/>
        <v>19710.175076870735</v>
      </c>
      <c r="N76" s="13">
        <f t="shared" si="15"/>
        <v>21649.98844921302</v>
      </c>
      <c r="O76" s="13">
        <f t="shared" si="15"/>
        <v>23632.207534944362</v>
      </c>
      <c r="P76" s="13">
        <f t="shared" si="15"/>
        <v>25657.159832516372</v>
      </c>
      <c r="Q76" s="13">
        <f t="shared" si="15"/>
        <v>27725.130412213497</v>
      </c>
      <c r="R76" s="13">
        <f t="shared" si="15"/>
        <v>29836.3581405171</v>
      </c>
      <c r="S76" s="13">
        <f t="shared" si="15"/>
        <v>31991.03170998689</v>
      </c>
      <c r="T76" s="13">
        <f t="shared" si="15"/>
        <v>34189.28547068078</v>
      </c>
      <c r="U76" s="13">
        <f t="shared" si="15"/>
        <v>36431.195059744125</v>
      </c>
      <c r="V76" s="13">
        <f t="shared" si="15"/>
        <v>38716.77282652672</v>
      </c>
      <c r="W76" s="13">
        <f t="shared" si="15"/>
        <v>41045.9630514434</v>
      </c>
    </row>
    <row r="77" spans="1:23" ht="12.75">
      <c r="A77" s="45" t="s">
        <v>6</v>
      </c>
      <c r="B77" s="12" t="str">
        <f t="shared" si="18"/>
        <v>000 Tons</v>
      </c>
      <c r="C77" s="13">
        <f t="shared" si="15"/>
        <v>0</v>
      </c>
      <c r="D77" s="13">
        <f t="shared" si="15"/>
        <v>0</v>
      </c>
      <c r="E77" s="13">
        <f t="shared" si="15"/>
        <v>41.29276883231171</v>
      </c>
      <c r="F77" s="13">
        <f t="shared" si="15"/>
        <v>97.10887977488073</v>
      </c>
      <c r="G77" s="13">
        <f t="shared" si="15"/>
        <v>1569.6465635795084</v>
      </c>
      <c r="H77" s="13">
        <f t="shared" si="15"/>
        <v>2235.803453588935</v>
      </c>
      <c r="I77" s="13">
        <f t="shared" si="15"/>
        <v>2442.529014746567</v>
      </c>
      <c r="J77" s="13">
        <f t="shared" si="15"/>
        <v>2665.79262079681</v>
      </c>
      <c r="K77" s="13">
        <f t="shared" si="15"/>
        <v>2906.917315331072</v>
      </c>
      <c r="L77" s="13">
        <f t="shared" si="15"/>
        <v>3167.3319854280753</v>
      </c>
      <c r="M77" s="13">
        <f t="shared" si="15"/>
        <v>3448.5798291328388</v>
      </c>
      <c r="N77" s="13">
        <f t="shared" si="15"/>
        <v>3752.327500333983</v>
      </c>
      <c r="O77" s="13">
        <f t="shared" si="15"/>
        <v>4080.3749852312194</v>
      </c>
      <c r="P77" s="13">
        <f t="shared" si="15"/>
        <v>4434.666268920235</v>
      </c>
      <c r="Q77" s="13">
        <f t="shared" si="15"/>
        <v>4817.300855304371</v>
      </c>
      <c r="R77" s="13">
        <f t="shared" si="15"/>
        <v>5230.5462085992385</v>
      </c>
      <c r="S77" s="13">
        <f t="shared" si="15"/>
        <v>5676.851190157695</v>
      </c>
      <c r="T77" s="13">
        <f t="shared" si="15"/>
        <v>6158.860570240828</v>
      </c>
      <c r="U77" s="13">
        <f t="shared" si="15"/>
        <v>6679.4307007306115</v>
      </c>
      <c r="V77" s="13">
        <f t="shared" si="15"/>
        <v>7241.646441659578</v>
      </c>
      <c r="W77" s="13">
        <f t="shared" si="15"/>
        <v>7848.839441862862</v>
      </c>
    </row>
    <row r="78" spans="1:23" ht="12.75">
      <c r="A78" s="45" t="s">
        <v>13</v>
      </c>
      <c r="B78" s="12" t="str">
        <f t="shared" si="18"/>
        <v>000 Tons</v>
      </c>
      <c r="C78" s="13">
        <f t="shared" si="15"/>
        <v>0</v>
      </c>
      <c r="D78" s="13">
        <f t="shared" si="15"/>
        <v>0</v>
      </c>
      <c r="E78" s="13">
        <f t="shared" si="15"/>
        <v>329.6232446035351</v>
      </c>
      <c r="F78" s="13">
        <f t="shared" si="15"/>
        <v>775.1803750724371</v>
      </c>
      <c r="G78" s="13">
        <f t="shared" si="15"/>
        <v>4270.911553576063</v>
      </c>
      <c r="H78" s="13">
        <f t="shared" si="15"/>
        <v>5193.658758810578</v>
      </c>
      <c r="I78" s="13">
        <f t="shared" si="15"/>
        <v>5672.082195366674</v>
      </c>
      <c r="J78" s="13">
        <f t="shared" si="15"/>
        <v>6179.211038116136</v>
      </c>
      <c r="K78" s="13">
        <f t="shared" si="15"/>
        <v>6716.767611430566</v>
      </c>
      <c r="L78" s="13">
        <f t="shared" si="15"/>
        <v>7286.577579143862</v>
      </c>
      <c r="M78" s="13">
        <f t="shared" si="15"/>
        <v>7890.576144919955</v>
      </c>
      <c r="N78" s="13">
        <f t="shared" si="15"/>
        <v>8530.814624642615</v>
      </c>
      <c r="O78" s="13">
        <f t="shared" si="15"/>
        <v>9209.467413148632</v>
      </c>
      <c r="P78" s="13">
        <f t="shared" si="15"/>
        <v>9928.839368965011</v>
      </c>
      <c r="Q78" s="13">
        <f t="shared" si="15"/>
        <v>10691.373642130377</v>
      </c>
      <c r="R78" s="13">
        <f t="shared" si="15"/>
        <v>11499.659971685662</v>
      </c>
      <c r="S78" s="13">
        <f t="shared" si="15"/>
        <v>12356.443481014263</v>
      </c>
      <c r="T78" s="13">
        <f t="shared" si="15"/>
        <v>13264.63400090258</v>
      </c>
      <c r="U78" s="13">
        <f t="shared" si="15"/>
        <v>14227.315951984197</v>
      </c>
      <c r="V78" s="13">
        <f t="shared" si="15"/>
        <v>15247.758820130712</v>
      </c>
      <c r="W78" s="13">
        <f t="shared" si="15"/>
        <v>16329.428260366018</v>
      </c>
    </row>
    <row r="79" spans="1:23" ht="12.75">
      <c r="A79" s="45" t="s">
        <v>7</v>
      </c>
      <c r="B79" s="12" t="str">
        <f t="shared" si="18"/>
        <v>000 Tons</v>
      </c>
      <c r="C79" s="13">
        <f t="shared" si="15"/>
        <v>0</v>
      </c>
      <c r="D79" s="13">
        <f t="shared" si="15"/>
        <v>0</v>
      </c>
      <c r="E79" s="13">
        <f t="shared" si="15"/>
        <v>19.953015908726286</v>
      </c>
      <c r="F79" s="13">
        <f t="shared" si="15"/>
        <v>46.92383382900198</v>
      </c>
      <c r="G79" s="13">
        <f t="shared" si="15"/>
        <v>2146.5946615119788</v>
      </c>
      <c r="H79" s="13">
        <f t="shared" si="15"/>
        <v>3203.735718874983</v>
      </c>
      <c r="I79" s="13">
        <f t="shared" si="15"/>
        <v>4252.528211511819</v>
      </c>
      <c r="J79" s="13">
        <f t="shared" si="15"/>
        <v>5296.328182195436</v>
      </c>
      <c r="K79" s="13">
        <f t="shared" si="15"/>
        <v>6332.579739682904</v>
      </c>
      <c r="L79" s="13">
        <f t="shared" si="15"/>
        <v>7358.491512365439</v>
      </c>
      <c r="M79" s="13">
        <f t="shared" si="15"/>
        <v>8371.019102817943</v>
      </c>
      <c r="N79" s="13">
        <f t="shared" si="15"/>
        <v>9366.846324236421</v>
      </c>
      <c r="O79" s="13">
        <f t="shared" si="15"/>
        <v>10342.365136564511</v>
      </c>
      <c r="P79" s="13">
        <f t="shared" si="15"/>
        <v>11293.654194631124</v>
      </c>
      <c r="Q79" s="13">
        <f t="shared" si="15"/>
        <v>12216.455914778753</v>
      </c>
      <c r="R79" s="13">
        <f t="shared" si="15"/>
        <v>13106.1519602322</v>
      </c>
      <c r="S79" s="13">
        <f t="shared" si="15"/>
        <v>13957.737038814934</v>
      </c>
      <c r="T79" s="13">
        <f t="shared" si="15"/>
        <v>14765.79089953737</v>
      </c>
      <c r="U79" s="13">
        <f t="shared" si="15"/>
        <v>15524.44840702932</v>
      </c>
      <c r="V79" s="13">
        <f t="shared" si="15"/>
        <v>16227.367564736433</v>
      </c>
      <c r="W79" s="13">
        <f t="shared" si="15"/>
        <v>16867.695349214526</v>
      </c>
    </row>
    <row r="80" spans="1:23" ht="12.75">
      <c r="A80" s="44" t="s">
        <v>14</v>
      </c>
      <c r="B80" s="12" t="str">
        <f t="shared" si="18"/>
        <v>000 Tons</v>
      </c>
      <c r="C80" s="13">
        <f t="shared" si="15"/>
        <v>0</v>
      </c>
      <c r="D80" s="13">
        <f t="shared" si="15"/>
        <v>0</v>
      </c>
      <c r="E80" s="13">
        <f t="shared" si="15"/>
        <v>450.09940000000006</v>
      </c>
      <c r="F80" s="13">
        <f aca="true" t="shared" si="22" ref="F80:W80">F54-F18</f>
        <v>1080.2385599999998</v>
      </c>
      <c r="G80" s="13">
        <f t="shared" si="22"/>
        <v>940.0193862505994</v>
      </c>
      <c r="H80" s="13">
        <f t="shared" si="22"/>
        <v>1216.168607388271</v>
      </c>
      <c r="I80" s="13">
        <f t="shared" si="22"/>
        <v>1414.7110905891886</v>
      </c>
      <c r="J80" s="13">
        <f t="shared" si="22"/>
        <v>1620.5996456685398</v>
      </c>
      <c r="K80" s="13">
        <f t="shared" si="22"/>
        <v>1834.1060772858273</v>
      </c>
      <c r="L80" s="13">
        <f t="shared" si="22"/>
        <v>2055.512246872954</v>
      </c>
      <c r="M80" s="13">
        <f t="shared" si="22"/>
        <v>2285.1104447348052</v>
      </c>
      <c r="N80" s="13">
        <f t="shared" si="22"/>
        <v>2523.2037759175446</v>
      </c>
      <c r="O80" s="13">
        <f t="shared" si="22"/>
        <v>2770.1065603540455</v>
      </c>
      <c r="P80" s="13">
        <f t="shared" si="22"/>
        <v>3026.1447478146965</v>
      </c>
      <c r="Q80" s="13">
        <f t="shared" si="22"/>
        <v>3291.6563482113916</v>
      </c>
      <c r="R80" s="13">
        <f t="shared" si="22"/>
        <v>3566.9918778227648</v>
      </c>
      <c r="S80" s="13">
        <f t="shared" si="22"/>
        <v>3852.5148220297588</v>
      </c>
      <c r="T80" s="13">
        <f t="shared" si="22"/>
        <v>4148.602115172412</v>
      </c>
      <c r="U80" s="13">
        <f t="shared" si="22"/>
        <v>4455.644638161341</v>
      </c>
      <c r="V80" s="13">
        <f t="shared" si="22"/>
        <v>4774.047734500863</v>
      </c>
      <c r="W80" s="13">
        <f t="shared" si="22"/>
        <v>5104.231745404947</v>
      </c>
    </row>
    <row r="81" spans="1:23" ht="12.75">
      <c r="A81" s="45" t="s">
        <v>15</v>
      </c>
      <c r="B81" s="12" t="str">
        <f t="shared" si="18"/>
        <v>000 Tons</v>
      </c>
      <c r="C81" s="13">
        <f aca="true" t="shared" si="23" ref="C81:W84">C55-C19</f>
        <v>0</v>
      </c>
      <c r="D81" s="13">
        <f t="shared" si="23"/>
        <v>0</v>
      </c>
      <c r="E81" s="13">
        <f t="shared" si="23"/>
        <v>109.57896000000005</v>
      </c>
      <c r="F81" s="13">
        <f t="shared" si="23"/>
        <v>262.9895039999999</v>
      </c>
      <c r="G81" s="13">
        <f t="shared" si="23"/>
        <v>77.72198400000025</v>
      </c>
      <c r="H81" s="13">
        <f t="shared" si="23"/>
        <v>77.72198400000025</v>
      </c>
      <c r="I81" s="13">
        <f t="shared" si="23"/>
        <v>77.72198400000025</v>
      </c>
      <c r="J81" s="13">
        <f t="shared" si="23"/>
        <v>77.72198400000025</v>
      </c>
      <c r="K81" s="13">
        <f t="shared" si="23"/>
        <v>77.72198400000025</v>
      </c>
      <c r="L81" s="13">
        <f t="shared" si="23"/>
        <v>77.72198400000025</v>
      </c>
      <c r="M81" s="13">
        <f t="shared" si="23"/>
        <v>77.72198400000025</v>
      </c>
      <c r="N81" s="13">
        <f t="shared" si="23"/>
        <v>77.72198400000025</v>
      </c>
      <c r="O81" s="13">
        <f t="shared" si="23"/>
        <v>77.72198400000025</v>
      </c>
      <c r="P81" s="13">
        <f t="shared" si="23"/>
        <v>77.72198400000025</v>
      </c>
      <c r="Q81" s="13">
        <f t="shared" si="23"/>
        <v>77.72198400000025</v>
      </c>
      <c r="R81" s="13">
        <f t="shared" si="23"/>
        <v>77.72198400000025</v>
      </c>
      <c r="S81" s="13">
        <f t="shared" si="23"/>
        <v>77.72198400000025</v>
      </c>
      <c r="T81" s="13">
        <f t="shared" si="23"/>
        <v>77.72198400000025</v>
      </c>
      <c r="U81" s="13">
        <f t="shared" si="23"/>
        <v>77.72198400000025</v>
      </c>
      <c r="V81" s="13">
        <f t="shared" si="23"/>
        <v>77.72198400000025</v>
      </c>
      <c r="W81" s="13">
        <f t="shared" si="23"/>
        <v>77.72198400000025</v>
      </c>
    </row>
    <row r="82" spans="1:23" ht="12.75">
      <c r="A82" s="45" t="s">
        <v>16</v>
      </c>
      <c r="B82" s="12" t="str">
        <f t="shared" si="18"/>
        <v>000 Tons</v>
      </c>
      <c r="C82" s="13">
        <f t="shared" si="23"/>
        <v>0</v>
      </c>
      <c r="D82" s="13">
        <f t="shared" si="23"/>
        <v>0</v>
      </c>
      <c r="E82" s="13">
        <f t="shared" si="23"/>
        <v>258.84644000000026</v>
      </c>
      <c r="F82" s="13">
        <f t="shared" si="23"/>
        <v>621.2314559999995</v>
      </c>
      <c r="G82" s="13">
        <f t="shared" si="23"/>
        <v>488.945233930599</v>
      </c>
      <c r="H82" s="13">
        <f t="shared" si="23"/>
        <v>617.0380981146704</v>
      </c>
      <c r="I82" s="13">
        <f t="shared" si="23"/>
        <v>692.3033613155881</v>
      </c>
      <c r="J82" s="13">
        <f t="shared" si="23"/>
        <v>762.5869743949388</v>
      </c>
      <c r="K82" s="13">
        <f t="shared" si="23"/>
        <v>826.9279698122259</v>
      </c>
      <c r="L82" s="13">
        <f t="shared" si="23"/>
        <v>884.2521595793528</v>
      </c>
      <c r="M82" s="13">
        <f t="shared" si="23"/>
        <v>933.3601796392036</v>
      </c>
      <c r="N82" s="13">
        <f t="shared" si="23"/>
        <v>972.9143152397428</v>
      </c>
      <c r="O82" s="13">
        <f t="shared" si="23"/>
        <v>1001.4239845358234</v>
      </c>
      <c r="P82" s="13">
        <f t="shared" si="23"/>
        <v>1017.2297453420119</v>
      </c>
      <c r="Q82" s="13">
        <f t="shared" si="23"/>
        <v>1018.4856764187984</v>
      </c>
      <c r="R82" s="13">
        <f t="shared" si="23"/>
        <v>1003.1399697782722</v>
      </c>
      <c r="S82" s="13">
        <f t="shared" si="23"/>
        <v>968.9135541081769</v>
      </c>
      <c r="T82" s="13">
        <f t="shared" si="23"/>
        <v>913.2765513860313</v>
      </c>
      <c r="U82" s="13">
        <f t="shared" si="23"/>
        <v>833.4223489236824</v>
      </c>
      <c r="V82" s="13">
        <f t="shared" si="23"/>
        <v>726.239047266798</v>
      </c>
      <c r="W82" s="13">
        <f t="shared" si="23"/>
        <v>588.2780203748348</v>
      </c>
    </row>
    <row r="83" spans="1:23" ht="12.75">
      <c r="A83" s="45" t="s">
        <v>17</v>
      </c>
      <c r="B83" s="12" t="str">
        <f t="shared" si="18"/>
        <v>000 Tons</v>
      </c>
      <c r="C83" s="13">
        <f t="shared" si="23"/>
        <v>0</v>
      </c>
      <c r="D83" s="13">
        <f t="shared" si="23"/>
        <v>0</v>
      </c>
      <c r="E83" s="13">
        <f t="shared" si="23"/>
        <v>81.67400000000009</v>
      </c>
      <c r="F83" s="13">
        <f t="shared" si="23"/>
        <v>196.01760000000013</v>
      </c>
      <c r="G83" s="13">
        <f t="shared" si="23"/>
        <v>373.3521683199997</v>
      </c>
      <c r="H83" s="13">
        <f t="shared" si="23"/>
        <v>521.4085252735999</v>
      </c>
      <c r="I83" s="13">
        <f t="shared" si="23"/>
        <v>644.6857452736001</v>
      </c>
      <c r="J83" s="13">
        <f t="shared" si="23"/>
        <v>780.2906872736003</v>
      </c>
      <c r="K83" s="13">
        <f t="shared" si="23"/>
        <v>929.4561234736004</v>
      </c>
      <c r="L83" s="13">
        <f t="shared" si="23"/>
        <v>1093.5381032936007</v>
      </c>
      <c r="M83" s="13">
        <f t="shared" si="23"/>
        <v>1274.028281095601</v>
      </c>
      <c r="N83" s="13">
        <f t="shared" si="23"/>
        <v>1472.567476677801</v>
      </c>
      <c r="O83" s="13">
        <f t="shared" si="23"/>
        <v>1690.9605918182215</v>
      </c>
      <c r="P83" s="13">
        <f t="shared" si="23"/>
        <v>1931.193018472684</v>
      </c>
      <c r="Q83" s="13">
        <f t="shared" si="23"/>
        <v>2195.4486877925924</v>
      </c>
      <c r="R83" s="13">
        <f t="shared" si="23"/>
        <v>2486.129924044492</v>
      </c>
      <c r="S83" s="13">
        <f t="shared" si="23"/>
        <v>2805.879283921581</v>
      </c>
      <c r="T83" s="13">
        <f t="shared" si="23"/>
        <v>3157.6035797863797</v>
      </c>
      <c r="U83" s="13">
        <f t="shared" si="23"/>
        <v>3544.5003052376583</v>
      </c>
      <c r="V83" s="13">
        <f t="shared" si="23"/>
        <v>3970.0867032340643</v>
      </c>
      <c r="W83" s="13">
        <f t="shared" si="23"/>
        <v>4438.231741030111</v>
      </c>
    </row>
    <row r="84" spans="1:23" s="1" customFormat="1" ht="12.75">
      <c r="A84" s="44" t="s">
        <v>18</v>
      </c>
      <c r="B84" s="14" t="str">
        <f t="shared" si="18"/>
        <v>000 Tons</v>
      </c>
      <c r="C84" s="15">
        <f t="shared" si="23"/>
        <v>0</v>
      </c>
      <c r="D84" s="15">
        <f t="shared" si="23"/>
        <v>0</v>
      </c>
      <c r="E84" s="15">
        <f t="shared" si="23"/>
        <v>1687.3917983117099</v>
      </c>
      <c r="F84" s="15">
        <f t="shared" si="23"/>
        <v>4065.3690413688237</v>
      </c>
      <c r="G84" s="15">
        <f t="shared" si="23"/>
        <v>13016.479797412754</v>
      </c>
      <c r="H84" s="15">
        <f t="shared" si="23"/>
        <v>16618.424411332937</v>
      </c>
      <c r="I84" s="15">
        <f t="shared" si="23"/>
        <v>19213.82309995551</v>
      </c>
      <c r="J84" s="15">
        <f t="shared" si="23"/>
        <v>21895.49452828891</v>
      </c>
      <c r="K84" s="15">
        <f t="shared" si="23"/>
        <v>24666.61096694025</v>
      </c>
      <c r="L84" s="15">
        <f t="shared" si="23"/>
        <v>27530.48353666497</v>
      </c>
      <c r="M84" s="15">
        <f t="shared" si="23"/>
        <v>30490.56982209682</v>
      </c>
      <c r="N84" s="15">
        <f t="shared" si="23"/>
        <v>33550.481995006034</v>
      </c>
      <c r="O84" s="15">
        <f t="shared" si="23"/>
        <v>36713.99548566236</v>
      </c>
      <c r="P84" s="15">
        <f t="shared" si="23"/>
        <v>39985.058243978965</v>
      </c>
      <c r="Q84" s="15">
        <f t="shared" si="23"/>
        <v>43367.80063546682</v>
      </c>
      <c r="R84" s="15">
        <f t="shared" si="23"/>
        <v>46866.54602065933</v>
      </c>
      <c r="S84" s="15">
        <f t="shared" si="23"/>
        <v>50485.822070595634</v>
      </c>
      <c r="T84" s="15">
        <f t="shared" si="23"/>
        <v>54230.37287520406</v>
      </c>
      <c r="U84" s="15">
        <f t="shared" si="23"/>
        <v>58105.17190602966</v>
      </c>
      <c r="V84" s="15">
        <f t="shared" si="23"/>
        <v>62115.43589973339</v>
      </c>
      <c r="W84" s="15">
        <f t="shared" si="23"/>
        <v>66266.63973418347</v>
      </c>
    </row>
    <row r="85" spans="1:23" ht="12.75">
      <c r="A85" s="46"/>
      <c r="B85" s="46"/>
      <c r="C85" s="13"/>
      <c r="D85" s="13"/>
      <c r="E85" s="13"/>
      <c r="F85" s="13"/>
      <c r="G85" s="13"/>
      <c r="H85" s="13"/>
      <c r="I85" s="13"/>
      <c r="J85" s="13"/>
      <c r="K85" s="13"/>
      <c r="L85" s="13"/>
      <c r="M85" s="13"/>
      <c r="N85" s="13"/>
      <c r="O85" s="13"/>
      <c r="P85" s="13"/>
      <c r="Q85" s="13"/>
      <c r="R85" s="13"/>
      <c r="S85" s="13"/>
      <c r="T85" s="13"/>
      <c r="U85" s="13"/>
      <c r="V85" s="13"/>
      <c r="W85" s="13"/>
    </row>
    <row r="86" spans="1:23" ht="12.75">
      <c r="A86" s="45" t="s">
        <v>5</v>
      </c>
      <c r="B86" s="12" t="s">
        <v>20</v>
      </c>
      <c r="C86" s="13">
        <f aca="true" t="shared" si="24" ref="C86:W90">C60-C24</f>
        <v>0</v>
      </c>
      <c r="D86" s="13">
        <f t="shared" si="24"/>
        <v>0</v>
      </c>
      <c r="E86" s="13">
        <f t="shared" si="24"/>
        <v>204.29639393035836</v>
      </c>
      <c r="F86" s="13">
        <f t="shared" si="24"/>
        <v>505.68435791049546</v>
      </c>
      <c r="G86" s="13">
        <f t="shared" si="24"/>
        <v>442.1733084975724</v>
      </c>
      <c r="H86" s="13">
        <f t="shared" si="24"/>
        <v>589.9236294340496</v>
      </c>
      <c r="I86" s="13">
        <f t="shared" si="24"/>
        <v>747.1267957940788</v>
      </c>
      <c r="J86" s="13">
        <f t="shared" si="24"/>
        <v>914.4007218604509</v>
      </c>
      <c r="K86" s="13">
        <f t="shared" si="24"/>
        <v>1092.4039847883153</v>
      </c>
      <c r="L86" s="13">
        <f t="shared" si="24"/>
        <v>1281.8385059653522</v>
      </c>
      <c r="M86" s="13">
        <f t="shared" si="24"/>
        <v>1483.4524092939262</v>
      </c>
      <c r="N86" s="13">
        <f t="shared" si="24"/>
        <v>1698.0430680711167</v>
      </c>
      <c r="O86" s="13">
        <f t="shared" si="24"/>
        <v>1926.4603529131093</v>
      </c>
      <c r="P86" s="13">
        <f t="shared" si="24"/>
        <v>2169.6100939918933</v>
      </c>
      <c r="Q86" s="13">
        <f t="shared" si="24"/>
        <v>2428.45777172784</v>
      </c>
      <c r="R86" s="13">
        <f t="shared" si="24"/>
        <v>2704.0324510152395</v>
      </c>
      <c r="S86" s="13">
        <f t="shared" si="24"/>
        <v>2997.4309750529083</v>
      </c>
      <c r="T86" s="13">
        <f t="shared" si="24"/>
        <v>3309.822435912709</v>
      </c>
      <c r="U86" s="13">
        <f t="shared" si="24"/>
        <v>3642.452940109615</v>
      </c>
      <c r="V86" s="13">
        <f t="shared" si="24"/>
        <v>3996.650688642283</v>
      </c>
      <c r="W86" s="13">
        <f t="shared" si="24"/>
        <v>4373.831392258049</v>
      </c>
    </row>
    <row r="87" spans="1:23" ht="12.75">
      <c r="A87" s="45" t="s">
        <v>8</v>
      </c>
      <c r="B87" s="12" t="s">
        <v>20</v>
      </c>
      <c r="C87" s="13">
        <f t="shared" si="24"/>
        <v>0</v>
      </c>
      <c r="D87" s="13">
        <f t="shared" si="24"/>
        <v>0</v>
      </c>
      <c r="E87" s="13">
        <f t="shared" si="24"/>
        <v>58.576450294120605</v>
      </c>
      <c r="F87" s="13">
        <f t="shared" si="24"/>
        <v>131.79701316177125</v>
      </c>
      <c r="G87" s="13">
        <f t="shared" si="24"/>
        <v>1147.0956974633395</v>
      </c>
      <c r="H87" s="13">
        <f t="shared" si="24"/>
        <v>1220.015981239231</v>
      </c>
      <c r="I87" s="13">
        <f t="shared" si="24"/>
        <v>1270.3347265049294</v>
      </c>
      <c r="J87" s="13">
        <f t="shared" si="24"/>
        <v>1322.1630341285995</v>
      </c>
      <c r="K87" s="13">
        <f t="shared" si="24"/>
        <v>1375.5461909809792</v>
      </c>
      <c r="L87" s="13">
        <f t="shared" si="24"/>
        <v>1430.5308425389305</v>
      </c>
      <c r="M87" s="13">
        <f t="shared" si="24"/>
        <v>1487.1650336436203</v>
      </c>
      <c r="N87" s="13">
        <f t="shared" si="24"/>
        <v>1545.498250481451</v>
      </c>
      <c r="O87" s="13">
        <f t="shared" si="24"/>
        <v>1605.5814638244162</v>
      </c>
      <c r="P87" s="13">
        <f t="shared" si="24"/>
        <v>1667.467173567671</v>
      </c>
      <c r="Q87" s="13">
        <f t="shared" si="24"/>
        <v>1731.2094546032224</v>
      </c>
      <c r="R87" s="13">
        <f t="shared" si="24"/>
        <v>1796.8640040698408</v>
      </c>
      <c r="S87" s="13">
        <f t="shared" si="24"/>
        <v>1864.488190020458</v>
      </c>
      <c r="T87" s="13">
        <f t="shared" si="24"/>
        <v>1934.1411015495935</v>
      </c>
      <c r="U87" s="13">
        <f t="shared" si="24"/>
        <v>2005.8836004246034</v>
      </c>
      <c r="V87" s="13">
        <f t="shared" si="24"/>
        <v>2079.778374265863</v>
      </c>
      <c r="W87" s="13">
        <f t="shared" si="24"/>
        <v>2155.8899913223613</v>
      </c>
    </row>
    <row r="88" spans="1:23" ht="12.75">
      <c r="A88" s="45" t="s">
        <v>12</v>
      </c>
      <c r="B88" s="12" t="s">
        <v>20</v>
      </c>
      <c r="C88" s="13">
        <f t="shared" si="24"/>
        <v>0</v>
      </c>
      <c r="D88" s="13">
        <f t="shared" si="24"/>
        <v>0</v>
      </c>
      <c r="E88" s="13">
        <f t="shared" si="24"/>
        <v>338.1017103830559</v>
      </c>
      <c r="F88" s="13">
        <f t="shared" si="24"/>
        <v>795.1193217050168</v>
      </c>
      <c r="G88" s="13">
        <f t="shared" si="24"/>
        <v>6908.887153547434</v>
      </c>
      <c r="H88" s="13">
        <f t="shared" si="24"/>
        <v>9197.716210552438</v>
      </c>
      <c r="I88" s="13">
        <f t="shared" si="24"/>
        <v>10697.575599705677</v>
      </c>
      <c r="J88" s="13">
        <f t="shared" si="24"/>
        <v>12232.252042558752</v>
      </c>
      <c r="K88" s="13">
        <f t="shared" si="24"/>
        <v>13802.16893647453</v>
      </c>
      <c r="L88" s="13">
        <f t="shared" si="24"/>
        <v>15407.726931550833</v>
      </c>
      <c r="M88" s="13">
        <f t="shared" si="24"/>
        <v>17049.30144149319</v>
      </c>
      <c r="N88" s="13">
        <f t="shared" si="24"/>
        <v>18727.240008569264</v>
      </c>
      <c r="O88" s="13">
        <f t="shared" si="24"/>
        <v>20441.859517726873</v>
      </c>
      <c r="P88" s="13">
        <f t="shared" si="24"/>
        <v>22193.44325512666</v>
      </c>
      <c r="Q88" s="13">
        <f t="shared" si="24"/>
        <v>23982.237806564677</v>
      </c>
      <c r="R88" s="13">
        <f t="shared" si="24"/>
        <v>25808.44979154729</v>
      </c>
      <c r="S88" s="13">
        <f t="shared" si="24"/>
        <v>27672.242429138663</v>
      </c>
      <c r="T88" s="13">
        <f t="shared" si="24"/>
        <v>29573.73193213887</v>
      </c>
      <c r="U88" s="13">
        <f t="shared" si="24"/>
        <v>31512.983726678664</v>
      </c>
      <c r="V88" s="13">
        <f t="shared" si="24"/>
        <v>33490.00849494561</v>
      </c>
      <c r="W88" s="13">
        <f t="shared" si="24"/>
        <v>35504.75803949854</v>
      </c>
    </row>
    <row r="89" spans="1:23" ht="12.75">
      <c r="A89" s="45" t="s">
        <v>14</v>
      </c>
      <c r="B89" s="12" t="s">
        <v>20</v>
      </c>
      <c r="C89" s="13">
        <f t="shared" si="24"/>
        <v>0</v>
      </c>
      <c r="D89" s="13">
        <f t="shared" si="24"/>
        <v>0</v>
      </c>
      <c r="E89" s="13">
        <f t="shared" si="24"/>
        <v>500.06043339999997</v>
      </c>
      <c r="F89" s="13">
        <f t="shared" si="24"/>
        <v>1200.1450401599996</v>
      </c>
      <c r="G89" s="13">
        <f t="shared" si="24"/>
        <v>1044.3615381244153</v>
      </c>
      <c r="H89" s="13">
        <f t="shared" si="24"/>
        <v>1351.1633228083683</v>
      </c>
      <c r="I89" s="13">
        <f t="shared" si="24"/>
        <v>1571.7440216445884</v>
      </c>
      <c r="J89" s="13">
        <f t="shared" si="24"/>
        <v>1800.4862063377477</v>
      </c>
      <c r="K89" s="13">
        <f t="shared" si="24"/>
        <v>2037.6918518645534</v>
      </c>
      <c r="L89" s="13">
        <f t="shared" si="24"/>
        <v>2283.674106275851</v>
      </c>
      <c r="M89" s="13">
        <f t="shared" si="24"/>
        <v>2538.757704100368</v>
      </c>
      <c r="N89" s="13">
        <f t="shared" si="24"/>
        <v>2803.279395044392</v>
      </c>
      <c r="O89" s="13">
        <f t="shared" si="24"/>
        <v>3077.588388553344</v>
      </c>
      <c r="P89" s="13">
        <f t="shared" si="24"/>
        <v>3362.046814822128</v>
      </c>
      <c r="Q89" s="13">
        <f t="shared" si="24"/>
        <v>3657.030202862855</v>
      </c>
      <c r="R89" s="13">
        <f t="shared" si="24"/>
        <v>3962.9279762610904</v>
      </c>
      <c r="S89" s="13">
        <f t="shared" si="24"/>
        <v>4280.143967275061</v>
      </c>
      <c r="T89" s="13">
        <f t="shared" si="24"/>
        <v>4609.09694995655</v>
      </c>
      <c r="U89" s="13">
        <f t="shared" si="24"/>
        <v>4950.22119299725</v>
      </c>
      <c r="V89" s="13">
        <f t="shared" si="24"/>
        <v>5303.967033030459</v>
      </c>
      <c r="W89" s="13">
        <f t="shared" si="24"/>
        <v>5670.801469144896</v>
      </c>
    </row>
    <row r="90" spans="1:23" s="1" customFormat="1" ht="12.75">
      <c r="A90" s="44" t="s">
        <v>18</v>
      </c>
      <c r="B90" s="14" t="s">
        <v>20</v>
      </c>
      <c r="C90" s="15">
        <f t="shared" si="24"/>
        <v>0</v>
      </c>
      <c r="D90" s="15">
        <f t="shared" si="24"/>
        <v>0</v>
      </c>
      <c r="E90" s="15">
        <f t="shared" si="24"/>
        <v>1101.0349880075355</v>
      </c>
      <c r="F90" s="15">
        <f t="shared" si="24"/>
        <v>2632.745732937283</v>
      </c>
      <c r="G90" s="15">
        <f t="shared" si="24"/>
        <v>9542.517697632758</v>
      </c>
      <c r="H90" s="15">
        <f t="shared" si="24"/>
        <v>12358.81914403409</v>
      </c>
      <c r="I90" s="15">
        <f t="shared" si="24"/>
        <v>14286.781143649272</v>
      </c>
      <c r="J90" s="15">
        <f t="shared" si="24"/>
        <v>16269.302004885549</v>
      </c>
      <c r="K90" s="15">
        <f t="shared" si="24"/>
        <v>18307.81096410838</v>
      </c>
      <c r="L90" s="15">
        <f t="shared" si="24"/>
        <v>20403.770386330965</v>
      </c>
      <c r="M90" s="15">
        <f t="shared" si="24"/>
        <v>22558.676588531096</v>
      </c>
      <c r="N90" s="15">
        <f t="shared" si="24"/>
        <v>24774.06072216622</v>
      </c>
      <c r="O90" s="15">
        <f t="shared" si="24"/>
        <v>27051.489723017745</v>
      </c>
      <c r="P90" s="15">
        <f t="shared" si="24"/>
        <v>29392.56733750835</v>
      </c>
      <c r="Q90" s="15">
        <f t="shared" si="24"/>
        <v>31798.93523575859</v>
      </c>
      <c r="R90" s="15">
        <f t="shared" si="24"/>
        <v>34272.274222893466</v>
      </c>
      <c r="S90" s="15">
        <f t="shared" si="24"/>
        <v>36814.30556148709</v>
      </c>
      <c r="T90" s="15">
        <f t="shared" si="24"/>
        <v>39426.79241955772</v>
      </c>
      <c r="U90" s="15">
        <f t="shared" si="24"/>
        <v>42111.54146021013</v>
      </c>
      <c r="V90" s="15">
        <f t="shared" si="24"/>
        <v>44870.40459088421</v>
      </c>
      <c r="W90" s="15">
        <f t="shared" si="24"/>
        <v>47705.28089222385</v>
      </c>
    </row>
    <row r="91" spans="1:23" ht="12.75">
      <c r="A91" s="413" t="s">
        <v>50</v>
      </c>
      <c r="B91" s="414"/>
      <c r="C91" s="414"/>
      <c r="D91" s="414"/>
      <c r="E91" s="414"/>
      <c r="F91" s="414"/>
      <c r="G91" s="414"/>
      <c r="H91" s="414"/>
      <c r="I91" s="414"/>
      <c r="J91" s="414"/>
      <c r="K91" s="414"/>
      <c r="L91" s="414"/>
      <c r="M91" s="414"/>
      <c r="N91" s="414"/>
      <c r="O91" s="414"/>
      <c r="P91" s="414"/>
      <c r="Q91" s="414"/>
      <c r="R91" s="414"/>
      <c r="S91" s="414"/>
      <c r="T91" s="414"/>
      <c r="U91" s="414"/>
      <c r="V91" s="414"/>
      <c r="W91" s="415"/>
    </row>
    <row r="92" spans="1:23" ht="15">
      <c r="A92" s="422" t="s">
        <v>21</v>
      </c>
      <c r="B92" s="422"/>
      <c r="C92" s="422"/>
      <c r="D92" s="422"/>
      <c r="E92" s="422"/>
      <c r="F92" s="422"/>
      <c r="G92" s="422"/>
      <c r="H92" s="422"/>
      <c r="I92" s="422"/>
      <c r="J92" s="422"/>
      <c r="K92" s="422"/>
      <c r="L92" s="422"/>
      <c r="M92" s="422"/>
      <c r="N92" s="422"/>
      <c r="O92" s="422"/>
      <c r="P92" s="422"/>
      <c r="Q92" s="422"/>
      <c r="R92" s="422"/>
      <c r="S92" s="422"/>
      <c r="T92" s="422"/>
      <c r="U92" s="422"/>
      <c r="V92" s="422"/>
      <c r="W92" s="422"/>
    </row>
    <row r="93" spans="1:23" ht="12.75">
      <c r="A93" s="6" t="s">
        <v>22</v>
      </c>
      <c r="C93" s="4"/>
      <c r="D93" s="4"/>
      <c r="E93" s="4"/>
      <c r="F93" s="4"/>
      <c r="G93" s="4"/>
      <c r="H93" s="4"/>
      <c r="I93" s="4"/>
      <c r="J93" s="4"/>
      <c r="K93" s="4"/>
      <c r="L93" s="4"/>
      <c r="M93" s="4"/>
      <c r="N93" s="4"/>
      <c r="O93" s="4"/>
      <c r="P93" s="4"/>
      <c r="Q93" s="4"/>
      <c r="R93" s="4"/>
      <c r="S93" s="4"/>
      <c r="T93" s="4"/>
      <c r="U93" s="4"/>
      <c r="V93" s="4"/>
      <c r="W93" s="4"/>
    </row>
    <row r="94" spans="1:23" ht="12.75">
      <c r="A94" s="8" t="s">
        <v>49</v>
      </c>
      <c r="C94" s="4"/>
      <c r="D94" s="4"/>
      <c r="E94" s="4"/>
      <c r="F94" s="4"/>
      <c r="G94" s="4"/>
      <c r="H94" s="4"/>
      <c r="I94" s="4"/>
      <c r="J94" s="4"/>
      <c r="K94" s="4"/>
      <c r="L94" s="4"/>
      <c r="M94" s="4"/>
      <c r="N94" s="4"/>
      <c r="O94" s="4"/>
      <c r="P94" s="4"/>
      <c r="Q94" s="4"/>
      <c r="R94" s="4"/>
      <c r="S94" s="4"/>
      <c r="T94" s="4"/>
      <c r="U94" s="4"/>
      <c r="V94" s="4"/>
      <c r="W94" s="4"/>
    </row>
    <row r="95" spans="1:23" ht="12.75">
      <c r="A95" s="8" t="s">
        <v>38</v>
      </c>
      <c r="C95" s="4"/>
      <c r="D95" s="4"/>
      <c r="E95" s="4"/>
      <c r="F95" s="4"/>
      <c r="G95" s="16" t="s">
        <v>46</v>
      </c>
      <c r="H95" s="4"/>
      <c r="I95" s="4"/>
      <c r="J95" s="4"/>
      <c r="K95" s="4"/>
      <c r="L95" s="4"/>
      <c r="M95" s="4"/>
      <c r="N95" s="4"/>
      <c r="O95" s="4"/>
      <c r="P95" s="17">
        <v>0.07</v>
      </c>
      <c r="Q95" s="4"/>
      <c r="R95" s="4"/>
      <c r="S95" s="4"/>
      <c r="T95" s="4"/>
      <c r="U95" s="4"/>
      <c r="V95" s="4"/>
      <c r="W95" s="4"/>
    </row>
    <row r="96" spans="1:23" ht="12.75">
      <c r="A96" s="8" t="s">
        <v>26</v>
      </c>
      <c r="D96" s="8" t="s">
        <v>24</v>
      </c>
      <c r="E96" s="4"/>
      <c r="F96" s="4"/>
      <c r="G96" s="4">
        <v>1166</v>
      </c>
      <c r="H96" s="4"/>
      <c r="I96" s="4"/>
      <c r="J96" s="4"/>
      <c r="K96" s="4"/>
      <c r="L96" s="4"/>
      <c r="M96" s="4"/>
      <c r="N96" s="4"/>
      <c r="O96" s="4"/>
      <c r="P96" s="4"/>
      <c r="Q96" s="4"/>
      <c r="R96" s="4"/>
      <c r="S96" s="4"/>
      <c r="T96" s="4"/>
      <c r="U96" s="4"/>
      <c r="V96" s="4"/>
      <c r="W96" s="4"/>
    </row>
    <row r="97" spans="1:23" ht="12.75">
      <c r="A97" s="416" t="s">
        <v>51</v>
      </c>
      <c r="B97" s="417"/>
      <c r="C97" s="417"/>
      <c r="D97" s="417"/>
      <c r="E97" s="417"/>
      <c r="F97" s="417"/>
      <c r="G97" s="417"/>
      <c r="H97" s="417"/>
      <c r="I97" s="417"/>
      <c r="J97" s="417"/>
      <c r="K97" s="417"/>
      <c r="L97" s="417"/>
      <c r="M97" s="417"/>
      <c r="N97" s="417"/>
      <c r="O97" s="417"/>
      <c r="P97" s="417"/>
      <c r="Q97" s="417"/>
      <c r="R97" s="417"/>
      <c r="S97" s="417"/>
      <c r="T97" s="417"/>
      <c r="U97" s="417"/>
      <c r="V97" s="417"/>
      <c r="W97" s="418"/>
    </row>
    <row r="98" spans="1:23" ht="12.75">
      <c r="A98" s="29"/>
      <c r="B98" s="14" t="s">
        <v>3</v>
      </c>
      <c r="C98" s="14">
        <v>2007</v>
      </c>
      <c r="D98" s="14">
        <f>C98+1</f>
        <v>2008</v>
      </c>
      <c r="E98" s="14">
        <f aca="true" t="shared" si="25" ref="E98:W98">D98+1</f>
        <v>2009</v>
      </c>
      <c r="F98" s="14">
        <f t="shared" si="25"/>
        <v>2010</v>
      </c>
      <c r="G98" s="14">
        <f t="shared" si="25"/>
        <v>2011</v>
      </c>
      <c r="H98" s="14">
        <f t="shared" si="25"/>
        <v>2012</v>
      </c>
      <c r="I98" s="14">
        <f t="shared" si="25"/>
        <v>2013</v>
      </c>
      <c r="J98" s="14">
        <f t="shared" si="25"/>
        <v>2014</v>
      </c>
      <c r="K98" s="14">
        <f t="shared" si="25"/>
        <v>2015</v>
      </c>
      <c r="L98" s="14">
        <f t="shared" si="25"/>
        <v>2016</v>
      </c>
      <c r="M98" s="14">
        <f t="shared" si="25"/>
        <v>2017</v>
      </c>
      <c r="N98" s="14">
        <f t="shared" si="25"/>
        <v>2018</v>
      </c>
      <c r="O98" s="14">
        <f t="shared" si="25"/>
        <v>2019</v>
      </c>
      <c r="P98" s="14">
        <f t="shared" si="25"/>
        <v>2020</v>
      </c>
      <c r="Q98" s="14">
        <f t="shared" si="25"/>
        <v>2021</v>
      </c>
      <c r="R98" s="14">
        <f t="shared" si="25"/>
        <v>2022</v>
      </c>
      <c r="S98" s="14">
        <f t="shared" si="25"/>
        <v>2023</v>
      </c>
      <c r="T98" s="14">
        <f>S98+1</f>
        <v>2024</v>
      </c>
      <c r="U98" s="14">
        <f t="shared" si="25"/>
        <v>2025</v>
      </c>
      <c r="V98" s="14">
        <f t="shared" si="25"/>
        <v>2026</v>
      </c>
      <c r="W98" s="30">
        <f t="shared" si="25"/>
        <v>2027</v>
      </c>
    </row>
    <row r="99" spans="1:23" ht="12.75">
      <c r="A99" s="410" t="s">
        <v>23</v>
      </c>
      <c r="B99" s="411"/>
      <c r="C99" s="411"/>
      <c r="D99" s="411"/>
      <c r="E99" s="411"/>
      <c r="F99" s="411"/>
      <c r="G99" s="411"/>
      <c r="H99" s="411"/>
      <c r="I99" s="411"/>
      <c r="J99" s="411"/>
      <c r="K99" s="411"/>
      <c r="L99" s="411"/>
      <c r="M99" s="411"/>
      <c r="N99" s="411"/>
      <c r="O99" s="411"/>
      <c r="P99" s="411"/>
      <c r="Q99" s="411"/>
      <c r="R99" s="411"/>
      <c r="S99" s="411"/>
      <c r="T99" s="411"/>
      <c r="U99" s="411"/>
      <c r="V99" s="411"/>
      <c r="W99" s="412"/>
    </row>
    <row r="100" spans="1:23" ht="12.75">
      <c r="A100" s="9" t="s">
        <v>5</v>
      </c>
      <c r="B100" s="12" t="s">
        <v>25</v>
      </c>
      <c r="C100" s="25">
        <v>0.00893166486514235</v>
      </c>
      <c r="D100" s="25">
        <v>0.010919196844173053</v>
      </c>
      <c r="E100" s="25">
        <v>0.013280316036562885</v>
      </c>
      <c r="F100" s="25">
        <v>0.016151993278251606</v>
      </c>
      <c r="G100" s="25">
        <v>0.019644629400567035</v>
      </c>
      <c r="H100" s="25">
        <v>0.02389249782596468</v>
      </c>
      <c r="I100" s="25">
        <f>H100</f>
        <v>0.02389249782596468</v>
      </c>
      <c r="J100" s="25">
        <f aca="true" t="shared" si="26" ref="J100:V100">I100</f>
        <v>0.02389249782596468</v>
      </c>
      <c r="K100" s="25">
        <f>K109</f>
        <v>0.025256750400000003</v>
      </c>
      <c r="L100" s="25">
        <f t="shared" si="26"/>
        <v>0.025256750400000003</v>
      </c>
      <c r="M100" s="25">
        <f t="shared" si="26"/>
        <v>0.025256750400000003</v>
      </c>
      <c r="N100" s="25">
        <f>N109</f>
        <v>0.026802665578483206</v>
      </c>
      <c r="O100" s="25">
        <f t="shared" si="26"/>
        <v>0.026802665578483206</v>
      </c>
      <c r="P100" s="25">
        <f t="shared" si="26"/>
        <v>0.026802665578483206</v>
      </c>
      <c r="Q100" s="25">
        <f>Q109</f>
        <v>0.028443203133211005</v>
      </c>
      <c r="R100" s="25">
        <f t="shared" si="26"/>
        <v>0.028443203133211005</v>
      </c>
      <c r="S100" s="25">
        <f t="shared" si="26"/>
        <v>0.028443203133211005</v>
      </c>
      <c r="T100" s="25">
        <f>T109</f>
        <v>0.030184154710588586</v>
      </c>
      <c r="U100" s="25">
        <f t="shared" si="26"/>
        <v>0.030184154710588586</v>
      </c>
      <c r="V100" s="25">
        <f t="shared" si="26"/>
        <v>0.030184154710588586</v>
      </c>
      <c r="W100" s="32">
        <f>W109</f>
        <v>0.03203166645211429</v>
      </c>
    </row>
    <row r="101" spans="1:23" ht="12.75">
      <c r="A101" s="9" t="s">
        <v>8</v>
      </c>
      <c r="B101" s="12" t="s">
        <v>25</v>
      </c>
      <c r="C101" s="25">
        <v>0.013972381145173855</v>
      </c>
      <c r="D101" s="25">
        <v>0.01555857342621922</v>
      </c>
      <c r="E101" s="25">
        <v>0.01723568555799457</v>
      </c>
      <c r="F101" s="25">
        <v>0.019093579373636142</v>
      </c>
      <c r="G101" s="25">
        <v>0.02115174195251226</v>
      </c>
      <c r="H101" s="25">
        <v>0.02343176095328772</v>
      </c>
      <c r="I101" s="25">
        <f aca="true" t="shared" si="27" ref="I101:V106">H101</f>
        <v>0.02343176095328772</v>
      </c>
      <c r="J101" s="25">
        <f t="shared" si="27"/>
        <v>0.02343176095328772</v>
      </c>
      <c r="K101" s="25">
        <f aca="true" t="shared" si="28" ref="K101:K106">K110</f>
        <v>0.024726146400000003</v>
      </c>
      <c r="L101" s="25">
        <f t="shared" si="27"/>
        <v>0.024726146400000003</v>
      </c>
      <c r="M101" s="25">
        <f t="shared" si="27"/>
        <v>0.024726146400000003</v>
      </c>
      <c r="N101" s="25">
        <f aca="true" t="shared" si="29" ref="N101:N106">N110</f>
        <v>0.026239584368851206</v>
      </c>
      <c r="O101" s="25">
        <f t="shared" si="27"/>
        <v>0.026239584368851206</v>
      </c>
      <c r="P101" s="25">
        <f t="shared" si="27"/>
        <v>0.026239584368851206</v>
      </c>
      <c r="Q101" s="25">
        <f aca="true" t="shared" si="30" ref="Q101:Q106">Q110</f>
        <v>0.027845656848899853</v>
      </c>
      <c r="R101" s="25">
        <f t="shared" si="27"/>
        <v>0.027845656848899853</v>
      </c>
      <c r="S101" s="25">
        <f t="shared" si="27"/>
        <v>0.027845656848899853</v>
      </c>
      <c r="T101" s="25">
        <f aca="true" t="shared" si="31" ref="T101:T106">T110</f>
        <v>0.029550033813307317</v>
      </c>
      <c r="U101" s="25">
        <f t="shared" si="27"/>
        <v>0.029550033813307317</v>
      </c>
      <c r="V101" s="25">
        <f t="shared" si="27"/>
        <v>0.029550033813307317</v>
      </c>
      <c r="W101" s="32">
        <f aca="true" t="shared" si="32" ref="W101:W106">W110</f>
        <v>0.03135873228295224</v>
      </c>
    </row>
    <row r="102" spans="1:23" ht="12.75">
      <c r="A102" s="9" t="s">
        <v>12</v>
      </c>
      <c r="B102" s="12" t="s">
        <v>25</v>
      </c>
      <c r="C102" s="25">
        <v>0.011756837985224075</v>
      </c>
      <c r="D102" s="25">
        <v>0.013472892939717169</v>
      </c>
      <c r="E102" s="25">
        <v>0.015359979031745453</v>
      </c>
      <c r="F102" s="25">
        <v>0.017511380585542805</v>
      </c>
      <c r="G102" s="25">
        <v>0.019964119051071327</v>
      </c>
      <c r="H102" s="25">
        <v>0.02276040130236223</v>
      </c>
      <c r="I102" s="25">
        <f t="shared" si="27"/>
        <v>0.02276040130236223</v>
      </c>
      <c r="J102" s="25">
        <f t="shared" si="27"/>
        <v>0.02276040130236223</v>
      </c>
      <c r="K102" s="25">
        <f t="shared" si="28"/>
        <v>0.0239833008</v>
      </c>
      <c r="L102" s="25">
        <f t="shared" si="27"/>
        <v>0.0239833008</v>
      </c>
      <c r="M102" s="25">
        <f t="shared" si="27"/>
        <v>0.0239833008</v>
      </c>
      <c r="N102" s="25">
        <f t="shared" si="29"/>
        <v>0.025451270675366403</v>
      </c>
      <c r="O102" s="25">
        <f t="shared" si="27"/>
        <v>0.025451270675366403</v>
      </c>
      <c r="P102" s="25">
        <f t="shared" si="27"/>
        <v>0.025451270675366403</v>
      </c>
      <c r="Q102" s="25">
        <f t="shared" si="30"/>
        <v>0.02700909205086423</v>
      </c>
      <c r="R102" s="25">
        <f t="shared" si="27"/>
        <v>0.02700909205086423</v>
      </c>
      <c r="S102" s="25">
        <f t="shared" si="27"/>
        <v>0.02700909205086423</v>
      </c>
      <c r="T102" s="25">
        <f t="shared" si="31"/>
        <v>0.02866226455711353</v>
      </c>
      <c r="U102" s="25">
        <f t="shared" si="27"/>
        <v>0.02866226455711353</v>
      </c>
      <c r="V102" s="25">
        <f t="shared" si="27"/>
        <v>0.02866226455711353</v>
      </c>
      <c r="W102" s="32">
        <f t="shared" si="32"/>
        <v>0.030416624446125334</v>
      </c>
    </row>
    <row r="103" spans="1:23" ht="12.75">
      <c r="A103" s="9" t="s">
        <v>14</v>
      </c>
      <c r="B103" s="12" t="s">
        <v>25</v>
      </c>
      <c r="C103" s="25">
        <v>0.017810749079726122</v>
      </c>
      <c r="D103" s="25">
        <v>0.017783153416290613</v>
      </c>
      <c r="E103" s="25">
        <v>0.01766423378263197</v>
      </c>
      <c r="F103" s="25">
        <v>0.017546109389217763</v>
      </c>
      <c r="G103" s="25">
        <v>0.017428774918111598</v>
      </c>
      <c r="H103" s="25">
        <v>0.017312225086939248</v>
      </c>
      <c r="I103" s="25">
        <f t="shared" si="27"/>
        <v>0.017312225086939248</v>
      </c>
      <c r="J103" s="25">
        <f t="shared" si="27"/>
        <v>0.017312225086939248</v>
      </c>
      <c r="K103" s="25">
        <f t="shared" si="28"/>
        <v>0.018252777600000002</v>
      </c>
      <c r="L103" s="25">
        <f t="shared" si="27"/>
        <v>0.018252777600000002</v>
      </c>
      <c r="M103" s="25">
        <f t="shared" si="27"/>
        <v>0.018252777600000002</v>
      </c>
      <c r="N103" s="25">
        <f t="shared" si="29"/>
        <v>0.019369993611340803</v>
      </c>
      <c r="O103" s="25">
        <f t="shared" si="27"/>
        <v>0.019369993611340803</v>
      </c>
      <c r="P103" s="25">
        <f t="shared" si="27"/>
        <v>0.019369993611340803</v>
      </c>
      <c r="Q103" s="25">
        <f t="shared" si="30"/>
        <v>0.020555592180303752</v>
      </c>
      <c r="R103" s="25">
        <f t="shared" si="27"/>
        <v>0.020555592180303752</v>
      </c>
      <c r="S103" s="25">
        <f t="shared" si="27"/>
        <v>0.020555592180303752</v>
      </c>
      <c r="T103" s="25">
        <f t="shared" si="31"/>
        <v>0.021813758866475786</v>
      </c>
      <c r="U103" s="25">
        <f t="shared" si="27"/>
        <v>0.021813758866475786</v>
      </c>
      <c r="V103" s="25">
        <f t="shared" si="27"/>
        <v>0.021813758866475786</v>
      </c>
      <c r="W103" s="32">
        <f t="shared" si="32"/>
        <v>0.023148935419175037</v>
      </c>
    </row>
    <row r="104" spans="1:23" ht="12.75">
      <c r="A104" s="410" t="s">
        <v>27</v>
      </c>
      <c r="B104" s="411"/>
      <c r="C104" s="411"/>
      <c r="D104" s="411"/>
      <c r="E104" s="411"/>
      <c r="F104" s="411"/>
      <c r="G104" s="411"/>
      <c r="H104" s="411"/>
      <c r="I104" s="411" t="s">
        <v>35</v>
      </c>
      <c r="J104" s="411" t="s">
        <v>35</v>
      </c>
      <c r="K104" s="411" t="str">
        <f t="shared" si="28"/>
        <v> </v>
      </c>
      <c r="L104" s="411" t="s">
        <v>35</v>
      </c>
      <c r="M104" s="411" t="s">
        <v>35</v>
      </c>
      <c r="N104" s="411" t="str">
        <f t="shared" si="29"/>
        <v> </v>
      </c>
      <c r="O104" s="411" t="s">
        <v>35</v>
      </c>
      <c r="P104" s="411" t="s">
        <v>35</v>
      </c>
      <c r="Q104" s="411" t="str">
        <f t="shared" si="30"/>
        <v> </v>
      </c>
      <c r="R104" s="411" t="s">
        <v>35</v>
      </c>
      <c r="S104" s="411" t="s">
        <v>35</v>
      </c>
      <c r="T104" s="411" t="str">
        <f t="shared" si="31"/>
        <v> </v>
      </c>
      <c r="U104" s="411" t="s">
        <v>35</v>
      </c>
      <c r="V104" s="411" t="s">
        <v>35</v>
      </c>
      <c r="W104" s="412" t="str">
        <f t="shared" si="32"/>
        <v> </v>
      </c>
    </row>
    <row r="105" spans="1:23" ht="12.75">
      <c r="A105" s="10" t="s">
        <v>5</v>
      </c>
      <c r="B105" s="26" t="s">
        <v>33</v>
      </c>
      <c r="C105" s="25">
        <v>0.010109595015255393</v>
      </c>
      <c r="D105" s="25">
        <v>0.012245669193524229</v>
      </c>
      <c r="E105" s="25">
        <v>0.014756750237478598</v>
      </c>
      <c r="F105" s="25">
        <v>0.017782750303795707</v>
      </c>
      <c r="G105" s="25">
        <v>0.021429258019425423</v>
      </c>
      <c r="H105" s="25">
        <v>0.025823513878226713</v>
      </c>
      <c r="I105" s="25">
        <f t="shared" si="27"/>
        <v>0.025823513878226713</v>
      </c>
      <c r="J105" s="25">
        <f t="shared" si="27"/>
        <v>0.025823513878226713</v>
      </c>
      <c r="K105" s="25">
        <f t="shared" si="28"/>
        <v>0.027263103463288876</v>
      </c>
      <c r="L105" s="25">
        <f t="shared" si="27"/>
        <v>0.027263103463288876</v>
      </c>
      <c r="M105" s="25">
        <f t="shared" si="27"/>
        <v>0.027263103463288876</v>
      </c>
      <c r="N105" s="25">
        <f t="shared" si="29"/>
        <v>0.028931823500069866</v>
      </c>
      <c r="O105" s="25">
        <f t="shared" si="27"/>
        <v>0.028931823500069866</v>
      </c>
      <c r="P105" s="25">
        <f t="shared" si="27"/>
        <v>0.028931823500069866</v>
      </c>
      <c r="Q105" s="25">
        <f t="shared" si="30"/>
        <v>0.030702682552862147</v>
      </c>
      <c r="R105" s="25">
        <f t="shared" si="27"/>
        <v>0.030702682552862147</v>
      </c>
      <c r="S105" s="25">
        <f t="shared" si="27"/>
        <v>0.030702682552862147</v>
      </c>
      <c r="T105" s="25">
        <f t="shared" si="31"/>
        <v>0.032581932346557735</v>
      </c>
      <c r="U105" s="25">
        <f t="shared" si="27"/>
        <v>0.032581932346557735</v>
      </c>
      <c r="V105" s="25">
        <f t="shared" si="27"/>
        <v>0.032581932346557735</v>
      </c>
      <c r="W105" s="32">
        <f t="shared" si="32"/>
        <v>0.034576207261625844</v>
      </c>
    </row>
    <row r="106" spans="1:23" ht="12.75">
      <c r="A106" s="10" t="s">
        <v>14</v>
      </c>
      <c r="B106" s="26" t="s">
        <v>33</v>
      </c>
      <c r="C106" s="25">
        <v>0.03905880510083432</v>
      </c>
      <c r="D106" s="25">
        <v>0.0411238860050911</v>
      </c>
      <c r="E106" s="25">
        <v>0.04307534643487867</v>
      </c>
      <c r="F106" s="25">
        <v>0.04511940992772685</v>
      </c>
      <c r="G106" s="25">
        <v>0.04726047079630388</v>
      </c>
      <c r="H106" s="25">
        <v>0.04950313187752322</v>
      </c>
      <c r="I106" s="25">
        <f t="shared" si="27"/>
        <v>0.04950313187752322</v>
      </c>
      <c r="J106" s="25">
        <f t="shared" si="27"/>
        <v>0.04950313187752322</v>
      </c>
      <c r="K106" s="25">
        <f t="shared" si="28"/>
        <v>0.052262794772933</v>
      </c>
      <c r="L106" s="25">
        <f t="shared" si="27"/>
        <v>0.052262794772933</v>
      </c>
      <c r="M106" s="25">
        <f t="shared" si="27"/>
        <v>0.052262794772933</v>
      </c>
      <c r="N106" s="25">
        <f t="shared" si="29"/>
        <v>0.055461695915394675</v>
      </c>
      <c r="O106" s="25">
        <f t="shared" si="27"/>
        <v>0.055461695915394675</v>
      </c>
      <c r="P106" s="25">
        <f t="shared" si="27"/>
        <v>0.055461695915394675</v>
      </c>
      <c r="Q106" s="25">
        <f t="shared" si="30"/>
        <v>0.05885639539898416</v>
      </c>
      <c r="R106" s="25">
        <f t="shared" si="27"/>
        <v>0.05885639539898416</v>
      </c>
      <c r="S106" s="25">
        <f t="shared" si="27"/>
        <v>0.05885639539898416</v>
      </c>
      <c r="T106" s="25">
        <f t="shared" si="31"/>
        <v>0.062458877648565184</v>
      </c>
      <c r="U106" s="25">
        <f t="shared" si="27"/>
        <v>0.062458877648565184</v>
      </c>
      <c r="V106" s="25">
        <f t="shared" si="27"/>
        <v>0.062458877648565184</v>
      </c>
      <c r="W106" s="32">
        <f t="shared" si="32"/>
        <v>0.06628186063167857</v>
      </c>
    </row>
    <row r="107" spans="1:23" ht="12.75">
      <c r="A107" s="410"/>
      <c r="B107" s="411"/>
      <c r="C107" s="411"/>
      <c r="D107" s="411"/>
      <c r="E107" s="411"/>
      <c r="F107" s="411"/>
      <c r="G107" s="411"/>
      <c r="H107" s="411"/>
      <c r="I107" s="411"/>
      <c r="J107" s="411"/>
      <c r="K107" s="411"/>
      <c r="L107" s="411"/>
      <c r="M107" s="411"/>
      <c r="N107" s="411"/>
      <c r="O107" s="411"/>
      <c r="P107" s="411"/>
      <c r="Q107" s="411"/>
      <c r="R107" s="411"/>
      <c r="S107" s="411"/>
      <c r="T107" s="411"/>
      <c r="U107" s="411"/>
      <c r="V107" s="411"/>
      <c r="W107" s="412"/>
    </row>
    <row r="108" spans="1:23" ht="12.75">
      <c r="A108" s="410" t="s">
        <v>36</v>
      </c>
      <c r="B108" s="411"/>
      <c r="C108" s="411"/>
      <c r="D108" s="411"/>
      <c r="E108" s="411"/>
      <c r="F108" s="411"/>
      <c r="G108" s="411"/>
      <c r="H108" s="411"/>
      <c r="I108" s="411"/>
      <c r="J108" s="411"/>
      <c r="K108" s="411"/>
      <c r="L108" s="411"/>
      <c r="M108" s="411"/>
      <c r="N108" s="411"/>
      <c r="O108" s="411"/>
      <c r="P108" s="411"/>
      <c r="Q108" s="411"/>
      <c r="R108" s="411"/>
      <c r="S108" s="411"/>
      <c r="T108" s="411"/>
      <c r="U108" s="411"/>
      <c r="V108" s="411"/>
      <c r="W108" s="412"/>
    </row>
    <row r="109" spans="1:23" ht="12.75">
      <c r="A109" s="9" t="s">
        <v>5</v>
      </c>
      <c r="B109" s="12" t="s">
        <v>25</v>
      </c>
      <c r="C109" s="25">
        <f>C111*0.0238/0.0226</f>
        <v>0.0238</v>
      </c>
      <c r="D109" s="25">
        <f>C109</f>
        <v>0.0238</v>
      </c>
      <c r="E109" s="25">
        <f>D109</f>
        <v>0.0238</v>
      </c>
      <c r="F109" s="25">
        <f>E109</f>
        <v>0.0238</v>
      </c>
      <c r="G109" s="25">
        <f>F109</f>
        <v>0.0238</v>
      </c>
      <c r="H109" s="25">
        <f>G109</f>
        <v>0.0238</v>
      </c>
      <c r="I109" s="25">
        <f>H109*1.02</f>
        <v>0.024276000000000002</v>
      </c>
      <c r="J109" s="25">
        <f aca="true" t="shared" si="33" ref="J109:W112">I109*1.02</f>
        <v>0.024761520000000002</v>
      </c>
      <c r="K109" s="25">
        <f t="shared" si="33"/>
        <v>0.025256750400000003</v>
      </c>
      <c r="L109" s="25">
        <f t="shared" si="33"/>
        <v>0.025761885408000004</v>
      </c>
      <c r="M109" s="25">
        <f t="shared" si="33"/>
        <v>0.026277123116160005</v>
      </c>
      <c r="N109" s="25">
        <f t="shared" si="33"/>
        <v>0.026802665578483206</v>
      </c>
      <c r="O109" s="25">
        <f t="shared" si="33"/>
        <v>0.02733871889005287</v>
      </c>
      <c r="P109" s="25">
        <f t="shared" si="33"/>
        <v>0.027885493267853927</v>
      </c>
      <c r="Q109" s="25">
        <f t="shared" si="33"/>
        <v>0.028443203133211005</v>
      </c>
      <c r="R109" s="25">
        <f t="shared" si="33"/>
        <v>0.029012067195875225</v>
      </c>
      <c r="S109" s="25">
        <f t="shared" si="33"/>
        <v>0.02959230853979273</v>
      </c>
      <c r="T109" s="25">
        <f t="shared" si="33"/>
        <v>0.030184154710588586</v>
      </c>
      <c r="U109" s="25">
        <f t="shared" si="33"/>
        <v>0.030787837804800357</v>
      </c>
      <c r="V109" s="25">
        <f t="shared" si="33"/>
        <v>0.031403594560896364</v>
      </c>
      <c r="W109" s="32">
        <f t="shared" si="33"/>
        <v>0.03203166645211429</v>
      </c>
    </row>
    <row r="110" spans="1:23" ht="12.75">
      <c r="A110" s="9" t="s">
        <v>8</v>
      </c>
      <c r="B110" s="12" t="s">
        <v>25</v>
      </c>
      <c r="C110" s="25">
        <f>C111*0.0233/0.0226</f>
        <v>0.0233</v>
      </c>
      <c r="D110" s="25">
        <f aca="true" t="shared" si="34" ref="D110:H112">C110</f>
        <v>0.0233</v>
      </c>
      <c r="E110" s="25">
        <f t="shared" si="34"/>
        <v>0.0233</v>
      </c>
      <c r="F110" s="25">
        <f t="shared" si="34"/>
        <v>0.0233</v>
      </c>
      <c r="G110" s="25">
        <f t="shared" si="34"/>
        <v>0.0233</v>
      </c>
      <c r="H110" s="25">
        <f t="shared" si="34"/>
        <v>0.0233</v>
      </c>
      <c r="I110" s="25">
        <f aca="true" t="shared" si="35" ref="I110:W115">H110*1.02</f>
        <v>0.023766000000000002</v>
      </c>
      <c r="J110" s="25">
        <f t="shared" si="35"/>
        <v>0.024241320000000004</v>
      </c>
      <c r="K110" s="25">
        <f t="shared" si="35"/>
        <v>0.024726146400000003</v>
      </c>
      <c r="L110" s="25">
        <f t="shared" si="35"/>
        <v>0.025220669328000003</v>
      </c>
      <c r="M110" s="25">
        <f t="shared" si="35"/>
        <v>0.025725082714560005</v>
      </c>
      <c r="N110" s="25">
        <f t="shared" si="35"/>
        <v>0.026239584368851206</v>
      </c>
      <c r="O110" s="25">
        <f t="shared" si="35"/>
        <v>0.02676437605622823</v>
      </c>
      <c r="P110" s="25">
        <f t="shared" si="35"/>
        <v>0.027299663577352796</v>
      </c>
      <c r="Q110" s="25">
        <f t="shared" si="33"/>
        <v>0.027845656848899853</v>
      </c>
      <c r="R110" s="25">
        <f t="shared" si="33"/>
        <v>0.02840256998587785</v>
      </c>
      <c r="S110" s="25">
        <f t="shared" si="33"/>
        <v>0.028970621385595408</v>
      </c>
      <c r="T110" s="25">
        <f t="shared" si="33"/>
        <v>0.029550033813307317</v>
      </c>
      <c r="U110" s="25">
        <f t="shared" si="33"/>
        <v>0.030141034489573466</v>
      </c>
      <c r="V110" s="25">
        <f t="shared" si="33"/>
        <v>0.030743855179364937</v>
      </c>
      <c r="W110" s="32">
        <f t="shared" si="33"/>
        <v>0.03135873228295224</v>
      </c>
    </row>
    <row r="111" spans="1:23" ht="12.75">
      <c r="A111" s="9" t="s">
        <v>12</v>
      </c>
      <c r="B111" s="12" t="s">
        <v>25</v>
      </c>
      <c r="C111" s="285">
        <f>'ERR &amp; Sensitivity Analysis'!G13</f>
        <v>0.0226</v>
      </c>
      <c r="D111" s="25">
        <f t="shared" si="34"/>
        <v>0.0226</v>
      </c>
      <c r="E111" s="25">
        <f t="shared" si="34"/>
        <v>0.0226</v>
      </c>
      <c r="F111" s="25">
        <f t="shared" si="34"/>
        <v>0.0226</v>
      </c>
      <c r="G111" s="25">
        <f t="shared" si="34"/>
        <v>0.0226</v>
      </c>
      <c r="H111" s="25">
        <f t="shared" si="34"/>
        <v>0.0226</v>
      </c>
      <c r="I111" s="25">
        <f t="shared" si="35"/>
        <v>0.023052</v>
      </c>
      <c r="J111" s="25">
        <f t="shared" si="35"/>
        <v>0.02351304</v>
      </c>
      <c r="K111" s="25">
        <f t="shared" si="35"/>
        <v>0.0239833008</v>
      </c>
      <c r="L111" s="25">
        <f t="shared" si="35"/>
        <v>0.024462966816</v>
      </c>
      <c r="M111" s="25">
        <f t="shared" si="35"/>
        <v>0.02495222615232</v>
      </c>
      <c r="N111" s="25">
        <f t="shared" si="35"/>
        <v>0.025451270675366403</v>
      </c>
      <c r="O111" s="25">
        <f t="shared" si="35"/>
        <v>0.025960296088873732</v>
      </c>
      <c r="P111" s="25">
        <f t="shared" si="35"/>
        <v>0.026479502010651208</v>
      </c>
      <c r="Q111" s="25">
        <f t="shared" si="33"/>
        <v>0.02700909205086423</v>
      </c>
      <c r="R111" s="25">
        <f t="shared" si="33"/>
        <v>0.027549273891881516</v>
      </c>
      <c r="S111" s="25">
        <f t="shared" si="33"/>
        <v>0.028100259369719147</v>
      </c>
      <c r="T111" s="25">
        <f t="shared" si="33"/>
        <v>0.02866226455711353</v>
      </c>
      <c r="U111" s="25">
        <f t="shared" si="33"/>
        <v>0.0292355098482558</v>
      </c>
      <c r="V111" s="25">
        <f t="shared" si="33"/>
        <v>0.029820220045220915</v>
      </c>
      <c r="W111" s="32">
        <f t="shared" si="33"/>
        <v>0.030416624446125334</v>
      </c>
    </row>
    <row r="112" spans="1:23" ht="12.75">
      <c r="A112" s="9" t="s">
        <v>14</v>
      </c>
      <c r="B112" s="12" t="s">
        <v>25</v>
      </c>
      <c r="C112" s="25">
        <f>C111*0.0172/0.0226</f>
        <v>0.0172</v>
      </c>
      <c r="D112" s="25">
        <f t="shared" si="34"/>
        <v>0.0172</v>
      </c>
      <c r="E112" s="25">
        <f t="shared" si="34"/>
        <v>0.0172</v>
      </c>
      <c r="F112" s="25">
        <f t="shared" si="34"/>
        <v>0.0172</v>
      </c>
      <c r="G112" s="25">
        <f t="shared" si="34"/>
        <v>0.0172</v>
      </c>
      <c r="H112" s="25">
        <f t="shared" si="34"/>
        <v>0.0172</v>
      </c>
      <c r="I112" s="25">
        <f t="shared" si="35"/>
        <v>0.017544</v>
      </c>
      <c r="J112" s="25">
        <f t="shared" si="35"/>
        <v>0.017894880000000002</v>
      </c>
      <c r="K112" s="25">
        <f t="shared" si="35"/>
        <v>0.018252777600000002</v>
      </c>
      <c r="L112" s="25">
        <f t="shared" si="35"/>
        <v>0.018617833152000003</v>
      </c>
      <c r="M112" s="25">
        <f t="shared" si="35"/>
        <v>0.018990189815040002</v>
      </c>
      <c r="N112" s="25">
        <f t="shared" si="35"/>
        <v>0.019369993611340803</v>
      </c>
      <c r="O112" s="25">
        <f t="shared" si="35"/>
        <v>0.019757393483567618</v>
      </c>
      <c r="P112" s="25">
        <f t="shared" si="35"/>
        <v>0.020152541353238972</v>
      </c>
      <c r="Q112" s="25">
        <f t="shared" si="33"/>
        <v>0.020555592180303752</v>
      </c>
      <c r="R112" s="25">
        <f t="shared" si="33"/>
        <v>0.020966704023909828</v>
      </c>
      <c r="S112" s="25">
        <f t="shared" si="33"/>
        <v>0.021386038104388026</v>
      </c>
      <c r="T112" s="25">
        <f t="shared" si="33"/>
        <v>0.021813758866475786</v>
      </c>
      <c r="U112" s="25">
        <f t="shared" si="33"/>
        <v>0.0222500340438053</v>
      </c>
      <c r="V112" s="25">
        <f t="shared" si="33"/>
        <v>0.022695034724681408</v>
      </c>
      <c r="W112" s="32">
        <f t="shared" si="33"/>
        <v>0.023148935419175037</v>
      </c>
    </row>
    <row r="113" spans="1:23" ht="12.75">
      <c r="A113" s="410" t="s">
        <v>37</v>
      </c>
      <c r="B113" s="411"/>
      <c r="C113" s="411"/>
      <c r="D113" s="411"/>
      <c r="E113" s="411"/>
      <c r="F113" s="411"/>
      <c r="G113" s="411"/>
      <c r="H113" s="411"/>
      <c r="I113" s="411" t="s">
        <v>35</v>
      </c>
      <c r="J113" s="411" t="s">
        <v>35</v>
      </c>
      <c r="K113" s="411" t="s">
        <v>35</v>
      </c>
      <c r="L113" s="411" t="s">
        <v>35</v>
      </c>
      <c r="M113" s="411" t="s">
        <v>35</v>
      </c>
      <c r="N113" s="411" t="s">
        <v>35</v>
      </c>
      <c r="O113" s="411" t="s">
        <v>35</v>
      </c>
      <c r="P113" s="411" t="s">
        <v>35</v>
      </c>
      <c r="Q113" s="411" t="s">
        <v>35</v>
      </c>
      <c r="R113" s="411" t="s">
        <v>35</v>
      </c>
      <c r="S113" s="411" t="s">
        <v>35</v>
      </c>
      <c r="T113" s="411" t="s">
        <v>35</v>
      </c>
      <c r="U113" s="411" t="s">
        <v>35</v>
      </c>
      <c r="V113" s="411" t="s">
        <v>35</v>
      </c>
      <c r="W113" s="412" t="s">
        <v>35</v>
      </c>
    </row>
    <row r="114" spans="1:23" ht="12.75">
      <c r="A114" s="10" t="s">
        <v>5</v>
      </c>
      <c r="B114" s="26" t="s">
        <v>33</v>
      </c>
      <c r="C114" s="25">
        <v>0.025690631302523987</v>
      </c>
      <c r="D114" s="25">
        <f aca="true" t="shared" si="36" ref="D114:H115">C114</f>
        <v>0.025690631302523987</v>
      </c>
      <c r="E114" s="25">
        <f t="shared" si="36"/>
        <v>0.025690631302523987</v>
      </c>
      <c r="F114" s="25">
        <f t="shared" si="36"/>
        <v>0.025690631302523987</v>
      </c>
      <c r="G114" s="25">
        <f t="shared" si="36"/>
        <v>0.025690631302523987</v>
      </c>
      <c r="H114" s="25">
        <f t="shared" si="36"/>
        <v>0.025690631302523987</v>
      </c>
      <c r="I114" s="25">
        <f t="shared" si="35"/>
        <v>0.026204443928574468</v>
      </c>
      <c r="J114" s="25">
        <f t="shared" si="35"/>
        <v>0.026728532807145957</v>
      </c>
      <c r="K114" s="25">
        <f t="shared" si="35"/>
        <v>0.027263103463288876</v>
      </c>
      <c r="L114" s="25">
        <f t="shared" si="35"/>
        <v>0.027808365532554655</v>
      </c>
      <c r="M114" s="25">
        <f t="shared" si="35"/>
        <v>0.02836453284320575</v>
      </c>
      <c r="N114" s="25">
        <f t="shared" si="35"/>
        <v>0.028931823500069866</v>
      </c>
      <c r="O114" s="25">
        <f t="shared" si="35"/>
        <v>0.029510459970071266</v>
      </c>
      <c r="P114" s="25">
        <f t="shared" si="35"/>
        <v>0.030100669169472693</v>
      </c>
      <c r="Q114" s="25">
        <f t="shared" si="35"/>
        <v>0.030702682552862147</v>
      </c>
      <c r="R114" s="25">
        <f t="shared" si="35"/>
        <v>0.03131673620391939</v>
      </c>
      <c r="S114" s="25">
        <f t="shared" si="35"/>
        <v>0.03194307092799778</v>
      </c>
      <c r="T114" s="25">
        <f t="shared" si="35"/>
        <v>0.032581932346557735</v>
      </c>
      <c r="U114" s="25">
        <f t="shared" si="35"/>
        <v>0.03323357099348889</v>
      </c>
      <c r="V114" s="25">
        <f t="shared" si="35"/>
        <v>0.03389824241335867</v>
      </c>
      <c r="W114" s="32">
        <f t="shared" si="35"/>
        <v>0.034576207261625844</v>
      </c>
    </row>
    <row r="115" spans="1:23" ht="12.75">
      <c r="A115" s="10" t="s">
        <v>14</v>
      </c>
      <c r="B115" s="26" t="s">
        <v>33</v>
      </c>
      <c r="C115" s="25">
        <v>0.04924839878038329</v>
      </c>
      <c r="D115" s="25">
        <f t="shared" si="36"/>
        <v>0.04924839878038329</v>
      </c>
      <c r="E115" s="25">
        <f t="shared" si="36"/>
        <v>0.04924839878038329</v>
      </c>
      <c r="F115" s="25">
        <f t="shared" si="36"/>
        <v>0.04924839878038329</v>
      </c>
      <c r="G115" s="25">
        <f t="shared" si="36"/>
        <v>0.04924839878038329</v>
      </c>
      <c r="H115" s="25">
        <f t="shared" si="36"/>
        <v>0.04924839878038329</v>
      </c>
      <c r="I115" s="25">
        <f t="shared" si="35"/>
        <v>0.05023336675599096</v>
      </c>
      <c r="J115" s="25">
        <f t="shared" si="35"/>
        <v>0.05123803409111078</v>
      </c>
      <c r="K115" s="25">
        <f t="shared" si="35"/>
        <v>0.052262794772933</v>
      </c>
      <c r="L115" s="25">
        <f t="shared" si="35"/>
        <v>0.05330805066839166</v>
      </c>
      <c r="M115" s="25">
        <f t="shared" si="35"/>
        <v>0.05437421168175949</v>
      </c>
      <c r="N115" s="25">
        <f t="shared" si="35"/>
        <v>0.055461695915394675</v>
      </c>
      <c r="O115" s="25">
        <f t="shared" si="35"/>
        <v>0.05657092983370257</v>
      </c>
      <c r="P115" s="25">
        <f t="shared" si="35"/>
        <v>0.057702348430376624</v>
      </c>
      <c r="Q115" s="25">
        <f t="shared" si="35"/>
        <v>0.05885639539898416</v>
      </c>
      <c r="R115" s="25">
        <f t="shared" si="35"/>
        <v>0.06003352330696384</v>
      </c>
      <c r="S115" s="25">
        <f t="shared" si="35"/>
        <v>0.06123419377310312</v>
      </c>
      <c r="T115" s="25">
        <f t="shared" si="35"/>
        <v>0.062458877648565184</v>
      </c>
      <c r="U115" s="25">
        <f t="shared" si="35"/>
        <v>0.0637080552015365</v>
      </c>
      <c r="V115" s="25">
        <f t="shared" si="35"/>
        <v>0.06498221630556722</v>
      </c>
      <c r="W115" s="32">
        <f t="shared" si="35"/>
        <v>0.06628186063167857</v>
      </c>
    </row>
    <row r="116" spans="1:23" ht="12.75">
      <c r="A116" s="410"/>
      <c r="B116" s="411"/>
      <c r="C116" s="411"/>
      <c r="D116" s="411"/>
      <c r="E116" s="411"/>
      <c r="F116" s="411"/>
      <c r="G116" s="411"/>
      <c r="H116" s="411"/>
      <c r="I116" s="411"/>
      <c r="J116" s="411"/>
      <c r="K116" s="411"/>
      <c r="L116" s="411"/>
      <c r="M116" s="411"/>
      <c r="N116" s="411"/>
      <c r="O116" s="411"/>
      <c r="P116" s="411"/>
      <c r="Q116" s="411"/>
      <c r="R116" s="411"/>
      <c r="S116" s="411"/>
      <c r="T116" s="411"/>
      <c r="U116" s="411"/>
      <c r="V116" s="411"/>
      <c r="W116" s="412"/>
    </row>
    <row r="117" spans="1:23" s="1" customFormat="1" ht="12.75">
      <c r="A117" s="33" t="s">
        <v>41</v>
      </c>
      <c r="B117" s="14" t="s">
        <v>40</v>
      </c>
      <c r="C117" s="27">
        <f aca="true" t="shared" si="37" ref="C117:W117">C118+C123</f>
        <v>161.10695081626196</v>
      </c>
      <c r="D117" s="27">
        <f t="shared" si="37"/>
        <v>185.36333195916845</v>
      </c>
      <c r="E117" s="27">
        <f t="shared" si="37"/>
        <v>194.1476860451976</v>
      </c>
      <c r="F117" s="27">
        <f t="shared" si="37"/>
        <v>199.7606027104957</v>
      </c>
      <c r="G117" s="27">
        <f t="shared" si="37"/>
        <v>208.31956540611844</v>
      </c>
      <c r="H117" s="27">
        <f t="shared" si="37"/>
        <v>224.2281066481538</v>
      </c>
      <c r="I117" s="27">
        <f t="shared" si="37"/>
        <v>223.66481080540896</v>
      </c>
      <c r="J117" s="27">
        <f t="shared" si="37"/>
        <v>223.1204394259382</v>
      </c>
      <c r="K117" s="27">
        <f t="shared" si="37"/>
        <v>234.81927624343535</v>
      </c>
      <c r="L117" s="27">
        <f t="shared" si="37"/>
        <v>234.28299387005788</v>
      </c>
      <c r="M117" s="27">
        <f t="shared" si="37"/>
        <v>233.76520549958903</v>
      </c>
      <c r="N117" s="27">
        <f t="shared" si="37"/>
        <v>247.5431643518626</v>
      </c>
      <c r="O117" s="27">
        <f t="shared" si="37"/>
        <v>247.03149383677828</v>
      </c>
      <c r="P117" s="27">
        <f t="shared" si="37"/>
        <v>246.53804495564842</v>
      </c>
      <c r="Q117" s="27">
        <f t="shared" si="37"/>
        <v>261.1233724375977</v>
      </c>
      <c r="R117" s="27">
        <f t="shared" si="37"/>
        <v>261.1233724375977</v>
      </c>
      <c r="S117" s="27">
        <f t="shared" si="37"/>
        <v>261.1233724375977</v>
      </c>
      <c r="T117" s="27">
        <f t="shared" si="37"/>
        <v>277.1062118177582</v>
      </c>
      <c r="U117" s="27">
        <f t="shared" si="37"/>
        <v>277.1062118177582</v>
      </c>
      <c r="V117" s="27">
        <f t="shared" si="37"/>
        <v>277.1062118177582</v>
      </c>
      <c r="W117" s="34">
        <f t="shared" si="37"/>
        <v>294.0673288306995</v>
      </c>
    </row>
    <row r="118" spans="1:23" ht="12.75">
      <c r="A118" s="29" t="s">
        <v>39</v>
      </c>
      <c r="B118" s="12" t="s">
        <v>40</v>
      </c>
      <c r="C118" s="28">
        <f aca="true" t="shared" si="38" ref="C118:W118">SUM(C119:C122)</f>
        <v>148.91766884445792</v>
      </c>
      <c r="D118" s="28">
        <f t="shared" si="38"/>
        <v>171.0789881376184</v>
      </c>
      <c r="E118" s="28">
        <f t="shared" si="38"/>
        <v>177.49145538001136</v>
      </c>
      <c r="F118" s="28">
        <f t="shared" si="38"/>
        <v>182.66320117107776</v>
      </c>
      <c r="G118" s="28">
        <f t="shared" si="38"/>
        <v>190.76701137924834</v>
      </c>
      <c r="H118" s="28">
        <f t="shared" si="38"/>
        <v>203.76358856353042</v>
      </c>
      <c r="I118" s="28">
        <f t="shared" si="38"/>
        <v>203.76358856353042</v>
      </c>
      <c r="J118" s="28">
        <f t="shared" si="38"/>
        <v>203.76358856353042</v>
      </c>
      <c r="K118" s="28">
        <f t="shared" si="38"/>
        <v>214.93858737475273</v>
      </c>
      <c r="L118" s="28">
        <f t="shared" si="38"/>
        <v>214.93858737475273</v>
      </c>
      <c r="M118" s="28">
        <f t="shared" si="38"/>
        <v>214.93858737475273</v>
      </c>
      <c r="N118" s="28">
        <f t="shared" si="38"/>
        <v>228.0945484307866</v>
      </c>
      <c r="O118" s="28">
        <f t="shared" si="38"/>
        <v>228.0945484307866</v>
      </c>
      <c r="P118" s="28">
        <f t="shared" si="38"/>
        <v>228.0945484307866</v>
      </c>
      <c r="Q118" s="28">
        <f t="shared" si="38"/>
        <v>242.0557595511382</v>
      </c>
      <c r="R118" s="28">
        <f t="shared" si="38"/>
        <v>242.0557595511382</v>
      </c>
      <c r="S118" s="28">
        <f t="shared" si="38"/>
        <v>242.0557595511382</v>
      </c>
      <c r="T118" s="28">
        <f t="shared" si="38"/>
        <v>256.8715084817443</v>
      </c>
      <c r="U118" s="28">
        <f t="shared" si="38"/>
        <v>256.8715084817443</v>
      </c>
      <c r="V118" s="28">
        <f t="shared" si="38"/>
        <v>256.8715084817443</v>
      </c>
      <c r="W118" s="35">
        <f t="shared" si="38"/>
        <v>272.5940997728949</v>
      </c>
    </row>
    <row r="119" spans="1:23" ht="12.75">
      <c r="A119" s="9" t="s">
        <v>5</v>
      </c>
      <c r="B119" s="12" t="s">
        <v>40</v>
      </c>
      <c r="C119" s="28">
        <f aca="true" t="shared" si="39" ref="C119:W122">C24*C100</f>
        <v>18.437233856194425</v>
      </c>
      <c r="D119" s="28">
        <f t="shared" si="39"/>
        <v>22.540006681568446</v>
      </c>
      <c r="E119" s="28">
        <f t="shared" si="39"/>
        <v>27.131206765253022</v>
      </c>
      <c r="F119" s="28">
        <f t="shared" si="39"/>
        <v>32.671241399549196</v>
      </c>
      <c r="G119" s="28">
        <f t="shared" si="39"/>
        <v>39.73592721926152</v>
      </c>
      <c r="H119" s="28">
        <f t="shared" si="39"/>
        <v>48.32824968800342</v>
      </c>
      <c r="I119" s="28">
        <f t="shared" si="39"/>
        <v>48.32824968800342</v>
      </c>
      <c r="J119" s="28">
        <f t="shared" si="39"/>
        <v>48.32824968800342</v>
      </c>
      <c r="K119" s="28">
        <f t="shared" si="39"/>
        <v>51.087774435718586</v>
      </c>
      <c r="L119" s="28">
        <f t="shared" si="39"/>
        <v>51.087774435718586</v>
      </c>
      <c r="M119" s="28">
        <f t="shared" si="39"/>
        <v>51.087774435718586</v>
      </c>
      <c r="N119" s="28">
        <f t="shared" si="39"/>
        <v>54.21475493338006</v>
      </c>
      <c r="O119" s="28">
        <f t="shared" si="39"/>
        <v>54.21475493338006</v>
      </c>
      <c r="P119" s="28">
        <f t="shared" si="39"/>
        <v>54.21475493338006</v>
      </c>
      <c r="Q119" s="28">
        <f t="shared" si="39"/>
        <v>57.53313165334238</v>
      </c>
      <c r="R119" s="28">
        <f t="shared" si="39"/>
        <v>57.53313165334238</v>
      </c>
      <c r="S119" s="28">
        <f t="shared" si="39"/>
        <v>57.53313165334238</v>
      </c>
      <c r="T119" s="28">
        <f t="shared" si="39"/>
        <v>61.05461957558016</v>
      </c>
      <c r="U119" s="28">
        <f t="shared" si="39"/>
        <v>61.05461957558016</v>
      </c>
      <c r="V119" s="28">
        <f t="shared" si="39"/>
        <v>61.05461957558016</v>
      </c>
      <c r="W119" s="35">
        <f t="shared" si="39"/>
        <v>64.79165073056227</v>
      </c>
    </row>
    <row r="120" spans="1:23" ht="12.75">
      <c r="A120" s="9" t="s">
        <v>8</v>
      </c>
      <c r="B120" s="12" t="s">
        <v>40</v>
      </c>
      <c r="C120" s="28">
        <f t="shared" si="39"/>
        <v>8.304903905068436</v>
      </c>
      <c r="D120" s="28">
        <f t="shared" si="39"/>
        <v>9.593326346824792</v>
      </c>
      <c r="E120" s="28">
        <f t="shared" si="39"/>
        <v>10.096052783729604</v>
      </c>
      <c r="F120" s="28">
        <f t="shared" si="39"/>
        <v>10.065906928049785</v>
      </c>
      <c r="G120" s="28">
        <f t="shared" si="39"/>
        <v>10.181235748802118</v>
      </c>
      <c r="H120" s="28">
        <f t="shared" si="39"/>
        <v>10.714770852919296</v>
      </c>
      <c r="I120" s="28">
        <f t="shared" si="39"/>
        <v>10.714770852919296</v>
      </c>
      <c r="J120" s="28">
        <f t="shared" si="39"/>
        <v>10.714770852919296</v>
      </c>
      <c r="K120" s="28">
        <f t="shared" si="39"/>
        <v>11.306661641004931</v>
      </c>
      <c r="L120" s="28">
        <f t="shared" si="39"/>
        <v>11.306661641004931</v>
      </c>
      <c r="M120" s="28">
        <f t="shared" si="39"/>
        <v>11.306661641004931</v>
      </c>
      <c r="N120" s="28">
        <f t="shared" si="39"/>
        <v>11.998719786727563</v>
      </c>
      <c r="O120" s="28">
        <f t="shared" si="39"/>
        <v>11.998719786727563</v>
      </c>
      <c r="P120" s="28">
        <f t="shared" si="39"/>
        <v>11.998719786727563</v>
      </c>
      <c r="Q120" s="28">
        <f t="shared" si="39"/>
        <v>12.733137427433585</v>
      </c>
      <c r="R120" s="28">
        <f t="shared" si="39"/>
        <v>12.733137427433585</v>
      </c>
      <c r="S120" s="28">
        <f t="shared" si="39"/>
        <v>12.733137427433585</v>
      </c>
      <c r="T120" s="28">
        <f t="shared" si="39"/>
        <v>13.51250730309194</v>
      </c>
      <c r="U120" s="28">
        <f t="shared" si="39"/>
        <v>13.51250730309194</v>
      </c>
      <c r="V120" s="28">
        <f t="shared" si="39"/>
        <v>13.51250730309194</v>
      </c>
      <c r="W120" s="35">
        <f t="shared" si="39"/>
        <v>14.339580850099594</v>
      </c>
    </row>
    <row r="121" spans="1:23" ht="12.75">
      <c r="A121" s="9" t="s">
        <v>12</v>
      </c>
      <c r="B121" s="12" t="s">
        <v>40</v>
      </c>
      <c r="C121" s="28">
        <f t="shared" si="39"/>
        <v>30.356449598798193</v>
      </c>
      <c r="D121" s="28">
        <f t="shared" si="39"/>
        <v>47.268836505421305</v>
      </c>
      <c r="E121" s="28">
        <f t="shared" si="39"/>
        <v>51.93235182081008</v>
      </c>
      <c r="F121" s="28">
        <f t="shared" si="39"/>
        <v>55.694548213180774</v>
      </c>
      <c r="G121" s="28">
        <f t="shared" si="39"/>
        <v>58.8549819369611</v>
      </c>
      <c r="H121" s="28">
        <f t="shared" si="39"/>
        <v>64.90294921555329</v>
      </c>
      <c r="I121" s="28">
        <f t="shared" si="39"/>
        <v>64.90294921555329</v>
      </c>
      <c r="J121" s="28">
        <f t="shared" si="39"/>
        <v>64.90294921555329</v>
      </c>
      <c r="K121" s="28">
        <f t="shared" si="39"/>
        <v>68.39013658701113</v>
      </c>
      <c r="L121" s="28">
        <f t="shared" si="39"/>
        <v>68.39013658701113</v>
      </c>
      <c r="M121" s="28">
        <f t="shared" si="39"/>
        <v>68.39013658701113</v>
      </c>
      <c r="N121" s="28">
        <f t="shared" si="39"/>
        <v>72.57616006722891</v>
      </c>
      <c r="O121" s="28">
        <f t="shared" si="39"/>
        <v>72.57616006722891</v>
      </c>
      <c r="P121" s="28">
        <f t="shared" si="39"/>
        <v>72.57616006722891</v>
      </c>
      <c r="Q121" s="28">
        <f t="shared" si="39"/>
        <v>77.01840167262387</v>
      </c>
      <c r="R121" s="28">
        <f t="shared" si="39"/>
        <v>77.01840167262387</v>
      </c>
      <c r="S121" s="28">
        <f t="shared" si="39"/>
        <v>77.01840167262387</v>
      </c>
      <c r="T121" s="28">
        <f t="shared" si="39"/>
        <v>81.73254400220182</v>
      </c>
      <c r="U121" s="28">
        <f t="shared" si="39"/>
        <v>81.73254400220182</v>
      </c>
      <c r="V121" s="28">
        <f t="shared" si="39"/>
        <v>81.73254400220182</v>
      </c>
      <c r="W121" s="35">
        <f t="shared" si="39"/>
        <v>86.7352295554886</v>
      </c>
    </row>
    <row r="122" spans="1:23" ht="12.75">
      <c r="A122" s="9" t="s">
        <v>14</v>
      </c>
      <c r="B122" s="12" t="s">
        <v>40</v>
      </c>
      <c r="C122" s="28">
        <f t="shared" si="39"/>
        <v>91.81908148439686</v>
      </c>
      <c r="D122" s="28">
        <f t="shared" si="39"/>
        <v>91.67681860380387</v>
      </c>
      <c r="E122" s="28">
        <f t="shared" si="39"/>
        <v>88.33184401021865</v>
      </c>
      <c r="F122" s="28">
        <f t="shared" si="39"/>
        <v>84.231504630298</v>
      </c>
      <c r="G122" s="28">
        <f t="shared" si="39"/>
        <v>81.99486647422363</v>
      </c>
      <c r="H122" s="28">
        <f t="shared" si="39"/>
        <v>79.81761880705442</v>
      </c>
      <c r="I122" s="28">
        <f t="shared" si="39"/>
        <v>79.81761880705442</v>
      </c>
      <c r="J122" s="28">
        <f t="shared" si="39"/>
        <v>79.81761880705442</v>
      </c>
      <c r="K122" s="28">
        <f t="shared" si="39"/>
        <v>84.15401471101808</v>
      </c>
      <c r="L122" s="28">
        <f t="shared" si="39"/>
        <v>84.15401471101808</v>
      </c>
      <c r="M122" s="28">
        <f t="shared" si="39"/>
        <v>84.15401471101808</v>
      </c>
      <c r="N122" s="28">
        <f t="shared" si="39"/>
        <v>89.30491364345008</v>
      </c>
      <c r="O122" s="28">
        <f t="shared" si="39"/>
        <v>89.30491364345008</v>
      </c>
      <c r="P122" s="28">
        <f t="shared" si="39"/>
        <v>89.30491364345008</v>
      </c>
      <c r="Q122" s="28">
        <f t="shared" si="39"/>
        <v>94.77108879773837</v>
      </c>
      <c r="R122" s="28">
        <f t="shared" si="39"/>
        <v>94.77108879773837</v>
      </c>
      <c r="S122" s="28">
        <f t="shared" si="39"/>
        <v>94.77108879773837</v>
      </c>
      <c r="T122" s="28">
        <f t="shared" si="39"/>
        <v>100.57183760087035</v>
      </c>
      <c r="U122" s="28">
        <f t="shared" si="39"/>
        <v>100.57183760087035</v>
      </c>
      <c r="V122" s="28">
        <f t="shared" si="39"/>
        <v>100.57183760087035</v>
      </c>
      <c r="W122" s="35">
        <f t="shared" si="39"/>
        <v>106.72763863674444</v>
      </c>
    </row>
    <row r="123" spans="1:23" ht="12.75">
      <c r="A123" s="31" t="s">
        <v>43</v>
      </c>
      <c r="B123" s="12" t="s">
        <v>40</v>
      </c>
      <c r="C123" s="28">
        <f aca="true" t="shared" si="40" ref="C123:W123">C124+C125</f>
        <v>12.189281971804037</v>
      </c>
      <c r="D123" s="28">
        <f t="shared" si="40"/>
        <v>14.284343821550047</v>
      </c>
      <c r="E123" s="28">
        <f t="shared" si="40"/>
        <v>16.656230665186214</v>
      </c>
      <c r="F123" s="28">
        <f t="shared" si="40"/>
        <v>17.097401539417955</v>
      </c>
      <c r="G123" s="28">
        <f t="shared" si="40"/>
        <v>17.552554026870087</v>
      </c>
      <c r="H123" s="28">
        <f t="shared" si="40"/>
        <v>20.464518084623382</v>
      </c>
      <c r="I123" s="28">
        <f t="shared" si="40"/>
        <v>19.901222241878536</v>
      </c>
      <c r="J123" s="28">
        <f t="shared" si="40"/>
        <v>19.35685086240778</v>
      </c>
      <c r="K123" s="28">
        <f t="shared" si="40"/>
        <v>19.880688868682626</v>
      </c>
      <c r="L123" s="28">
        <f t="shared" si="40"/>
        <v>19.34440649530515</v>
      </c>
      <c r="M123" s="28">
        <f t="shared" si="40"/>
        <v>18.82661812483631</v>
      </c>
      <c r="N123" s="28">
        <f t="shared" si="40"/>
        <v>19.44861592107601</v>
      </c>
      <c r="O123" s="28">
        <f t="shared" si="40"/>
        <v>18.936945405991686</v>
      </c>
      <c r="P123" s="28">
        <f t="shared" si="40"/>
        <v>18.44349652486181</v>
      </c>
      <c r="Q123" s="28">
        <f t="shared" si="40"/>
        <v>19.067612886459504</v>
      </c>
      <c r="R123" s="28">
        <f t="shared" si="40"/>
        <v>19.067612886459504</v>
      </c>
      <c r="S123" s="28">
        <f t="shared" si="40"/>
        <v>19.067612886459504</v>
      </c>
      <c r="T123" s="28">
        <f t="shared" si="40"/>
        <v>20.23470333601392</v>
      </c>
      <c r="U123" s="28">
        <f t="shared" si="40"/>
        <v>20.23470333601392</v>
      </c>
      <c r="V123" s="28">
        <f t="shared" si="40"/>
        <v>20.23470333601392</v>
      </c>
      <c r="W123" s="35">
        <f t="shared" si="40"/>
        <v>21.47322905780466</v>
      </c>
    </row>
    <row r="124" spans="1:23" ht="12.75">
      <c r="A124" s="10" t="s">
        <v>5</v>
      </c>
      <c r="B124" s="12" t="s">
        <v>40</v>
      </c>
      <c r="C124" s="28">
        <f aca="true" t="shared" si="41" ref="C124:W125">C35*C105</f>
        <v>11.720351331876644</v>
      </c>
      <c r="D124" s="28">
        <f t="shared" si="41"/>
        <v>13.770871375679786</v>
      </c>
      <c r="E124" s="28">
        <f t="shared" si="41"/>
        <v>16.096878768641144</v>
      </c>
      <c r="F124" s="28">
        <f t="shared" si="41"/>
        <v>16.488070801839054</v>
      </c>
      <c r="G124" s="28">
        <f t="shared" si="41"/>
        <v>16.888778771879903</v>
      </c>
      <c r="H124" s="28">
        <f t="shared" si="41"/>
        <v>19.741433621679757</v>
      </c>
      <c r="I124" s="28">
        <f t="shared" si="41"/>
        <v>19.149214400417165</v>
      </c>
      <c r="J124" s="28">
        <f t="shared" si="41"/>
        <v>18.574762707287952</v>
      </c>
      <c r="K124" s="28">
        <f t="shared" si="41"/>
        <v>19.021973962313538</v>
      </c>
      <c r="L124" s="28">
        <f t="shared" si="41"/>
        <v>18.451342992681298</v>
      </c>
      <c r="M124" s="28">
        <f t="shared" si="41"/>
        <v>17.897832082107502</v>
      </c>
      <c r="N124" s="28">
        <f t="shared" si="41"/>
        <v>18.423555335090573</v>
      </c>
      <c r="O124" s="28">
        <f t="shared" si="41"/>
        <v>17.87088239656683</v>
      </c>
      <c r="P124" s="28">
        <f t="shared" si="41"/>
        <v>17.33479099505996</v>
      </c>
      <c r="Q124" s="28">
        <f t="shared" si="41"/>
        <v>17.843983021474745</v>
      </c>
      <c r="R124" s="28">
        <f t="shared" si="41"/>
        <v>17.843983021474745</v>
      </c>
      <c r="S124" s="28">
        <f t="shared" si="41"/>
        <v>17.843983021474745</v>
      </c>
      <c r="T124" s="28">
        <f t="shared" si="41"/>
        <v>18.936177534253172</v>
      </c>
      <c r="U124" s="28">
        <f t="shared" si="41"/>
        <v>18.936177534253172</v>
      </c>
      <c r="V124" s="28">
        <f t="shared" si="41"/>
        <v>18.936177534253172</v>
      </c>
      <c r="W124" s="35">
        <f t="shared" si="41"/>
        <v>20.095223088769743</v>
      </c>
    </row>
    <row r="125" spans="1:23" ht="12.75">
      <c r="A125" s="10" t="s">
        <v>14</v>
      </c>
      <c r="B125" s="12" t="s">
        <v>40</v>
      </c>
      <c r="C125" s="28">
        <f t="shared" si="41"/>
        <v>0.4689306399273927</v>
      </c>
      <c r="D125" s="28">
        <f t="shared" si="41"/>
        <v>0.5134724458702619</v>
      </c>
      <c r="E125" s="28">
        <f t="shared" si="41"/>
        <v>0.5593518965450722</v>
      </c>
      <c r="F125" s="28">
        <f t="shared" si="41"/>
        <v>0.6093307375789013</v>
      </c>
      <c r="G125" s="28">
        <f t="shared" si="41"/>
        <v>0.6637752549901832</v>
      </c>
      <c r="H125" s="28">
        <f t="shared" si="41"/>
        <v>0.723084462943625</v>
      </c>
      <c r="I125" s="28">
        <f t="shared" si="41"/>
        <v>0.7520078414613701</v>
      </c>
      <c r="J125" s="28">
        <f t="shared" si="41"/>
        <v>0.782088155119825</v>
      </c>
      <c r="K125" s="28">
        <f t="shared" si="41"/>
        <v>0.8587149063690881</v>
      </c>
      <c r="L125" s="28">
        <f t="shared" si="41"/>
        <v>0.8930635026238518</v>
      </c>
      <c r="M125" s="28">
        <f t="shared" si="41"/>
        <v>0.9287860427288057</v>
      </c>
      <c r="N125" s="28">
        <f t="shared" si="41"/>
        <v>1.0250605859854363</v>
      </c>
      <c r="O125" s="28">
        <f t="shared" si="41"/>
        <v>1.0660630094248538</v>
      </c>
      <c r="P125" s="28">
        <f t="shared" si="41"/>
        <v>1.108705529801848</v>
      </c>
      <c r="Q125" s="28">
        <f t="shared" si="41"/>
        <v>1.2236298649847581</v>
      </c>
      <c r="R125" s="28">
        <f t="shared" si="41"/>
        <v>1.2236298649847581</v>
      </c>
      <c r="S125" s="28">
        <f t="shared" si="41"/>
        <v>1.2236298649847581</v>
      </c>
      <c r="T125" s="28">
        <f t="shared" si="41"/>
        <v>1.2985258017607453</v>
      </c>
      <c r="U125" s="28">
        <f t="shared" si="41"/>
        <v>1.2985258017607453</v>
      </c>
      <c r="V125" s="28">
        <f t="shared" si="41"/>
        <v>1.2985258017607453</v>
      </c>
      <c r="W125" s="35">
        <f t="shared" si="41"/>
        <v>1.3780059690349171</v>
      </c>
    </row>
    <row r="126" spans="1:23" ht="12.75">
      <c r="A126" s="410"/>
      <c r="B126" s="411"/>
      <c r="C126" s="411"/>
      <c r="D126" s="411"/>
      <c r="E126" s="411"/>
      <c r="F126" s="411"/>
      <c r="G126" s="411"/>
      <c r="H126" s="411"/>
      <c r="I126" s="411"/>
      <c r="J126" s="411"/>
      <c r="K126" s="411"/>
      <c r="L126" s="411"/>
      <c r="M126" s="411"/>
      <c r="N126" s="411"/>
      <c r="O126" s="411"/>
      <c r="P126" s="411"/>
      <c r="Q126" s="411"/>
      <c r="R126" s="411"/>
      <c r="S126" s="411"/>
      <c r="T126" s="411"/>
      <c r="U126" s="411"/>
      <c r="V126" s="411"/>
      <c r="W126" s="412"/>
    </row>
    <row r="127" spans="1:23" s="1" customFormat="1" ht="12.75">
      <c r="A127" s="33" t="s">
        <v>42</v>
      </c>
      <c r="B127" s="14" t="s">
        <v>40</v>
      </c>
      <c r="C127" s="27">
        <f aca="true" t="shared" si="42" ref="C127:W127">C128+C133</f>
        <v>240.37776801629394</v>
      </c>
      <c r="D127" s="27">
        <f t="shared" si="42"/>
        <v>260.96249105122587</v>
      </c>
      <c r="E127" s="27">
        <f t="shared" si="42"/>
        <v>253.35546338947037</v>
      </c>
      <c r="F127" s="27">
        <f t="shared" si="42"/>
        <v>239.35870573958485</v>
      </c>
      <c r="G127" s="27">
        <f t="shared" si="42"/>
        <v>227.83961174867366</v>
      </c>
      <c r="H127" s="27">
        <f t="shared" si="42"/>
        <v>222.9006432558273</v>
      </c>
      <c r="I127" s="27">
        <f t="shared" si="42"/>
        <v>226.78705093986696</v>
      </c>
      <c r="J127" s="27">
        <f t="shared" si="42"/>
        <v>230.75934236988763</v>
      </c>
      <c r="K127" s="27">
        <f t="shared" si="42"/>
        <v>234.81927624343535</v>
      </c>
      <c r="L127" s="27">
        <f t="shared" si="42"/>
        <v>238.9686537474591</v>
      </c>
      <c r="M127" s="27">
        <f t="shared" si="42"/>
        <v>243.20931980177244</v>
      </c>
      <c r="N127" s="27">
        <f t="shared" si="42"/>
        <v>247.5431643518626</v>
      </c>
      <c r="O127" s="27">
        <f t="shared" si="42"/>
        <v>251.9721237135139</v>
      </c>
      <c r="P127" s="27">
        <f t="shared" si="42"/>
        <v>256.49818197185664</v>
      </c>
      <c r="Q127" s="27">
        <f t="shared" si="42"/>
        <v>261.1233724375977</v>
      </c>
      <c r="R127" s="27">
        <f t="shared" si="42"/>
        <v>266.34583988634967</v>
      </c>
      <c r="S127" s="27">
        <f t="shared" si="42"/>
        <v>271.67275668407666</v>
      </c>
      <c r="T127" s="27">
        <f t="shared" si="42"/>
        <v>277.1062118177582</v>
      </c>
      <c r="U127" s="27">
        <f t="shared" si="42"/>
        <v>282.6483360541133</v>
      </c>
      <c r="V127" s="27">
        <f t="shared" si="42"/>
        <v>288.3013027751956</v>
      </c>
      <c r="W127" s="34">
        <f t="shared" si="42"/>
        <v>294.0673288306995</v>
      </c>
    </row>
    <row r="128" spans="1:23" ht="12.75">
      <c r="A128" s="29" t="s">
        <v>39</v>
      </c>
      <c r="B128" s="12" t="s">
        <v>40</v>
      </c>
      <c r="C128" s="28">
        <f aca="true" t="shared" si="43" ref="C128:W128">SUM(C129:C132)</f>
        <v>210.00259784000002</v>
      </c>
      <c r="D128" s="28">
        <f t="shared" si="43"/>
        <v>231.45716801740008</v>
      </c>
      <c r="E128" s="28">
        <f t="shared" si="43"/>
        <v>224.69223576532585</v>
      </c>
      <c r="F128" s="28">
        <f t="shared" si="43"/>
        <v>214.8733979448977</v>
      </c>
      <c r="G128" s="28">
        <f t="shared" si="43"/>
        <v>206.90067323645872</v>
      </c>
      <c r="H128" s="28">
        <f t="shared" si="43"/>
        <v>202.54143143922087</v>
      </c>
      <c r="I128" s="28">
        <f t="shared" si="43"/>
        <v>206.59226006800532</v>
      </c>
      <c r="J128" s="28">
        <f t="shared" si="43"/>
        <v>210.72410526936542</v>
      </c>
      <c r="K128" s="28">
        <f t="shared" si="43"/>
        <v>214.93858737475273</v>
      </c>
      <c r="L128" s="28">
        <f t="shared" si="43"/>
        <v>219.23735912224782</v>
      </c>
      <c r="M128" s="28">
        <f t="shared" si="43"/>
        <v>223.62210630469275</v>
      </c>
      <c r="N128" s="28">
        <f t="shared" si="43"/>
        <v>228.0945484307866</v>
      </c>
      <c r="O128" s="28">
        <f t="shared" si="43"/>
        <v>232.65643939940236</v>
      </c>
      <c r="P128" s="28">
        <f t="shared" si="43"/>
        <v>237.30956818739043</v>
      </c>
      <c r="Q128" s="28">
        <f t="shared" si="43"/>
        <v>242.0557595511382</v>
      </c>
      <c r="R128" s="28">
        <f t="shared" si="43"/>
        <v>246.89687474216095</v>
      </c>
      <c r="S128" s="28">
        <f t="shared" si="43"/>
        <v>251.8348122370042</v>
      </c>
      <c r="T128" s="28">
        <f t="shared" si="43"/>
        <v>256.8715084817443</v>
      </c>
      <c r="U128" s="28">
        <f t="shared" si="43"/>
        <v>262.00893865137914</v>
      </c>
      <c r="V128" s="28">
        <f t="shared" si="43"/>
        <v>267.24911742440673</v>
      </c>
      <c r="W128" s="35">
        <f t="shared" si="43"/>
        <v>272.5940997728949</v>
      </c>
    </row>
    <row r="129" spans="1:23" ht="12.75">
      <c r="A129" s="9" t="s">
        <v>5</v>
      </c>
      <c r="B129" s="12" t="s">
        <v>40</v>
      </c>
      <c r="C129" s="28">
        <f aca="true" t="shared" si="44" ref="C129:W132">C24*C109</f>
        <v>49.12926900000001</v>
      </c>
      <c r="D129" s="28">
        <f t="shared" si="44"/>
        <v>49.12926900000001</v>
      </c>
      <c r="E129" s="28">
        <f t="shared" si="44"/>
        <v>48.62254175542521</v>
      </c>
      <c r="F129" s="28">
        <f t="shared" si="44"/>
        <v>48.141150873079155</v>
      </c>
      <c r="G129" s="28">
        <f t="shared" si="44"/>
        <v>48.141150873079155</v>
      </c>
      <c r="H129" s="28">
        <f t="shared" si="44"/>
        <v>48.141150873079155</v>
      </c>
      <c r="I129" s="28">
        <f t="shared" si="44"/>
        <v>49.10397389054074</v>
      </c>
      <c r="J129" s="28">
        <f t="shared" si="44"/>
        <v>50.08605336835156</v>
      </c>
      <c r="K129" s="28">
        <f t="shared" si="44"/>
        <v>51.087774435718586</v>
      </c>
      <c r="L129" s="28">
        <f t="shared" si="44"/>
        <v>52.10952992443296</v>
      </c>
      <c r="M129" s="28">
        <f t="shared" si="44"/>
        <v>53.15172052292162</v>
      </c>
      <c r="N129" s="28">
        <f t="shared" si="44"/>
        <v>54.21475493338006</v>
      </c>
      <c r="O129" s="28">
        <f t="shared" si="44"/>
        <v>55.29905003204765</v>
      </c>
      <c r="P129" s="28">
        <f t="shared" si="44"/>
        <v>56.40503103268861</v>
      </c>
      <c r="Q129" s="28">
        <f t="shared" si="44"/>
        <v>57.53313165334238</v>
      </c>
      <c r="R129" s="28">
        <f t="shared" si="44"/>
        <v>58.683794286409224</v>
      </c>
      <c r="S129" s="28">
        <f t="shared" si="44"/>
        <v>59.85747017213741</v>
      </c>
      <c r="T129" s="28">
        <f t="shared" si="44"/>
        <v>61.05461957558016</v>
      </c>
      <c r="U129" s="28">
        <f t="shared" si="44"/>
        <v>62.275711967091766</v>
      </c>
      <c r="V129" s="28">
        <f t="shared" si="44"/>
        <v>63.5212262064336</v>
      </c>
      <c r="W129" s="35">
        <f t="shared" si="44"/>
        <v>64.79165073056227</v>
      </c>
    </row>
    <row r="130" spans="1:23" ht="12.75">
      <c r="A130" s="9" t="s">
        <v>8</v>
      </c>
      <c r="B130" s="12" t="s">
        <v>40</v>
      </c>
      <c r="C130" s="28">
        <f t="shared" si="44"/>
        <v>13.849054</v>
      </c>
      <c r="D130" s="28">
        <f t="shared" si="44"/>
        <v>14.366645177400097</v>
      </c>
      <c r="E130" s="28">
        <f t="shared" si="44"/>
        <v>13.648312918530088</v>
      </c>
      <c r="F130" s="28">
        <f t="shared" si="44"/>
        <v>12.283481626677078</v>
      </c>
      <c r="G130" s="28">
        <f t="shared" si="44"/>
        <v>11.215283993142402</v>
      </c>
      <c r="H130" s="28">
        <f t="shared" si="44"/>
        <v>10.654519793485283</v>
      </c>
      <c r="I130" s="28">
        <f t="shared" si="44"/>
        <v>10.86761018935499</v>
      </c>
      <c r="J130" s="28">
        <f t="shared" si="44"/>
        <v>11.08496239314209</v>
      </c>
      <c r="K130" s="28">
        <f t="shared" si="44"/>
        <v>11.306661641004931</v>
      </c>
      <c r="L130" s="28">
        <f t="shared" si="44"/>
        <v>11.532794873825031</v>
      </c>
      <c r="M130" s="28">
        <f t="shared" si="44"/>
        <v>11.763450771301532</v>
      </c>
      <c r="N130" s="28">
        <f t="shared" si="44"/>
        <v>11.998719786727563</v>
      </c>
      <c r="O130" s="28">
        <f t="shared" si="44"/>
        <v>12.238694182462114</v>
      </c>
      <c r="P130" s="28">
        <f t="shared" si="44"/>
        <v>12.483468066111357</v>
      </c>
      <c r="Q130" s="28">
        <f t="shared" si="44"/>
        <v>12.733137427433585</v>
      </c>
      <c r="R130" s="28">
        <f t="shared" si="44"/>
        <v>12.987800175982256</v>
      </c>
      <c r="S130" s="28">
        <f t="shared" si="44"/>
        <v>13.247556179501903</v>
      </c>
      <c r="T130" s="28">
        <f t="shared" si="44"/>
        <v>13.51250730309194</v>
      </c>
      <c r="U130" s="28">
        <f t="shared" si="44"/>
        <v>13.78275744915378</v>
      </c>
      <c r="V130" s="28">
        <f t="shared" si="44"/>
        <v>14.058412598136856</v>
      </c>
      <c r="W130" s="35">
        <f t="shared" si="44"/>
        <v>14.339580850099594</v>
      </c>
    </row>
    <row r="131" spans="1:23" ht="12.75">
      <c r="A131" s="9" t="s">
        <v>12</v>
      </c>
      <c r="B131" s="12" t="s">
        <v>40</v>
      </c>
      <c r="C131" s="28">
        <f t="shared" si="44"/>
        <v>58.353764999999996</v>
      </c>
      <c r="D131" s="28">
        <f t="shared" si="44"/>
        <v>79.29074399999999</v>
      </c>
      <c r="E131" s="28">
        <f t="shared" si="44"/>
        <v>76.41098654657056</v>
      </c>
      <c r="F131" s="28">
        <f t="shared" si="44"/>
        <v>71.8787866821335</v>
      </c>
      <c r="G131" s="28">
        <f t="shared" si="44"/>
        <v>66.62565918248934</v>
      </c>
      <c r="H131" s="28">
        <f t="shared" si="44"/>
        <v>64.44555316866357</v>
      </c>
      <c r="I131" s="28">
        <f t="shared" si="44"/>
        <v>65.73446423203684</v>
      </c>
      <c r="J131" s="28">
        <f t="shared" si="44"/>
        <v>67.04915351667758</v>
      </c>
      <c r="K131" s="28">
        <f t="shared" si="44"/>
        <v>68.39013658701113</v>
      </c>
      <c r="L131" s="28">
        <f t="shared" si="44"/>
        <v>69.75793931875135</v>
      </c>
      <c r="M131" s="28">
        <f t="shared" si="44"/>
        <v>71.15309810512638</v>
      </c>
      <c r="N131" s="28">
        <f t="shared" si="44"/>
        <v>72.57616006722891</v>
      </c>
      <c r="O131" s="28">
        <f t="shared" si="44"/>
        <v>74.0276832685735</v>
      </c>
      <c r="P131" s="28">
        <f t="shared" si="44"/>
        <v>75.50823693394497</v>
      </c>
      <c r="Q131" s="28">
        <f t="shared" si="44"/>
        <v>77.01840167262387</v>
      </c>
      <c r="R131" s="28">
        <f t="shared" si="44"/>
        <v>78.55876970607635</v>
      </c>
      <c r="S131" s="28">
        <f t="shared" si="44"/>
        <v>80.12994510019787</v>
      </c>
      <c r="T131" s="28">
        <f t="shared" si="44"/>
        <v>81.73254400220182</v>
      </c>
      <c r="U131" s="28">
        <f t="shared" si="44"/>
        <v>83.36719488224585</v>
      </c>
      <c r="V131" s="28">
        <f t="shared" si="44"/>
        <v>85.03453877989078</v>
      </c>
      <c r="W131" s="35">
        <f t="shared" si="44"/>
        <v>86.7352295554886</v>
      </c>
    </row>
    <row r="132" spans="1:23" ht="12.75">
      <c r="A132" s="9" t="s">
        <v>14</v>
      </c>
      <c r="B132" s="12" t="s">
        <v>40</v>
      </c>
      <c r="C132" s="28">
        <f t="shared" si="44"/>
        <v>88.67050984000001</v>
      </c>
      <c r="D132" s="28">
        <f t="shared" si="44"/>
        <v>88.67050984000001</v>
      </c>
      <c r="E132" s="28">
        <f t="shared" si="44"/>
        <v>86.0103945448</v>
      </c>
      <c r="F132" s="28">
        <f t="shared" si="44"/>
        <v>82.56997876300798</v>
      </c>
      <c r="G132" s="28">
        <f t="shared" si="44"/>
        <v>80.91857918774782</v>
      </c>
      <c r="H132" s="28">
        <f t="shared" si="44"/>
        <v>79.30020760399287</v>
      </c>
      <c r="I132" s="28">
        <f t="shared" si="44"/>
        <v>80.88621175607274</v>
      </c>
      <c r="J132" s="28">
        <f t="shared" si="44"/>
        <v>82.5039359911942</v>
      </c>
      <c r="K132" s="28">
        <f t="shared" si="44"/>
        <v>84.15401471101808</v>
      </c>
      <c r="L132" s="28">
        <f t="shared" si="44"/>
        <v>85.83709500523845</v>
      </c>
      <c r="M132" s="28">
        <f t="shared" si="44"/>
        <v>87.55383690534322</v>
      </c>
      <c r="N132" s="28">
        <f t="shared" si="44"/>
        <v>89.30491364345008</v>
      </c>
      <c r="O132" s="28">
        <f t="shared" si="44"/>
        <v>91.09101191631908</v>
      </c>
      <c r="P132" s="28">
        <f t="shared" si="44"/>
        <v>92.91283215464547</v>
      </c>
      <c r="Q132" s="28">
        <f t="shared" si="44"/>
        <v>94.77108879773837</v>
      </c>
      <c r="R132" s="28">
        <f t="shared" si="44"/>
        <v>96.66651057369315</v>
      </c>
      <c r="S132" s="28">
        <f t="shared" si="44"/>
        <v>98.59984078516702</v>
      </c>
      <c r="T132" s="28">
        <f t="shared" si="44"/>
        <v>100.57183760087035</v>
      </c>
      <c r="U132" s="28">
        <f t="shared" si="44"/>
        <v>102.58327435288777</v>
      </c>
      <c r="V132" s="28">
        <f t="shared" si="44"/>
        <v>104.63493983994552</v>
      </c>
      <c r="W132" s="35">
        <f t="shared" si="44"/>
        <v>106.72763863674444</v>
      </c>
    </row>
    <row r="133" spans="1:23" ht="12.75">
      <c r="A133" s="31" t="s">
        <v>43</v>
      </c>
      <c r="B133" s="12" t="s">
        <v>40</v>
      </c>
      <c r="C133" s="28">
        <f aca="true" t="shared" si="45" ref="C133:W133">C134+C135</f>
        <v>30.375170176293928</v>
      </c>
      <c r="D133" s="28">
        <f t="shared" si="45"/>
        <v>29.505323033825793</v>
      </c>
      <c r="E133" s="28">
        <f t="shared" si="45"/>
        <v>28.66322762414453</v>
      </c>
      <c r="F133" s="28">
        <f t="shared" si="45"/>
        <v>24.48530779468715</v>
      </c>
      <c r="G133" s="28">
        <f t="shared" si="45"/>
        <v>20.938938512214957</v>
      </c>
      <c r="H133" s="28">
        <f t="shared" si="45"/>
        <v>20.35921181660644</v>
      </c>
      <c r="I133" s="28">
        <f t="shared" si="45"/>
        <v>20.19479087186164</v>
      </c>
      <c r="J133" s="28">
        <f t="shared" si="45"/>
        <v>20.035237100522203</v>
      </c>
      <c r="K133" s="28">
        <f t="shared" si="45"/>
        <v>19.880688868682626</v>
      </c>
      <c r="L133" s="28">
        <f t="shared" si="45"/>
        <v>19.73129462521125</v>
      </c>
      <c r="M133" s="28">
        <f t="shared" si="45"/>
        <v>19.587213497079695</v>
      </c>
      <c r="N133" s="28">
        <f t="shared" si="45"/>
        <v>19.44861592107601</v>
      </c>
      <c r="O133" s="28">
        <f t="shared" si="45"/>
        <v>19.31568431411152</v>
      </c>
      <c r="P133" s="28">
        <f t="shared" si="45"/>
        <v>19.18861378446623</v>
      </c>
      <c r="Q133" s="28">
        <f t="shared" si="45"/>
        <v>19.067612886459504</v>
      </c>
      <c r="R133" s="28">
        <f t="shared" si="45"/>
        <v>19.448965144188698</v>
      </c>
      <c r="S133" s="28">
        <f t="shared" si="45"/>
        <v>19.837944447072474</v>
      </c>
      <c r="T133" s="28">
        <f t="shared" si="45"/>
        <v>20.23470333601392</v>
      </c>
      <c r="U133" s="28">
        <f t="shared" si="45"/>
        <v>20.6393974027342</v>
      </c>
      <c r="V133" s="28">
        <f t="shared" si="45"/>
        <v>21.052185350788882</v>
      </c>
      <c r="W133" s="35">
        <f t="shared" si="45"/>
        <v>21.47322905780466</v>
      </c>
    </row>
    <row r="134" spans="1:23" ht="12.75">
      <c r="A134" s="10" t="s">
        <v>5</v>
      </c>
      <c r="B134" s="12" t="s">
        <v>40</v>
      </c>
      <c r="C134" s="28">
        <f aca="true" t="shared" si="46" ref="C134:W135">C35*C114</f>
        <v>29.783905720152354</v>
      </c>
      <c r="D134" s="28">
        <f t="shared" si="46"/>
        <v>28.890407999438555</v>
      </c>
      <c r="E134" s="28">
        <f t="shared" si="46"/>
        <v>28.023715988381802</v>
      </c>
      <c r="F134" s="28">
        <f t="shared" si="46"/>
        <v>23.820215693493914</v>
      </c>
      <c r="G134" s="28">
        <f t="shared" si="46"/>
        <v>20.24724272697399</v>
      </c>
      <c r="H134" s="28">
        <f t="shared" si="46"/>
        <v>19.639848199955836</v>
      </c>
      <c r="I134" s="28">
        <f t="shared" si="46"/>
        <v>19.431689947318677</v>
      </c>
      <c r="J134" s="28">
        <f t="shared" si="46"/>
        <v>19.225739639767028</v>
      </c>
      <c r="K134" s="28">
        <f t="shared" si="46"/>
        <v>19.021973962313538</v>
      </c>
      <c r="L134" s="28">
        <f t="shared" si="46"/>
        <v>18.820369852534924</v>
      </c>
      <c r="M134" s="28">
        <f t="shared" si="46"/>
        <v>18.620904498224647</v>
      </c>
      <c r="N134" s="28">
        <f t="shared" si="46"/>
        <v>18.423555335090573</v>
      </c>
      <c r="O134" s="28">
        <f t="shared" si="46"/>
        <v>18.22830004449817</v>
      </c>
      <c r="P134" s="28">
        <f t="shared" si="46"/>
        <v>18.035116551260387</v>
      </c>
      <c r="Q134" s="28">
        <f t="shared" si="46"/>
        <v>17.843983021474745</v>
      </c>
      <c r="R134" s="28">
        <f t="shared" si="46"/>
        <v>18.200862681904244</v>
      </c>
      <c r="S134" s="28">
        <f t="shared" si="46"/>
        <v>18.56487993554233</v>
      </c>
      <c r="T134" s="28">
        <f t="shared" si="46"/>
        <v>18.936177534253172</v>
      </c>
      <c r="U134" s="28">
        <f t="shared" si="46"/>
        <v>19.31490108493824</v>
      </c>
      <c r="V134" s="28">
        <f t="shared" si="46"/>
        <v>19.701199106637002</v>
      </c>
      <c r="W134" s="35">
        <f t="shared" si="46"/>
        <v>20.095223088769743</v>
      </c>
    </row>
    <row r="135" spans="1:23" ht="12.75">
      <c r="A135" s="10" t="s">
        <v>14</v>
      </c>
      <c r="B135" s="12" t="s">
        <v>40</v>
      </c>
      <c r="C135" s="28">
        <f t="shared" si="46"/>
        <v>0.5912644561415745</v>
      </c>
      <c r="D135" s="28">
        <f t="shared" si="46"/>
        <v>0.6149150343872376</v>
      </c>
      <c r="E135" s="28">
        <f t="shared" si="46"/>
        <v>0.6395116357627272</v>
      </c>
      <c r="F135" s="28">
        <f t="shared" si="46"/>
        <v>0.6650921011932363</v>
      </c>
      <c r="G135" s="28">
        <f t="shared" si="46"/>
        <v>0.6916957852409658</v>
      </c>
      <c r="H135" s="28">
        <f t="shared" si="46"/>
        <v>0.7193636166506044</v>
      </c>
      <c r="I135" s="28">
        <f t="shared" si="46"/>
        <v>0.7631009245429613</v>
      </c>
      <c r="J135" s="28">
        <f t="shared" si="46"/>
        <v>0.8094974607551735</v>
      </c>
      <c r="K135" s="28">
        <f t="shared" si="46"/>
        <v>0.8587149063690881</v>
      </c>
      <c r="L135" s="28">
        <f t="shared" si="46"/>
        <v>0.9109247726763289</v>
      </c>
      <c r="M135" s="28">
        <f t="shared" si="46"/>
        <v>0.9663089988550494</v>
      </c>
      <c r="N135" s="28">
        <f t="shared" si="46"/>
        <v>1.0250605859854363</v>
      </c>
      <c r="O135" s="28">
        <f t="shared" si="46"/>
        <v>1.0873842696133509</v>
      </c>
      <c r="P135" s="28">
        <f t="shared" si="46"/>
        <v>1.1534972332058429</v>
      </c>
      <c r="Q135" s="28">
        <f t="shared" si="46"/>
        <v>1.2236298649847581</v>
      </c>
      <c r="R135" s="28">
        <f t="shared" si="46"/>
        <v>1.2481024622844534</v>
      </c>
      <c r="S135" s="28">
        <f t="shared" si="46"/>
        <v>1.2730645115301424</v>
      </c>
      <c r="T135" s="28">
        <f t="shared" si="46"/>
        <v>1.2985258017607453</v>
      </c>
      <c r="U135" s="28">
        <f t="shared" si="46"/>
        <v>1.3244963177959603</v>
      </c>
      <c r="V135" s="28">
        <f t="shared" si="46"/>
        <v>1.3509862441518794</v>
      </c>
      <c r="W135" s="35">
        <f t="shared" si="46"/>
        <v>1.3780059690349171</v>
      </c>
    </row>
    <row r="136" spans="1:23" ht="12.75">
      <c r="A136" s="410"/>
      <c r="B136" s="411"/>
      <c r="C136" s="411"/>
      <c r="D136" s="411"/>
      <c r="E136" s="411"/>
      <c r="F136" s="411"/>
      <c r="G136" s="411"/>
      <c r="H136" s="411"/>
      <c r="I136" s="411"/>
      <c r="J136" s="411"/>
      <c r="K136" s="411"/>
      <c r="L136" s="411"/>
      <c r="M136" s="411"/>
      <c r="N136" s="411"/>
      <c r="O136" s="411"/>
      <c r="P136" s="411"/>
      <c r="Q136" s="411"/>
      <c r="R136" s="411"/>
      <c r="S136" s="411"/>
      <c r="T136" s="411"/>
      <c r="U136" s="411"/>
      <c r="V136" s="411"/>
      <c r="W136" s="412"/>
    </row>
    <row r="137" spans="1:23" s="1" customFormat="1" ht="12.75">
      <c r="A137" s="33" t="s">
        <v>44</v>
      </c>
      <c r="B137" s="14" t="s">
        <v>40</v>
      </c>
      <c r="C137" s="27">
        <f aca="true" t="shared" si="47" ref="C137:W138">C117-C127</f>
        <v>-79.27081720003198</v>
      </c>
      <c r="D137" s="27">
        <f t="shared" si="47"/>
        <v>-75.59915909205742</v>
      </c>
      <c r="E137" s="27">
        <f t="shared" si="47"/>
        <v>-59.207777344272785</v>
      </c>
      <c r="F137" s="27">
        <f t="shared" si="47"/>
        <v>-39.598103029089145</v>
      </c>
      <c r="G137" s="27">
        <f t="shared" si="47"/>
        <v>-19.52004634255522</v>
      </c>
      <c r="H137" s="27">
        <f t="shared" si="47"/>
        <v>1.3274633923265071</v>
      </c>
      <c r="I137" s="27">
        <f t="shared" si="47"/>
        <v>-3.1222401344579964</v>
      </c>
      <c r="J137" s="27">
        <f t="shared" si="47"/>
        <v>-7.638902943949432</v>
      </c>
      <c r="K137" s="27">
        <f t="shared" si="47"/>
        <v>0</v>
      </c>
      <c r="L137" s="27">
        <f t="shared" si="47"/>
        <v>-4.685659877401207</v>
      </c>
      <c r="M137" s="27">
        <f t="shared" si="47"/>
        <v>-9.444114302183408</v>
      </c>
      <c r="N137" s="27">
        <f t="shared" si="47"/>
        <v>0</v>
      </c>
      <c r="O137" s="27">
        <f t="shared" si="47"/>
        <v>-4.940629876735613</v>
      </c>
      <c r="P137" s="27">
        <f t="shared" si="47"/>
        <v>-9.960137016208222</v>
      </c>
      <c r="Q137" s="27">
        <f t="shared" si="47"/>
        <v>0</v>
      </c>
      <c r="R137" s="27">
        <f t="shared" si="47"/>
        <v>-5.2224674487519565</v>
      </c>
      <c r="S137" s="27">
        <f t="shared" si="47"/>
        <v>-10.549384246478951</v>
      </c>
      <c r="T137" s="27">
        <f t="shared" si="47"/>
        <v>0</v>
      </c>
      <c r="U137" s="27">
        <f t="shared" si="47"/>
        <v>-5.542124236355107</v>
      </c>
      <c r="V137" s="27">
        <f t="shared" si="47"/>
        <v>-11.195090957437401</v>
      </c>
      <c r="W137" s="34">
        <f t="shared" si="47"/>
        <v>0</v>
      </c>
    </row>
    <row r="138" spans="1:23" ht="12.75">
      <c r="A138" s="36" t="s">
        <v>39</v>
      </c>
      <c r="B138" s="12" t="s">
        <v>40</v>
      </c>
      <c r="C138" s="28">
        <f t="shared" si="47"/>
        <v>-61.0849289955421</v>
      </c>
      <c r="D138" s="28">
        <f t="shared" si="47"/>
        <v>-60.37817987978167</v>
      </c>
      <c r="E138" s="28">
        <f t="shared" si="47"/>
        <v>-47.20078038531449</v>
      </c>
      <c r="F138" s="28">
        <f t="shared" si="47"/>
        <v>-32.210196773819945</v>
      </c>
      <c r="G138" s="28">
        <f t="shared" si="47"/>
        <v>-16.13366185721037</v>
      </c>
      <c r="H138" s="28">
        <f t="shared" si="47"/>
        <v>1.2221571243095468</v>
      </c>
      <c r="I138" s="28">
        <f t="shared" si="47"/>
        <v>-2.8286715044748973</v>
      </c>
      <c r="J138" s="28">
        <f t="shared" si="47"/>
        <v>-6.960516705835005</v>
      </c>
      <c r="K138" s="28">
        <f t="shared" si="47"/>
        <v>0</v>
      </c>
      <c r="L138" s="28">
        <f t="shared" si="47"/>
        <v>-4.2987717474950955</v>
      </c>
      <c r="M138" s="28">
        <f t="shared" si="47"/>
        <v>-8.683518929940021</v>
      </c>
      <c r="N138" s="28">
        <f t="shared" si="47"/>
        <v>0</v>
      </c>
      <c r="O138" s="28">
        <f t="shared" si="47"/>
        <v>-4.5618909686157565</v>
      </c>
      <c r="P138" s="28">
        <f t="shared" si="47"/>
        <v>-9.215019756603823</v>
      </c>
      <c r="Q138" s="28">
        <f t="shared" si="47"/>
        <v>0</v>
      </c>
      <c r="R138" s="28">
        <f t="shared" si="47"/>
        <v>-4.8411151910227375</v>
      </c>
      <c r="S138" s="28">
        <f t="shared" si="47"/>
        <v>-9.779052685865992</v>
      </c>
      <c r="T138" s="28">
        <f t="shared" si="47"/>
        <v>0</v>
      </c>
      <c r="U138" s="28">
        <f t="shared" si="47"/>
        <v>-5.137430169634854</v>
      </c>
      <c r="V138" s="28">
        <f t="shared" si="47"/>
        <v>-10.377608942662448</v>
      </c>
      <c r="W138" s="35">
        <f t="shared" si="47"/>
        <v>0</v>
      </c>
    </row>
    <row r="139" spans="1:23" ht="12.75">
      <c r="A139" s="36" t="s">
        <v>43</v>
      </c>
      <c r="B139" s="12" t="s">
        <v>40</v>
      </c>
      <c r="C139" s="28">
        <f aca="true" t="shared" si="48" ref="C139:S139">C123-C133</f>
        <v>-18.185888204489892</v>
      </c>
      <c r="D139" s="28">
        <f t="shared" si="48"/>
        <v>-15.220979212275745</v>
      </c>
      <c r="E139" s="28">
        <f t="shared" si="48"/>
        <v>-12.006996958958315</v>
      </c>
      <c r="F139" s="28">
        <f t="shared" si="48"/>
        <v>-7.387906255269193</v>
      </c>
      <c r="G139" s="28">
        <f t="shared" si="48"/>
        <v>-3.3863844853448697</v>
      </c>
      <c r="H139" s="28">
        <f t="shared" si="48"/>
        <v>0.10530626801694254</v>
      </c>
      <c r="I139" s="28">
        <f t="shared" si="48"/>
        <v>-0.2935686299831026</v>
      </c>
      <c r="J139" s="28">
        <f t="shared" si="48"/>
        <v>-0.6783862381144239</v>
      </c>
      <c r="K139" s="28">
        <f t="shared" si="48"/>
        <v>0</v>
      </c>
      <c r="L139" s="28">
        <f t="shared" si="48"/>
        <v>-0.3868881299061009</v>
      </c>
      <c r="M139" s="28">
        <f t="shared" si="48"/>
        <v>-0.7605953722433867</v>
      </c>
      <c r="N139" s="28">
        <f t="shared" si="48"/>
        <v>0</v>
      </c>
      <c r="O139" s="28">
        <f t="shared" si="48"/>
        <v>-0.37873890811983557</v>
      </c>
      <c r="P139" s="28">
        <f t="shared" si="48"/>
        <v>-0.7451172596044202</v>
      </c>
      <c r="Q139" s="28">
        <f t="shared" si="48"/>
        <v>0</v>
      </c>
      <c r="R139" s="28">
        <f t="shared" si="48"/>
        <v>-0.3813522577291941</v>
      </c>
      <c r="S139" s="28">
        <f t="shared" si="48"/>
        <v>-0.7703315606129699</v>
      </c>
      <c r="T139" s="28">
        <f>T123-T133</f>
        <v>0</v>
      </c>
      <c r="U139" s="28">
        <f>U123-U133</f>
        <v>-0.40469406672028185</v>
      </c>
      <c r="V139" s="28">
        <f>V123-V133</f>
        <v>-0.8174820147749635</v>
      </c>
      <c r="W139" s="35">
        <f>W123-W133</f>
        <v>0</v>
      </c>
    </row>
    <row r="140" spans="1:23" ht="12.75">
      <c r="A140" s="410"/>
      <c r="B140" s="411"/>
      <c r="C140" s="411"/>
      <c r="D140" s="411"/>
      <c r="E140" s="411"/>
      <c r="F140" s="411"/>
      <c r="G140" s="411"/>
      <c r="H140" s="411"/>
      <c r="I140" s="411"/>
      <c r="J140" s="411"/>
      <c r="K140" s="411"/>
      <c r="L140" s="411"/>
      <c r="M140" s="411"/>
      <c r="N140" s="411"/>
      <c r="O140" s="411"/>
      <c r="P140" s="411"/>
      <c r="Q140" s="411"/>
      <c r="R140" s="411"/>
      <c r="S140" s="411"/>
      <c r="T140" s="411"/>
      <c r="U140" s="411"/>
      <c r="V140" s="411"/>
      <c r="W140" s="412"/>
    </row>
    <row r="141" spans="1:23" s="1" customFormat="1" ht="12.75">
      <c r="A141" s="37" t="s">
        <v>45</v>
      </c>
      <c r="B141" s="14" t="s">
        <v>40</v>
      </c>
      <c r="C141" s="27">
        <f aca="true" t="shared" si="49" ref="C141:W141">C142+C143</f>
        <v>11.277486557138339</v>
      </c>
      <c r="D141" s="27">
        <f t="shared" si="49"/>
        <v>12.975433237141793</v>
      </c>
      <c r="E141" s="27">
        <f t="shared" si="49"/>
        <v>13.590338023163833</v>
      </c>
      <c r="F141" s="27">
        <f t="shared" si="49"/>
        <v>13.9832421897347</v>
      </c>
      <c r="G141" s="27">
        <f t="shared" si="49"/>
        <v>14.582369578428292</v>
      </c>
      <c r="H141" s="27">
        <f t="shared" si="49"/>
        <v>15.695967465370767</v>
      </c>
      <c r="I141" s="27">
        <f t="shared" si="49"/>
        <v>15.656536756378628</v>
      </c>
      <c r="J141" s="27">
        <f t="shared" si="49"/>
        <v>15.618430759815675</v>
      </c>
      <c r="K141" s="27">
        <f t="shared" si="49"/>
        <v>16.437349337040477</v>
      </c>
      <c r="L141" s="27">
        <f t="shared" si="49"/>
        <v>16.399809570904054</v>
      </c>
      <c r="M141" s="27">
        <f t="shared" si="49"/>
        <v>16.363564384971234</v>
      </c>
      <c r="N141" s="27">
        <f t="shared" si="49"/>
        <v>17.328021504630385</v>
      </c>
      <c r="O141" s="27">
        <f t="shared" si="49"/>
        <v>17.292204568574483</v>
      </c>
      <c r="P141" s="27">
        <f t="shared" si="49"/>
        <v>17.257663146895393</v>
      </c>
      <c r="Q141" s="27">
        <f t="shared" si="49"/>
        <v>18.278636070631844</v>
      </c>
      <c r="R141" s="27">
        <f t="shared" si="49"/>
        <v>18.278636070631844</v>
      </c>
      <c r="S141" s="27">
        <f t="shared" si="49"/>
        <v>18.278636070631844</v>
      </c>
      <c r="T141" s="27">
        <f t="shared" si="49"/>
        <v>19.397434827243078</v>
      </c>
      <c r="U141" s="27">
        <f t="shared" si="49"/>
        <v>19.397434827243078</v>
      </c>
      <c r="V141" s="27">
        <f t="shared" si="49"/>
        <v>19.397434827243078</v>
      </c>
      <c r="W141" s="34">
        <f t="shared" si="49"/>
        <v>20.584713018148967</v>
      </c>
    </row>
    <row r="142" spans="1:23" ht="12.75">
      <c r="A142" s="36" t="s">
        <v>39</v>
      </c>
      <c r="B142" s="12" t="s">
        <v>40</v>
      </c>
      <c r="C142" s="28">
        <f aca="true" t="shared" si="50" ref="C142:N142">C118*$P$95</f>
        <v>10.424236819112055</v>
      </c>
      <c r="D142" s="28">
        <f t="shared" si="50"/>
        <v>11.97552916963329</v>
      </c>
      <c r="E142" s="28">
        <f t="shared" si="50"/>
        <v>12.424401876600797</v>
      </c>
      <c r="F142" s="28">
        <f t="shared" si="50"/>
        <v>12.786424081975444</v>
      </c>
      <c r="G142" s="28">
        <f t="shared" si="50"/>
        <v>13.353690796547385</v>
      </c>
      <c r="H142" s="28">
        <f t="shared" si="50"/>
        <v>14.26345119944713</v>
      </c>
      <c r="I142" s="28">
        <f t="shared" si="50"/>
        <v>14.26345119944713</v>
      </c>
      <c r="J142" s="28">
        <f t="shared" si="50"/>
        <v>14.26345119944713</v>
      </c>
      <c r="K142" s="28">
        <f t="shared" si="50"/>
        <v>15.045701116232692</v>
      </c>
      <c r="L142" s="28">
        <f t="shared" si="50"/>
        <v>15.045701116232692</v>
      </c>
      <c r="M142" s="28">
        <f t="shared" si="50"/>
        <v>15.045701116232692</v>
      </c>
      <c r="N142" s="28">
        <f t="shared" si="50"/>
        <v>15.966618390155064</v>
      </c>
      <c r="O142" s="28">
        <f>O118*$P$95</f>
        <v>15.966618390155064</v>
      </c>
      <c r="P142" s="28">
        <f aca="true" t="shared" si="51" ref="P142:W142">P118*$P$95</f>
        <v>15.966618390155064</v>
      </c>
      <c r="Q142" s="28">
        <f t="shared" si="51"/>
        <v>16.943903168579677</v>
      </c>
      <c r="R142" s="28">
        <f t="shared" si="51"/>
        <v>16.943903168579677</v>
      </c>
      <c r="S142" s="28">
        <f t="shared" si="51"/>
        <v>16.943903168579677</v>
      </c>
      <c r="T142" s="28">
        <f t="shared" si="51"/>
        <v>17.981005593722102</v>
      </c>
      <c r="U142" s="28">
        <f t="shared" si="51"/>
        <v>17.981005593722102</v>
      </c>
      <c r="V142" s="28">
        <f t="shared" si="51"/>
        <v>17.981005593722102</v>
      </c>
      <c r="W142" s="35">
        <f t="shared" si="51"/>
        <v>19.081586984102643</v>
      </c>
    </row>
    <row r="143" spans="1:23" ht="12.75">
      <c r="A143" s="36" t="s">
        <v>43</v>
      </c>
      <c r="B143" s="12" t="s">
        <v>40</v>
      </c>
      <c r="C143" s="28">
        <f aca="true" t="shared" si="52" ref="C143:N143">C123*$P$95</f>
        <v>0.8532497380262827</v>
      </c>
      <c r="D143" s="28">
        <f t="shared" si="52"/>
        <v>0.9999040675085034</v>
      </c>
      <c r="E143" s="28">
        <f t="shared" si="52"/>
        <v>1.1659361465630351</v>
      </c>
      <c r="F143" s="28">
        <f t="shared" si="52"/>
        <v>1.196818107759257</v>
      </c>
      <c r="G143" s="28">
        <f t="shared" si="52"/>
        <v>1.2286787818809062</v>
      </c>
      <c r="H143" s="28">
        <f t="shared" si="52"/>
        <v>1.4325162659236368</v>
      </c>
      <c r="I143" s="28">
        <f t="shared" si="52"/>
        <v>1.3930855569314977</v>
      </c>
      <c r="J143" s="28">
        <f t="shared" si="52"/>
        <v>1.3549795603685446</v>
      </c>
      <c r="K143" s="28">
        <f t="shared" si="52"/>
        <v>1.3916482208077838</v>
      </c>
      <c r="L143" s="28">
        <f t="shared" si="52"/>
        <v>1.3541084546713607</v>
      </c>
      <c r="M143" s="28">
        <f t="shared" si="52"/>
        <v>1.3178632687385416</v>
      </c>
      <c r="N143" s="28">
        <f t="shared" si="52"/>
        <v>1.3614031144753207</v>
      </c>
      <c r="O143" s="28">
        <f>O123*$P$95</f>
        <v>1.325586178419418</v>
      </c>
      <c r="P143" s="28">
        <f aca="true" t="shared" si="53" ref="P143:W143">P123*$P$95</f>
        <v>1.291044756740327</v>
      </c>
      <c r="Q143" s="28">
        <f t="shared" si="53"/>
        <v>1.3347329020521654</v>
      </c>
      <c r="R143" s="28">
        <f t="shared" si="53"/>
        <v>1.3347329020521654</v>
      </c>
      <c r="S143" s="28">
        <f t="shared" si="53"/>
        <v>1.3347329020521654</v>
      </c>
      <c r="T143" s="28">
        <f t="shared" si="53"/>
        <v>1.4164292335209745</v>
      </c>
      <c r="U143" s="28">
        <f t="shared" si="53"/>
        <v>1.4164292335209745</v>
      </c>
      <c r="V143" s="28">
        <f t="shared" si="53"/>
        <v>1.4164292335209745</v>
      </c>
      <c r="W143" s="35">
        <f t="shared" si="53"/>
        <v>1.5031260340463262</v>
      </c>
    </row>
    <row r="144" spans="1:23" ht="12.75">
      <c r="A144" s="410"/>
      <c r="B144" s="411"/>
      <c r="C144" s="411"/>
      <c r="D144" s="411"/>
      <c r="E144" s="411"/>
      <c r="F144" s="411"/>
      <c r="G144" s="411"/>
      <c r="H144" s="411"/>
      <c r="I144" s="411"/>
      <c r="J144" s="411"/>
      <c r="K144" s="411"/>
      <c r="L144" s="411"/>
      <c r="M144" s="411"/>
      <c r="N144" s="411"/>
      <c r="O144" s="411"/>
      <c r="P144" s="411"/>
      <c r="Q144" s="411"/>
      <c r="R144" s="411"/>
      <c r="S144" s="411"/>
      <c r="T144" s="411"/>
      <c r="U144" s="411"/>
      <c r="V144" s="411"/>
      <c r="W144" s="412"/>
    </row>
    <row r="145" spans="1:23" s="1" customFormat="1" ht="12.75">
      <c r="A145" s="33" t="s">
        <v>47</v>
      </c>
      <c r="B145" s="14" t="s">
        <v>40</v>
      </c>
      <c r="C145" s="27">
        <f>C137+C141</f>
        <v>-67.99333064289365</v>
      </c>
      <c r="D145" s="27">
        <f aca="true" t="shared" si="54" ref="D145:W147">D137+D141</f>
        <v>-62.62372585491563</v>
      </c>
      <c r="E145" s="27">
        <f t="shared" si="54"/>
        <v>-45.617439321108954</v>
      </c>
      <c r="F145" s="27">
        <f t="shared" si="54"/>
        <v>-25.614860839354446</v>
      </c>
      <c r="G145" s="27">
        <f t="shared" si="54"/>
        <v>-4.937676764126927</v>
      </c>
      <c r="H145" s="27">
        <f t="shared" si="54"/>
        <v>17.023430857697274</v>
      </c>
      <c r="I145" s="27">
        <f t="shared" si="54"/>
        <v>12.534296621920632</v>
      </c>
      <c r="J145" s="27">
        <f t="shared" si="54"/>
        <v>7.979527815866243</v>
      </c>
      <c r="K145" s="27">
        <f t="shared" si="54"/>
        <v>16.437349337040477</v>
      </c>
      <c r="L145" s="27">
        <f t="shared" si="54"/>
        <v>11.714149693502847</v>
      </c>
      <c r="M145" s="27">
        <f t="shared" si="54"/>
        <v>6.919450082787826</v>
      </c>
      <c r="N145" s="27">
        <f t="shared" si="54"/>
        <v>17.328021504630385</v>
      </c>
      <c r="O145" s="27">
        <f t="shared" si="54"/>
        <v>12.35157469183887</v>
      </c>
      <c r="P145" s="27">
        <f t="shared" si="54"/>
        <v>7.297526130687171</v>
      </c>
      <c r="Q145" s="27">
        <f t="shared" si="54"/>
        <v>18.278636070631844</v>
      </c>
      <c r="R145" s="27">
        <f t="shared" si="54"/>
        <v>13.056168621879888</v>
      </c>
      <c r="S145" s="27">
        <f t="shared" si="54"/>
        <v>7.729251824152893</v>
      </c>
      <c r="T145" s="27">
        <f t="shared" si="54"/>
        <v>19.397434827243078</v>
      </c>
      <c r="U145" s="27">
        <f t="shared" si="54"/>
        <v>13.85531059088797</v>
      </c>
      <c r="V145" s="27">
        <f t="shared" si="54"/>
        <v>8.202343869805677</v>
      </c>
      <c r="W145" s="34">
        <f t="shared" si="54"/>
        <v>20.584713018148967</v>
      </c>
    </row>
    <row r="146" spans="1:23" ht="12.75">
      <c r="A146" s="36" t="s">
        <v>39</v>
      </c>
      <c r="B146" s="12" t="s">
        <v>40</v>
      </c>
      <c r="C146" s="28">
        <f aca="true" t="shared" si="55" ref="C146:R147">C138+C142</f>
        <v>-50.66069217643005</v>
      </c>
      <c r="D146" s="28">
        <f t="shared" si="55"/>
        <v>-48.40265071014838</v>
      </c>
      <c r="E146" s="28">
        <f t="shared" si="55"/>
        <v>-34.77637850871369</v>
      </c>
      <c r="F146" s="28">
        <f t="shared" si="55"/>
        <v>-19.4237726918445</v>
      </c>
      <c r="G146" s="28">
        <f t="shared" si="55"/>
        <v>-2.7799710606629855</v>
      </c>
      <c r="H146" s="28">
        <f t="shared" si="55"/>
        <v>15.485608323756678</v>
      </c>
      <c r="I146" s="28">
        <f t="shared" si="55"/>
        <v>11.434779694972233</v>
      </c>
      <c r="J146" s="28">
        <f t="shared" si="55"/>
        <v>7.302934493612126</v>
      </c>
      <c r="K146" s="28">
        <f t="shared" si="55"/>
        <v>15.045701116232692</v>
      </c>
      <c r="L146" s="28">
        <f t="shared" si="55"/>
        <v>10.746929368737597</v>
      </c>
      <c r="M146" s="28">
        <f t="shared" si="55"/>
        <v>6.362182186292671</v>
      </c>
      <c r="N146" s="28">
        <f t="shared" si="55"/>
        <v>15.966618390155064</v>
      </c>
      <c r="O146" s="28">
        <f t="shared" si="55"/>
        <v>11.404727421539308</v>
      </c>
      <c r="P146" s="28">
        <f t="shared" si="55"/>
        <v>6.751598633551241</v>
      </c>
      <c r="Q146" s="28">
        <f t="shared" si="55"/>
        <v>16.943903168579677</v>
      </c>
      <c r="R146" s="28">
        <f t="shared" si="55"/>
        <v>12.10278797755694</v>
      </c>
      <c r="S146" s="28">
        <f t="shared" si="54"/>
        <v>7.164850482713685</v>
      </c>
      <c r="T146" s="28">
        <f t="shared" si="54"/>
        <v>17.981005593722102</v>
      </c>
      <c r="U146" s="28">
        <f t="shared" si="54"/>
        <v>12.843575424087248</v>
      </c>
      <c r="V146" s="28">
        <f t="shared" si="54"/>
        <v>7.603396651059654</v>
      </c>
      <c r="W146" s="35">
        <f t="shared" si="54"/>
        <v>19.081586984102643</v>
      </c>
    </row>
    <row r="147" spans="1:23" ht="12.75">
      <c r="A147" s="36" t="s">
        <v>43</v>
      </c>
      <c r="B147" s="12" t="s">
        <v>40</v>
      </c>
      <c r="C147" s="28">
        <f t="shared" si="55"/>
        <v>-17.33263846646361</v>
      </c>
      <c r="D147" s="28">
        <f t="shared" si="54"/>
        <v>-14.221075144767243</v>
      </c>
      <c r="E147" s="28">
        <f t="shared" si="54"/>
        <v>-10.841060812395279</v>
      </c>
      <c r="F147" s="28">
        <f t="shared" si="54"/>
        <v>-6.191088147509936</v>
      </c>
      <c r="G147" s="28">
        <f t="shared" si="54"/>
        <v>-2.1577057034639635</v>
      </c>
      <c r="H147" s="28">
        <f t="shared" si="54"/>
        <v>1.5378225339405793</v>
      </c>
      <c r="I147" s="28">
        <f t="shared" si="54"/>
        <v>1.099516926948395</v>
      </c>
      <c r="J147" s="28">
        <f t="shared" si="54"/>
        <v>0.6765933222541207</v>
      </c>
      <c r="K147" s="28">
        <f t="shared" si="54"/>
        <v>1.3916482208077838</v>
      </c>
      <c r="L147" s="28">
        <f t="shared" si="54"/>
        <v>0.9672203247652598</v>
      </c>
      <c r="M147" s="28">
        <f t="shared" si="54"/>
        <v>0.557267896495155</v>
      </c>
      <c r="N147" s="28">
        <f t="shared" si="54"/>
        <v>1.3614031144753207</v>
      </c>
      <c r="O147" s="28">
        <f t="shared" si="54"/>
        <v>0.9468472702995825</v>
      </c>
      <c r="P147" s="28">
        <f t="shared" si="54"/>
        <v>0.5459274971359067</v>
      </c>
      <c r="Q147" s="28">
        <f t="shared" si="54"/>
        <v>1.3347329020521654</v>
      </c>
      <c r="R147" s="28">
        <f t="shared" si="54"/>
        <v>0.9533806443229713</v>
      </c>
      <c r="S147" s="28">
        <f t="shared" si="54"/>
        <v>0.5644013414391955</v>
      </c>
      <c r="T147" s="28">
        <f t="shared" si="54"/>
        <v>1.4164292335209745</v>
      </c>
      <c r="U147" s="28">
        <f t="shared" si="54"/>
        <v>1.0117351668006926</v>
      </c>
      <c r="V147" s="28">
        <f t="shared" si="54"/>
        <v>0.598947218746011</v>
      </c>
      <c r="W147" s="35">
        <f t="shared" si="54"/>
        <v>1.5031260340463262</v>
      </c>
    </row>
    <row r="148" spans="1:23" ht="12.75">
      <c r="A148" s="410"/>
      <c r="B148" s="411"/>
      <c r="C148" s="411"/>
      <c r="D148" s="411"/>
      <c r="E148" s="411"/>
      <c r="F148" s="411"/>
      <c r="G148" s="411"/>
      <c r="H148" s="411"/>
      <c r="I148" s="411"/>
      <c r="J148" s="411"/>
      <c r="K148" s="411"/>
      <c r="L148" s="411"/>
      <c r="M148" s="411"/>
      <c r="N148" s="411"/>
      <c r="O148" s="411"/>
      <c r="P148" s="411"/>
      <c r="Q148" s="411"/>
      <c r="R148" s="411"/>
      <c r="S148" s="411"/>
      <c r="T148" s="411"/>
      <c r="U148" s="411"/>
      <c r="V148" s="411"/>
      <c r="W148" s="412"/>
    </row>
    <row r="149" spans="1:23" s="1" customFormat="1" ht="13.5" thickBot="1">
      <c r="A149" s="38" t="s">
        <v>48</v>
      </c>
      <c r="B149" s="39" t="s">
        <v>40</v>
      </c>
      <c r="C149" s="40">
        <f>C145</f>
        <v>-67.99333064289365</v>
      </c>
      <c r="D149" s="40">
        <f>C149+D145</f>
        <v>-130.61705649780927</v>
      </c>
      <c r="E149" s="40">
        <f aca="true" t="shared" si="56" ref="E149:W149">D149+E145</f>
        <v>-176.23449581891822</v>
      </c>
      <c r="F149" s="40">
        <f t="shared" si="56"/>
        <v>-201.84935665827265</v>
      </c>
      <c r="G149" s="40">
        <f t="shared" si="56"/>
        <v>-206.7870334223996</v>
      </c>
      <c r="H149" s="40">
        <f t="shared" si="56"/>
        <v>-189.76360256470232</v>
      </c>
      <c r="I149" s="40">
        <f t="shared" si="56"/>
        <v>-177.2293059427817</v>
      </c>
      <c r="J149" s="40">
        <f t="shared" si="56"/>
        <v>-169.24977812691546</v>
      </c>
      <c r="K149" s="40">
        <f t="shared" si="56"/>
        <v>-152.81242878987499</v>
      </c>
      <c r="L149" s="40">
        <f t="shared" si="56"/>
        <v>-141.09827909637215</v>
      </c>
      <c r="M149" s="40">
        <f t="shared" si="56"/>
        <v>-134.17882901358433</v>
      </c>
      <c r="N149" s="40">
        <f t="shared" si="56"/>
        <v>-116.85080750895395</v>
      </c>
      <c r="O149" s="40">
        <f t="shared" si="56"/>
        <v>-104.49923281711509</v>
      </c>
      <c r="P149" s="40">
        <f t="shared" si="56"/>
        <v>-97.20170668642791</v>
      </c>
      <c r="Q149" s="40">
        <f t="shared" si="56"/>
        <v>-78.92307061579606</v>
      </c>
      <c r="R149" s="40">
        <f t="shared" si="56"/>
        <v>-65.86690199391617</v>
      </c>
      <c r="S149" s="40">
        <f t="shared" si="56"/>
        <v>-58.137650169763276</v>
      </c>
      <c r="T149" s="40">
        <f t="shared" si="56"/>
        <v>-38.7402153425202</v>
      </c>
      <c r="U149" s="40">
        <f t="shared" si="56"/>
        <v>-24.88490475163223</v>
      </c>
      <c r="V149" s="40">
        <f t="shared" si="56"/>
        <v>-16.682560881826554</v>
      </c>
      <c r="W149" s="41">
        <f t="shared" si="56"/>
        <v>3.902152136322414</v>
      </c>
    </row>
    <row r="150" spans="1:23" s="1" customFormat="1" ht="12.75">
      <c r="A150" s="413" t="s">
        <v>102</v>
      </c>
      <c r="B150" s="414"/>
      <c r="C150" s="414"/>
      <c r="D150" s="414"/>
      <c r="E150" s="414"/>
      <c r="F150" s="414"/>
      <c r="G150" s="414"/>
      <c r="H150" s="414"/>
      <c r="I150" s="414"/>
      <c r="J150" s="414"/>
      <c r="K150" s="414"/>
      <c r="L150" s="414"/>
      <c r="M150" s="414"/>
      <c r="N150" s="414"/>
      <c r="O150" s="414"/>
      <c r="P150" s="414"/>
      <c r="Q150" s="414"/>
      <c r="R150" s="414"/>
      <c r="S150" s="414"/>
      <c r="T150" s="414"/>
      <c r="U150" s="414"/>
      <c r="V150" s="414"/>
      <c r="W150" s="415"/>
    </row>
    <row r="151" spans="1:23" s="1" customFormat="1" ht="12.75">
      <c r="A151" s="49"/>
      <c r="B151" s="23"/>
      <c r="C151" s="50"/>
      <c r="D151" s="50"/>
      <c r="E151" s="50"/>
      <c r="F151" s="50"/>
      <c r="G151" s="50"/>
      <c r="H151" s="50"/>
      <c r="I151" s="50"/>
      <c r="J151" s="50"/>
      <c r="K151" s="50"/>
      <c r="L151" s="50"/>
      <c r="M151" s="50"/>
      <c r="N151" s="50"/>
      <c r="O151" s="50"/>
      <c r="P151" s="50"/>
      <c r="Q151" s="50"/>
      <c r="R151" s="50"/>
      <c r="S151" s="50"/>
      <c r="T151" s="50"/>
      <c r="U151" s="50"/>
      <c r="V151" s="50"/>
      <c r="W151" s="50"/>
    </row>
    <row r="152" spans="6:15" ht="13.5" thickBot="1">
      <c r="F152" s="2" t="s">
        <v>62</v>
      </c>
      <c r="H152" s="2" t="s">
        <v>63</v>
      </c>
      <c r="J152" s="438" t="s">
        <v>69</v>
      </c>
      <c r="K152" s="438"/>
      <c r="L152" s="438"/>
      <c r="M152" s="438"/>
      <c r="N152" s="438"/>
      <c r="O152" s="438"/>
    </row>
    <row r="153" spans="1:15" ht="64.5" thickTop="1">
      <c r="A153" s="2" t="s">
        <v>57</v>
      </c>
      <c r="B153" s="2" t="s">
        <v>58</v>
      </c>
      <c r="D153" s="284">
        <v>0.03</v>
      </c>
      <c r="F153" s="2" t="s">
        <v>35</v>
      </c>
      <c r="H153" s="408" t="s">
        <v>84</v>
      </c>
      <c r="I153" s="408"/>
      <c r="J153" s="52">
        <v>25</v>
      </c>
      <c r="K153" s="47" t="s">
        <v>65</v>
      </c>
      <c r="L153" s="47" t="s">
        <v>66</v>
      </c>
      <c r="M153" s="47" t="s">
        <v>67</v>
      </c>
      <c r="N153" s="47" t="s">
        <v>195</v>
      </c>
      <c r="O153" s="48" t="s">
        <v>223</v>
      </c>
    </row>
    <row r="154" spans="2:15" ht="12.75">
      <c r="B154" s="2" t="s">
        <v>59</v>
      </c>
      <c r="D154" s="17">
        <v>0.15</v>
      </c>
      <c r="H154" s="2" t="s">
        <v>68</v>
      </c>
      <c r="J154" s="17">
        <v>0.05</v>
      </c>
      <c r="K154" s="286">
        <f>'ERR &amp; Sensitivity Analysis'!G12</f>
        <v>89268</v>
      </c>
      <c r="L154" s="4">
        <v>1160.4786206896551</v>
      </c>
      <c r="M154" s="4">
        <v>11033.333333333334</v>
      </c>
      <c r="N154" s="4">
        <v>2000</v>
      </c>
      <c r="O154" s="17">
        <v>0.12</v>
      </c>
    </row>
    <row r="155" spans="2:15" ht="12.75">
      <c r="B155" s="2" t="s">
        <v>183</v>
      </c>
      <c r="D155" s="17">
        <v>0.09</v>
      </c>
      <c r="E155" s="2" t="s">
        <v>188</v>
      </c>
      <c r="G155" s="2">
        <v>10</v>
      </c>
      <c r="J155" s="17"/>
      <c r="K155" s="4"/>
      <c r="L155" s="4"/>
      <c r="M155" s="4"/>
      <c r="N155" s="51"/>
      <c r="O155" s="51"/>
    </row>
    <row r="156" spans="2:15" ht="12.75">
      <c r="B156" s="2" t="s">
        <v>186</v>
      </c>
      <c r="D156" s="17">
        <v>0.06</v>
      </c>
      <c r="E156" s="2" t="s">
        <v>189</v>
      </c>
      <c r="G156" s="2">
        <v>4</v>
      </c>
      <c r="J156" s="17"/>
      <c r="K156" s="4"/>
      <c r="L156" s="4"/>
      <c r="M156" s="4"/>
      <c r="N156" s="51"/>
      <c r="O156" s="51"/>
    </row>
    <row r="157" spans="1:23" ht="15">
      <c r="A157" s="409" t="s">
        <v>103</v>
      </c>
      <c r="B157" s="409"/>
      <c r="C157" s="409"/>
      <c r="D157" s="409"/>
      <c r="E157" s="409"/>
      <c r="F157" s="409"/>
      <c r="G157" s="409"/>
      <c r="H157" s="409"/>
      <c r="I157" s="409"/>
      <c r="J157" s="409"/>
      <c r="K157" s="409"/>
      <c r="L157" s="409"/>
      <c r="M157" s="409"/>
      <c r="N157" s="409"/>
      <c r="O157" s="409"/>
      <c r="P157" s="409"/>
      <c r="Q157" s="409"/>
      <c r="R157" s="409"/>
      <c r="S157" s="409"/>
      <c r="T157" s="409"/>
      <c r="U157" s="409"/>
      <c r="V157" s="409"/>
      <c r="W157" s="409"/>
    </row>
    <row r="158" spans="1:25" ht="12.75">
      <c r="A158" s="46"/>
      <c r="B158" s="14" t="s">
        <v>3</v>
      </c>
      <c r="C158" s="14">
        <v>2007</v>
      </c>
      <c r="D158" s="14">
        <f>C158+1</f>
        <v>2008</v>
      </c>
      <c r="E158" s="14">
        <f aca="true" t="shared" si="57" ref="E158:W158">D158+1</f>
        <v>2009</v>
      </c>
      <c r="F158" s="14">
        <f t="shared" si="57"/>
        <v>2010</v>
      </c>
      <c r="G158" s="14">
        <f t="shared" si="57"/>
        <v>2011</v>
      </c>
      <c r="H158" s="14">
        <f t="shared" si="57"/>
        <v>2012</v>
      </c>
      <c r="I158" s="14">
        <f t="shared" si="57"/>
        <v>2013</v>
      </c>
      <c r="J158" s="14">
        <f t="shared" si="57"/>
        <v>2014</v>
      </c>
      <c r="K158" s="14">
        <f t="shared" si="57"/>
        <v>2015</v>
      </c>
      <c r="L158" s="14">
        <f t="shared" si="57"/>
        <v>2016</v>
      </c>
      <c r="M158" s="14">
        <f t="shared" si="57"/>
        <v>2017</v>
      </c>
      <c r="N158" s="14">
        <f t="shared" si="57"/>
        <v>2018</v>
      </c>
      <c r="O158" s="14">
        <f t="shared" si="57"/>
        <v>2019</v>
      </c>
      <c r="P158" s="14">
        <f t="shared" si="57"/>
        <v>2020</v>
      </c>
      <c r="Q158" s="14">
        <f t="shared" si="57"/>
        <v>2021</v>
      </c>
      <c r="R158" s="14">
        <f t="shared" si="57"/>
        <v>2022</v>
      </c>
      <c r="S158" s="14">
        <f t="shared" si="57"/>
        <v>2023</v>
      </c>
      <c r="T158" s="14">
        <f>S158+1</f>
        <v>2024</v>
      </c>
      <c r="U158" s="14">
        <f t="shared" si="57"/>
        <v>2025</v>
      </c>
      <c r="V158" s="14">
        <f t="shared" si="57"/>
        <v>2026</v>
      </c>
      <c r="W158" s="14">
        <f t="shared" si="57"/>
        <v>2027</v>
      </c>
      <c r="Y158" s="107" t="s">
        <v>35</v>
      </c>
    </row>
    <row r="159" spans="1:23" ht="12.75">
      <c r="A159" s="368" t="s">
        <v>315</v>
      </c>
      <c r="B159" s="368"/>
      <c r="C159" s="368"/>
      <c r="D159" s="368"/>
      <c r="E159" s="368"/>
      <c r="F159" s="368"/>
      <c r="G159" s="368"/>
      <c r="H159" s="368"/>
      <c r="I159" s="368"/>
      <c r="J159" s="368"/>
      <c r="K159" s="368"/>
      <c r="L159" s="368"/>
      <c r="M159" s="368"/>
      <c r="N159" s="368"/>
      <c r="O159" s="368"/>
      <c r="P159" s="368"/>
      <c r="Q159" s="368"/>
      <c r="R159" s="368"/>
      <c r="S159" s="368"/>
      <c r="T159" s="368"/>
      <c r="U159" s="368"/>
      <c r="V159" s="368"/>
      <c r="W159" s="368"/>
    </row>
    <row r="160" spans="1:23" s="96" customFormat="1" ht="12.75">
      <c r="A160" s="434" t="s">
        <v>357</v>
      </c>
      <c r="B160" s="434"/>
      <c r="C160" s="434"/>
      <c r="D160" s="434"/>
      <c r="E160" s="434"/>
      <c r="F160" s="434"/>
      <c r="G160" s="434"/>
      <c r="H160" s="434"/>
      <c r="I160" s="434"/>
      <c r="J160" s="434"/>
      <c r="K160" s="434"/>
      <c r="L160" s="434"/>
      <c r="M160" s="434"/>
      <c r="N160" s="434"/>
      <c r="O160" s="434"/>
      <c r="P160" s="434"/>
      <c r="Q160" s="434"/>
      <c r="R160" s="434"/>
      <c r="S160" s="434"/>
      <c r="T160" s="434"/>
      <c r="U160" s="434"/>
      <c r="V160" s="434"/>
      <c r="W160" s="434"/>
    </row>
    <row r="161" spans="1:23" s="1" customFormat="1" ht="12.75">
      <c r="A161" s="355" t="s">
        <v>358</v>
      </c>
      <c r="B161" s="104" t="s">
        <v>40</v>
      </c>
      <c r="C161" s="104"/>
      <c r="D161" s="104">
        <v>9.55</v>
      </c>
      <c r="E161" s="104">
        <v>7</v>
      </c>
      <c r="F161" s="104">
        <v>54.58</v>
      </c>
      <c r="G161" s="104">
        <v>54.44</v>
      </c>
      <c r="H161" s="104">
        <v>23</v>
      </c>
      <c r="I161" s="104">
        <v>13.2</v>
      </c>
      <c r="J161" s="104">
        <v>13.2</v>
      </c>
      <c r="K161" s="104">
        <v>19.8</v>
      </c>
      <c r="L161" s="104">
        <v>13.2</v>
      </c>
      <c r="M161" s="104">
        <v>26.4</v>
      </c>
      <c r="N161" s="104">
        <v>13.2</v>
      </c>
      <c r="O161" s="104">
        <v>13.2</v>
      </c>
      <c r="P161" s="104">
        <v>33</v>
      </c>
      <c r="Q161" s="104">
        <v>13.2</v>
      </c>
      <c r="R161" s="104">
        <v>0</v>
      </c>
      <c r="S161" s="104">
        <v>0</v>
      </c>
      <c r="T161" s="104">
        <v>0</v>
      </c>
      <c r="U161" s="104">
        <v>0</v>
      </c>
      <c r="V161" s="104">
        <v>0</v>
      </c>
      <c r="W161" s="104">
        <v>0</v>
      </c>
    </row>
    <row r="162" spans="1:23" s="96" customFormat="1" ht="12.75">
      <c r="A162" s="97" t="s">
        <v>76</v>
      </c>
      <c r="B162" s="98" t="s">
        <v>40</v>
      </c>
      <c r="C162" s="98"/>
      <c r="D162" s="98">
        <f>D161</f>
        <v>9.55</v>
      </c>
      <c r="E162" s="98">
        <f>D162+E161</f>
        <v>16.55</v>
      </c>
      <c r="F162" s="98">
        <f aca="true" t="shared" si="58" ref="F162:W162">E162+F161</f>
        <v>71.13</v>
      </c>
      <c r="G162" s="98">
        <f t="shared" si="58"/>
        <v>125.57</v>
      </c>
      <c r="H162" s="98">
        <f t="shared" si="58"/>
        <v>148.57</v>
      </c>
      <c r="I162" s="356">
        <f t="shared" si="58"/>
        <v>161.76999999999998</v>
      </c>
      <c r="J162" s="98">
        <f t="shared" si="58"/>
        <v>174.96999999999997</v>
      </c>
      <c r="K162" s="356">
        <f t="shared" si="58"/>
        <v>194.76999999999998</v>
      </c>
      <c r="L162" s="98">
        <f t="shared" si="58"/>
        <v>207.96999999999997</v>
      </c>
      <c r="M162" s="98">
        <f t="shared" si="58"/>
        <v>234.36999999999998</v>
      </c>
      <c r="N162" s="98">
        <f t="shared" si="58"/>
        <v>247.56999999999996</v>
      </c>
      <c r="O162" s="98">
        <f t="shared" si="58"/>
        <v>260.77</v>
      </c>
      <c r="P162" s="98">
        <f t="shared" si="58"/>
        <v>293.77</v>
      </c>
      <c r="Q162" s="98">
        <f t="shared" si="58"/>
        <v>306.96999999999997</v>
      </c>
      <c r="R162" s="98">
        <f t="shared" si="58"/>
        <v>306.96999999999997</v>
      </c>
      <c r="S162" s="98">
        <f t="shared" si="58"/>
        <v>306.96999999999997</v>
      </c>
      <c r="T162" s="98">
        <f t="shared" si="58"/>
        <v>306.96999999999997</v>
      </c>
      <c r="U162" s="98">
        <f t="shared" si="58"/>
        <v>306.96999999999997</v>
      </c>
      <c r="V162" s="98">
        <f t="shared" si="58"/>
        <v>306.96999999999997</v>
      </c>
      <c r="W162" s="98">
        <f t="shared" si="58"/>
        <v>306.96999999999997</v>
      </c>
    </row>
    <row r="163" spans="1:23" s="96" customFormat="1" ht="12.75">
      <c r="A163" s="435" t="s">
        <v>64</v>
      </c>
      <c r="B163" s="436"/>
      <c r="C163" s="436"/>
      <c r="D163" s="436"/>
      <c r="E163" s="436"/>
      <c r="F163" s="436"/>
      <c r="G163" s="436"/>
      <c r="H163" s="436"/>
      <c r="I163" s="436"/>
      <c r="J163" s="436"/>
      <c r="K163" s="436"/>
      <c r="L163" s="436"/>
      <c r="M163" s="436"/>
      <c r="N163" s="436"/>
      <c r="O163" s="436"/>
      <c r="P163" s="436"/>
      <c r="Q163" s="436"/>
      <c r="R163" s="436"/>
      <c r="S163" s="436"/>
      <c r="T163" s="436"/>
      <c r="U163" s="436"/>
      <c r="V163" s="436"/>
      <c r="W163" s="437"/>
    </row>
    <row r="164" spans="1:23" s="96" customFormat="1" ht="12.75">
      <c r="A164" s="100" t="s">
        <v>313</v>
      </c>
      <c r="B164" s="98" t="s">
        <v>55</v>
      </c>
      <c r="C164" s="98"/>
      <c r="D164" s="101">
        <v>1</v>
      </c>
      <c r="E164" s="101">
        <v>1</v>
      </c>
      <c r="F164" s="101">
        <v>1</v>
      </c>
      <c r="G164" s="101">
        <v>1</v>
      </c>
      <c r="H164" s="101">
        <v>1</v>
      </c>
      <c r="I164" s="101">
        <v>1</v>
      </c>
      <c r="J164" s="101">
        <v>1</v>
      </c>
      <c r="K164" s="101">
        <v>1</v>
      </c>
      <c r="L164" s="101">
        <v>1</v>
      </c>
      <c r="M164" s="101">
        <v>1</v>
      </c>
      <c r="N164" s="101">
        <v>1</v>
      </c>
      <c r="O164" s="101">
        <v>1</v>
      </c>
      <c r="P164" s="101">
        <v>1</v>
      </c>
      <c r="Q164" s="101">
        <v>1</v>
      </c>
      <c r="R164" s="101">
        <v>1</v>
      </c>
      <c r="S164" s="101">
        <v>1</v>
      </c>
      <c r="T164" s="101">
        <v>1</v>
      </c>
      <c r="U164" s="101">
        <v>1</v>
      </c>
      <c r="V164" s="101">
        <v>1</v>
      </c>
      <c r="W164" s="101">
        <v>1</v>
      </c>
    </row>
    <row r="165" spans="1:23" s="96" customFormat="1" ht="12.75">
      <c r="A165" s="102" t="s">
        <v>56</v>
      </c>
      <c r="B165" s="98" t="s">
        <v>55</v>
      </c>
      <c r="C165" s="98"/>
      <c r="D165" s="101">
        <v>0</v>
      </c>
      <c r="E165" s="101">
        <v>0</v>
      </c>
      <c r="F165" s="101">
        <v>0</v>
      </c>
      <c r="G165" s="101">
        <v>0</v>
      </c>
      <c r="H165" s="101">
        <v>0</v>
      </c>
      <c r="I165" s="101">
        <v>0</v>
      </c>
      <c r="J165" s="101">
        <v>0</v>
      </c>
      <c r="K165" s="101">
        <v>0</v>
      </c>
      <c r="L165" s="101">
        <v>0</v>
      </c>
      <c r="M165" s="101">
        <v>0</v>
      </c>
      <c r="N165" s="101">
        <v>0</v>
      </c>
      <c r="O165" s="101">
        <v>0</v>
      </c>
      <c r="P165" s="101">
        <v>0</v>
      </c>
      <c r="Q165" s="101">
        <v>0</v>
      </c>
      <c r="R165" s="101">
        <v>0</v>
      </c>
      <c r="S165" s="101">
        <v>0</v>
      </c>
      <c r="T165" s="101">
        <v>0</v>
      </c>
      <c r="U165" s="101">
        <v>0</v>
      </c>
      <c r="V165" s="101">
        <v>0</v>
      </c>
      <c r="W165" s="101">
        <v>0</v>
      </c>
    </row>
    <row r="166" spans="1:23" s="96" customFormat="1" ht="12.75">
      <c r="A166" s="97" t="s">
        <v>60</v>
      </c>
      <c r="B166" s="98" t="s">
        <v>61</v>
      </c>
      <c r="C166" s="98"/>
      <c r="D166" s="101">
        <v>0.03</v>
      </c>
      <c r="E166" s="101">
        <v>0.03</v>
      </c>
      <c r="F166" s="101">
        <v>0.03</v>
      </c>
      <c r="G166" s="101">
        <v>0.03</v>
      </c>
      <c r="H166" s="101">
        <v>0.03</v>
      </c>
      <c r="I166" s="101">
        <v>0.03</v>
      </c>
      <c r="J166" s="101">
        <v>0.03060403311256621</v>
      </c>
      <c r="K166" s="101">
        <v>0.03438046293384161</v>
      </c>
      <c r="L166" s="101">
        <v>0.0349286090479307</v>
      </c>
      <c r="M166" s="101">
        <v>0.038645360241395976</v>
      </c>
      <c r="N166" s="101">
        <v>0.03812139901464471</v>
      </c>
      <c r="O166" s="101">
        <v>0.03765731907095072</v>
      </c>
      <c r="P166" s="101">
        <v>0.04024902350533642</v>
      </c>
      <c r="Q166" s="101">
        <v>0.03976097476698706</v>
      </c>
      <c r="R166" s="101">
        <v>0.03976097476698706</v>
      </c>
      <c r="S166" s="101">
        <v>0.03976097476698706</v>
      </c>
      <c r="T166" s="101">
        <v>0.03976097476698706</v>
      </c>
      <c r="U166" s="101">
        <v>0.03976097476698706</v>
      </c>
      <c r="V166" s="101">
        <v>0.03976097476698706</v>
      </c>
      <c r="W166" s="101">
        <v>0.03976097476698706</v>
      </c>
    </row>
    <row r="167" spans="1:23" s="96" customFormat="1" ht="12.75">
      <c r="A167" s="97" t="s">
        <v>321</v>
      </c>
      <c r="B167" s="98" t="s">
        <v>54</v>
      </c>
      <c r="C167" s="98"/>
      <c r="D167" s="99">
        <v>0</v>
      </c>
      <c r="E167" s="98">
        <v>0</v>
      </c>
      <c r="F167" s="98">
        <v>0</v>
      </c>
      <c r="G167" s="98">
        <v>15</v>
      </c>
      <c r="H167" s="98">
        <v>30</v>
      </c>
      <c r="I167" s="98">
        <v>40</v>
      </c>
      <c r="J167" s="98">
        <v>44</v>
      </c>
      <c r="K167" s="98">
        <v>50</v>
      </c>
      <c r="L167" s="98">
        <v>54</v>
      </c>
      <c r="M167" s="98">
        <v>62</v>
      </c>
      <c r="N167" s="98">
        <v>66</v>
      </c>
      <c r="O167" s="98">
        <v>70</v>
      </c>
      <c r="P167" s="98">
        <v>80</v>
      </c>
      <c r="Q167" s="98">
        <v>84</v>
      </c>
      <c r="R167" s="98">
        <v>84</v>
      </c>
      <c r="S167" s="98">
        <v>84</v>
      </c>
      <c r="T167" s="98">
        <v>84</v>
      </c>
      <c r="U167" s="98">
        <v>84</v>
      </c>
      <c r="V167" s="98">
        <v>84</v>
      </c>
      <c r="W167" s="98">
        <v>84</v>
      </c>
    </row>
    <row r="168" spans="1:23" s="96" customFormat="1" ht="25.5">
      <c r="A168" s="97" t="s">
        <v>181</v>
      </c>
      <c r="B168" s="98" t="s">
        <v>40</v>
      </c>
      <c r="C168" s="98"/>
      <c r="D168" s="103">
        <v>0</v>
      </c>
      <c r="E168" s="103">
        <v>0</v>
      </c>
      <c r="F168" s="103">
        <v>0</v>
      </c>
      <c r="G168" s="103">
        <v>0</v>
      </c>
      <c r="H168" s="103">
        <v>1.986</v>
      </c>
      <c r="I168" s="103">
        <v>3.972</v>
      </c>
      <c r="J168" s="103">
        <v>5.296</v>
      </c>
      <c r="K168" s="103">
        <v>5.8256</v>
      </c>
      <c r="L168" s="103">
        <v>6.62</v>
      </c>
      <c r="M168" s="103">
        <v>7.1496</v>
      </c>
      <c r="N168" s="103">
        <v>8.2088</v>
      </c>
      <c r="O168" s="103">
        <v>8.7384</v>
      </c>
      <c r="P168" s="103">
        <v>9.268</v>
      </c>
      <c r="Q168" s="103">
        <v>10.592</v>
      </c>
      <c r="R168" s="103">
        <v>11.1216</v>
      </c>
      <c r="S168" s="103">
        <v>11.1216</v>
      </c>
      <c r="T168" s="103">
        <v>11.1216</v>
      </c>
      <c r="U168" s="103">
        <v>11.1216</v>
      </c>
      <c r="V168" s="103">
        <v>11.1216</v>
      </c>
      <c r="W168" s="103">
        <v>11.1216</v>
      </c>
    </row>
    <row r="169" spans="1:23" s="96" customFormat="1" ht="12.75">
      <c r="A169" s="97" t="s">
        <v>71</v>
      </c>
      <c r="B169" s="98" t="s">
        <v>72</v>
      </c>
      <c r="C169" s="98"/>
      <c r="D169" s="104">
        <v>0</v>
      </c>
      <c r="E169" s="104">
        <v>0</v>
      </c>
      <c r="F169" s="104">
        <v>0</v>
      </c>
      <c r="G169" s="104">
        <v>188450.92383573696</v>
      </c>
      <c r="H169" s="104">
        <v>221188.67559184605</v>
      </c>
      <c r="I169" s="104">
        <v>243737.76356092765</v>
      </c>
      <c r="J169" s="104">
        <v>265335.7833058253</v>
      </c>
      <c r="K169" s="104">
        <v>288918.3883027348</v>
      </c>
      <c r="L169" s="104">
        <v>311932.5717771543</v>
      </c>
      <c r="M169" s="104">
        <v>351383.96948984964</v>
      </c>
      <c r="N169" s="104">
        <v>377060.7122039489</v>
      </c>
      <c r="O169" s="104">
        <v>401320.3854386378</v>
      </c>
      <c r="P169" s="104">
        <v>454129.38657958223</v>
      </c>
      <c r="Q169" s="104">
        <v>471874.8751678754</v>
      </c>
      <c r="R169" s="104">
        <v>471874.8751678754</v>
      </c>
      <c r="S169" s="104">
        <v>471874.8751678754</v>
      </c>
      <c r="T169" s="104">
        <v>471874.8751678754</v>
      </c>
      <c r="U169" s="104">
        <v>471874.8751678754</v>
      </c>
      <c r="V169" s="104">
        <v>471874.8751678754</v>
      </c>
      <c r="W169" s="104">
        <v>471874.8751678754</v>
      </c>
    </row>
    <row r="170" spans="1:23" s="96" customFormat="1" ht="12.75">
      <c r="A170" s="97" t="s">
        <v>70</v>
      </c>
      <c r="B170" s="98" t="s">
        <v>72</v>
      </c>
      <c r="C170" s="98"/>
      <c r="D170" s="104">
        <v>150586</v>
      </c>
      <c r="E170" s="104">
        <v>141594.6</v>
      </c>
      <c r="F170" s="104">
        <v>133419.285</v>
      </c>
      <c r="G170" s="104">
        <v>125980.522875</v>
      </c>
      <c r="H170" s="104">
        <v>119206.682803125</v>
      </c>
      <c r="I170" s="104">
        <v>113033.24643304688</v>
      </c>
      <c r="J170" s="104">
        <v>107402.0979022207</v>
      </c>
      <c r="K170" s="104">
        <v>102260.88482166518</v>
      </c>
      <c r="L170" s="104">
        <v>97562.44313142356</v>
      </c>
      <c r="M170" s="104">
        <v>76305.07284613414</v>
      </c>
      <c r="N170" s="104">
        <v>68704.52277460872</v>
      </c>
      <c r="O170" s="104">
        <v>62407.036267618256</v>
      </c>
      <c r="P170" s="104">
        <v>27450</v>
      </c>
      <c r="Q170" s="104">
        <v>27450</v>
      </c>
      <c r="R170" s="104">
        <v>27450</v>
      </c>
      <c r="S170" s="104">
        <v>27450</v>
      </c>
      <c r="T170" s="104">
        <v>27450</v>
      </c>
      <c r="U170" s="104">
        <v>27450</v>
      </c>
      <c r="V170" s="104">
        <v>27450</v>
      </c>
      <c r="W170" s="104">
        <v>27450</v>
      </c>
    </row>
    <row r="171" spans="1:23" s="116" customFormat="1" ht="12.75">
      <c r="A171" s="115" t="s">
        <v>73</v>
      </c>
      <c r="B171" s="103" t="s">
        <v>40</v>
      </c>
      <c r="C171" s="103"/>
      <c r="D171" s="103"/>
      <c r="E171" s="103">
        <v>0</v>
      </c>
      <c r="F171" s="103">
        <v>0</v>
      </c>
      <c r="G171" s="103">
        <v>2.8834059645303425</v>
      </c>
      <c r="H171" s="103">
        <v>5.766811929060685</v>
      </c>
      <c r="I171" s="103">
        <v>6.920174314872822</v>
      </c>
      <c r="J171" s="103">
        <v>7.689082572080915</v>
      </c>
      <c r="K171" s="103">
        <v>8.511192672290427</v>
      </c>
      <c r="L171" s="103">
        <v>10.055374971849465</v>
      </c>
      <c r="M171" s="103">
        <v>10.920792197451313</v>
      </c>
      <c r="N171" s="103">
        <v>13.019998869085317</v>
      </c>
      <c r="O171" s="103">
        <v>13.787041198487932</v>
      </c>
      <c r="P171" s="103">
        <v>14.55429430705571</v>
      </c>
      <c r="Q171" s="103">
        <v>17.072447619874602</v>
      </c>
      <c r="R171" s="103">
        <v>17.83871051347581</v>
      </c>
      <c r="S171" s="103">
        <v>17.83871051347581</v>
      </c>
      <c r="T171" s="103">
        <v>17.83871051347581</v>
      </c>
      <c r="U171" s="103">
        <v>17.83871051347581</v>
      </c>
      <c r="V171" s="103">
        <v>17.83871051347581</v>
      </c>
      <c r="W171" s="103">
        <v>17.83871051347581</v>
      </c>
    </row>
    <row r="172" spans="1:23" s="116" customFormat="1" ht="27" customHeight="1">
      <c r="A172" s="115" t="s">
        <v>230</v>
      </c>
      <c r="B172" s="103" t="s">
        <v>40</v>
      </c>
      <c r="C172" s="103"/>
      <c r="D172" s="103"/>
      <c r="E172" s="103">
        <v>0</v>
      </c>
      <c r="F172" s="103">
        <v>0</v>
      </c>
      <c r="G172" s="103">
        <v>1.881</v>
      </c>
      <c r="H172" s="103">
        <v>3.762</v>
      </c>
      <c r="I172" s="103">
        <v>4.514399999999999</v>
      </c>
      <c r="J172" s="103">
        <v>5.016</v>
      </c>
      <c r="K172" s="103">
        <v>5.517599999999999</v>
      </c>
      <c r="L172" s="103">
        <v>6.27</v>
      </c>
      <c r="M172" s="103">
        <v>6.771599999999999</v>
      </c>
      <c r="N172" s="103">
        <v>7.774799999999999</v>
      </c>
      <c r="O172" s="103">
        <v>8.276399999999999</v>
      </c>
      <c r="P172" s="103">
        <v>8.777999999999999</v>
      </c>
      <c r="Q172" s="103">
        <v>10.032</v>
      </c>
      <c r="R172" s="103">
        <v>10.5336</v>
      </c>
      <c r="S172" s="103">
        <v>10.5336</v>
      </c>
      <c r="T172" s="103">
        <v>10.5336</v>
      </c>
      <c r="U172" s="103">
        <v>10.5336</v>
      </c>
      <c r="V172" s="103">
        <v>10.5336</v>
      </c>
      <c r="W172" s="103">
        <v>10.5336</v>
      </c>
    </row>
    <row r="173" spans="1:23" s="116" customFormat="1" ht="12.75" customHeight="1">
      <c r="A173" s="115" t="s">
        <v>233</v>
      </c>
      <c r="B173" s="103" t="s">
        <v>40</v>
      </c>
      <c r="C173" s="103"/>
      <c r="D173" s="103"/>
      <c r="E173" s="103">
        <v>0</v>
      </c>
      <c r="F173" s="103">
        <v>0</v>
      </c>
      <c r="G173" s="103">
        <v>0</v>
      </c>
      <c r="H173" s="103">
        <v>0.17300435787182053</v>
      </c>
      <c r="I173" s="103">
        <v>0.5293933350877709</v>
      </c>
      <c r="J173" s="103">
        <v>0.9763673940854064</v>
      </c>
      <c r="K173" s="103">
        <v>0.7042943920553859</v>
      </c>
      <c r="L173" s="103">
        <v>0.5529292238607487</v>
      </c>
      <c r="M173" s="103">
        <v>0.6364982517426129</v>
      </c>
      <c r="N173" s="103">
        <v>0.6934374269516355</v>
      </c>
      <c r="O173" s="103">
        <v>0.8228061777622171</v>
      </c>
      <c r="P173" s="103">
        <v>0.9073970203372262</v>
      </c>
      <c r="Q173" s="103">
        <v>1.0430984999808024</v>
      </c>
      <c r="R173" s="103">
        <v>1.0869327671913245</v>
      </c>
      <c r="S173" s="103">
        <v>1.4304713640313524</v>
      </c>
      <c r="T173" s="103">
        <v>2.5866222766817826</v>
      </c>
      <c r="U173" s="103">
        <v>3.812142244091238</v>
      </c>
      <c r="V173" s="103">
        <v>5.111193409545261</v>
      </c>
      <c r="W173" s="103">
        <v>6.4881876449265246</v>
      </c>
    </row>
    <row r="174" spans="1:23" s="116" customFormat="1" ht="38.25">
      <c r="A174" s="115" t="s">
        <v>322</v>
      </c>
      <c r="B174" s="103" t="s">
        <v>40</v>
      </c>
      <c r="C174" s="103"/>
      <c r="D174" s="103"/>
      <c r="E174" s="103">
        <v>0</v>
      </c>
      <c r="F174" s="103">
        <v>0</v>
      </c>
      <c r="G174" s="103">
        <v>2.8834059645303425</v>
      </c>
      <c r="H174" s="103">
        <v>8.823222251462848</v>
      </c>
      <c r="I174" s="103">
        <v>16.27278990142344</v>
      </c>
      <c r="J174" s="103">
        <v>11.738239867589765</v>
      </c>
      <c r="K174" s="103">
        <v>9.215487064345812</v>
      </c>
      <c r="L174" s="103">
        <v>10.608304195710215</v>
      </c>
      <c r="M174" s="103">
        <v>11.557290449193925</v>
      </c>
      <c r="N174" s="103">
        <v>13.713436296036953</v>
      </c>
      <c r="O174" s="103">
        <v>15.123283672287105</v>
      </c>
      <c r="P174" s="103">
        <v>17.38497499968004</v>
      </c>
      <c r="Q174" s="103">
        <v>18.11554611985541</v>
      </c>
      <c r="R174" s="103">
        <v>23.84118940052254</v>
      </c>
      <c r="S174" s="103">
        <v>43.11037127802971</v>
      </c>
      <c r="T174" s="103">
        <v>63.5357040681873</v>
      </c>
      <c r="U174" s="103">
        <v>85.18655682575435</v>
      </c>
      <c r="V174" s="103">
        <v>108.13646074877542</v>
      </c>
      <c r="W174" s="103">
        <v>132.46335890717776</v>
      </c>
    </row>
    <row r="175" spans="1:25" s="116" customFormat="1" ht="25.5">
      <c r="A175" s="115" t="s">
        <v>185</v>
      </c>
      <c r="B175" s="103" t="s">
        <v>40</v>
      </c>
      <c r="C175" s="103"/>
      <c r="D175" s="103"/>
      <c r="E175" s="103"/>
      <c r="F175" s="103"/>
      <c r="G175" s="103"/>
      <c r="H175" s="103"/>
      <c r="I175" s="103">
        <v>13.2</v>
      </c>
      <c r="J175" s="103">
        <v>11.738239867589765</v>
      </c>
      <c r="K175" s="103">
        <v>9.215487064345812</v>
      </c>
      <c r="L175" s="103">
        <v>10.608304195710215</v>
      </c>
      <c r="M175" s="103">
        <v>11.557290449193925</v>
      </c>
      <c r="N175" s="103">
        <v>13.2</v>
      </c>
      <c r="O175" s="103">
        <v>13.2</v>
      </c>
      <c r="P175" s="103">
        <v>17.38497499968004</v>
      </c>
      <c r="Q175" s="103">
        <v>13.2</v>
      </c>
      <c r="R175" s="103">
        <v>0</v>
      </c>
      <c r="S175" s="103">
        <v>0</v>
      </c>
      <c r="T175" s="103">
        <v>0</v>
      </c>
      <c r="U175" s="103">
        <v>0</v>
      </c>
      <c r="V175" s="103">
        <v>0</v>
      </c>
      <c r="W175" s="103">
        <v>0</v>
      </c>
      <c r="Y175" s="116">
        <f>(84-36)*3.3</f>
        <v>158.39999999999998</v>
      </c>
    </row>
    <row r="176" spans="1:25" s="116" customFormat="1" ht="12.75">
      <c r="A176" s="115" t="s">
        <v>184</v>
      </c>
      <c r="B176" s="103" t="s">
        <v>40</v>
      </c>
      <c r="C176" s="103"/>
      <c r="D176" s="103"/>
      <c r="E176" s="103"/>
      <c r="F176" s="103"/>
      <c r="G176" s="103"/>
      <c r="H176" s="103"/>
      <c r="I176" s="103">
        <v>0</v>
      </c>
      <c r="J176" s="103">
        <v>1.4617601324102338</v>
      </c>
      <c r="K176" s="103">
        <v>10.584512935654185</v>
      </c>
      <c r="L176" s="103">
        <v>2.5916958042897846</v>
      </c>
      <c r="M176" s="103">
        <v>14.842709550806074</v>
      </c>
      <c r="N176" s="103">
        <v>0</v>
      </c>
      <c r="O176" s="103">
        <v>0</v>
      </c>
      <c r="P176" s="103">
        <v>15.61502500031996</v>
      </c>
      <c r="Q176" s="103">
        <v>0</v>
      </c>
      <c r="R176" s="103">
        <v>0</v>
      </c>
      <c r="S176" s="103">
        <v>0</v>
      </c>
      <c r="T176" s="103">
        <v>0</v>
      </c>
      <c r="U176" s="103">
        <v>0</v>
      </c>
      <c r="V176" s="103">
        <v>0</v>
      </c>
      <c r="W176" s="103">
        <v>0</v>
      </c>
      <c r="Y176" s="116">
        <f>X175+X176</f>
        <v>0</v>
      </c>
    </row>
    <row r="177" spans="1:23" s="116" customFormat="1" ht="12.75">
      <c r="A177" s="115" t="s">
        <v>231</v>
      </c>
      <c r="B177" s="103" t="s">
        <v>40</v>
      </c>
      <c r="C177" s="103"/>
      <c r="D177" s="103"/>
      <c r="E177" s="103"/>
      <c r="F177" s="103"/>
      <c r="G177" s="103"/>
      <c r="H177" s="103"/>
      <c r="I177" s="103">
        <v>0</v>
      </c>
      <c r="J177" s="103">
        <v>1.4617601324102338</v>
      </c>
      <c r="K177" s="103">
        <v>12.04627306806442</v>
      </c>
      <c r="L177" s="103">
        <v>14.637968872354204</v>
      </c>
      <c r="M177" s="103">
        <v>29.480678423160278</v>
      </c>
      <c r="N177" s="103">
        <v>29.480678423160278</v>
      </c>
      <c r="O177" s="103">
        <v>29.480678423160278</v>
      </c>
      <c r="P177" s="103">
        <v>45.09570342348024</v>
      </c>
      <c r="Q177" s="103">
        <v>45.09570342348024</v>
      </c>
      <c r="R177" s="103">
        <v>45.09570342348024</v>
      </c>
      <c r="S177" s="103">
        <v>45.09570342348024</v>
      </c>
      <c r="T177" s="103">
        <v>45.09570342348024</v>
      </c>
      <c r="U177" s="103">
        <v>45.09570342348024</v>
      </c>
      <c r="V177" s="103">
        <v>45.09570342348024</v>
      </c>
      <c r="W177" s="103">
        <v>45.09570342348024</v>
      </c>
    </row>
    <row r="178" spans="1:23" s="116" customFormat="1" ht="12.75">
      <c r="A178" s="115" t="s">
        <v>187</v>
      </c>
      <c r="B178" s="103" t="s">
        <v>40</v>
      </c>
      <c r="C178" s="103"/>
      <c r="D178" s="103">
        <v>0</v>
      </c>
      <c r="E178" s="103"/>
      <c r="F178" s="103"/>
      <c r="G178" s="103"/>
      <c r="H178" s="103"/>
      <c r="I178" s="103"/>
      <c r="J178" s="103">
        <v>0.06577920595846053</v>
      </c>
      <c r="K178" s="103">
        <v>0.13155841191692105</v>
      </c>
      <c r="L178" s="103">
        <v>1.0841645761257976</v>
      </c>
      <c r="M178" s="103">
        <v>1.3174171985118783</v>
      </c>
      <c r="N178" s="103">
        <v>2.653261058084425</v>
      </c>
      <c r="O178" s="103">
        <v>2.653261058084425</v>
      </c>
      <c r="P178" s="103">
        <v>2.653261058084425</v>
      </c>
      <c r="Q178" s="103">
        <v>4.058613308113221</v>
      </c>
      <c r="R178" s="103">
        <v>4.058613308113221</v>
      </c>
      <c r="S178" s="103">
        <v>4.058613308113221</v>
      </c>
      <c r="T178" s="103">
        <v>4.058613308113221</v>
      </c>
      <c r="U178" s="103">
        <v>4.058613308113221</v>
      </c>
      <c r="V178" s="103">
        <v>4.058613308113221</v>
      </c>
      <c r="W178" s="103">
        <v>4.058613308113221</v>
      </c>
    </row>
    <row r="179" spans="1:25" s="116" customFormat="1" ht="12.75">
      <c r="A179" s="115" t="s">
        <v>190</v>
      </c>
      <c r="B179" s="103" t="s">
        <v>40</v>
      </c>
      <c r="C179" s="103"/>
      <c r="D179" s="103"/>
      <c r="E179" s="103"/>
      <c r="F179" s="103"/>
      <c r="G179" s="103"/>
      <c r="H179" s="103"/>
      <c r="I179" s="103"/>
      <c r="J179" s="103">
        <v>0.16199238929914317</v>
      </c>
      <c r="K179" s="103">
        <v>1.7454929406176483</v>
      </c>
      <c r="L179" s="103">
        <v>1.1967250496500714</v>
      </c>
      <c r="M179" s="103">
        <v>3.276264763964267</v>
      </c>
      <c r="N179" s="103">
        <v>1.9404209043917202</v>
      </c>
      <c r="O179" s="103">
        <v>1.9404209043917202</v>
      </c>
      <c r="P179" s="103">
        <v>4.373555503873385</v>
      </c>
      <c r="Q179" s="103">
        <v>2.968203253844589</v>
      </c>
      <c r="R179" s="103">
        <v>2.968203253844589</v>
      </c>
      <c r="S179" s="103">
        <v>2.968203253844589</v>
      </c>
      <c r="T179" s="103">
        <v>2.968203253844589</v>
      </c>
      <c r="U179" s="103">
        <v>2.968203253844589</v>
      </c>
      <c r="V179" s="103">
        <v>2.968203253844589</v>
      </c>
      <c r="W179" s="103">
        <v>2.968203253844589</v>
      </c>
      <c r="Y179" s="116">
        <f>X179+W180</f>
        <v>9.68340819038016</v>
      </c>
    </row>
    <row r="180" spans="1:23" s="116" customFormat="1" ht="12.75">
      <c r="A180" s="115" t="s">
        <v>191</v>
      </c>
      <c r="B180" s="103" t="s">
        <v>40</v>
      </c>
      <c r="C180" s="103"/>
      <c r="D180" s="103"/>
      <c r="E180" s="103"/>
      <c r="F180" s="103"/>
      <c r="G180" s="103"/>
      <c r="H180" s="103"/>
      <c r="I180" s="103"/>
      <c r="J180" s="103">
        <v>1.2997677431110906</v>
      </c>
      <c r="K180" s="103">
        <v>10.138787738147627</v>
      </c>
      <c r="L180" s="103">
        <v>11.53375849278734</v>
      </c>
      <c r="M180" s="103">
        <v>23.100203279629145</v>
      </c>
      <c r="N180" s="103">
        <v>21.159782375237427</v>
      </c>
      <c r="O180" s="103">
        <v>19.219361470845705</v>
      </c>
      <c r="P180" s="103">
        <v>30.46083096729228</v>
      </c>
      <c r="Q180" s="103">
        <v>27.492627713447693</v>
      </c>
      <c r="R180" s="103">
        <v>24.524424459603104</v>
      </c>
      <c r="S180" s="103">
        <v>21.556221205758515</v>
      </c>
      <c r="T180" s="103">
        <v>18.588017951913926</v>
      </c>
      <c r="U180" s="103">
        <v>15.619814698069337</v>
      </c>
      <c r="V180" s="103">
        <v>12.651611444224748</v>
      </c>
      <c r="W180" s="103">
        <v>9.68340819038016</v>
      </c>
    </row>
    <row r="181" spans="1:23" s="116" customFormat="1" ht="12.75">
      <c r="A181" s="115" t="s">
        <v>232</v>
      </c>
      <c r="B181" s="103" t="s">
        <v>40</v>
      </c>
      <c r="C181" s="103"/>
      <c r="D181" s="103"/>
      <c r="E181" s="103">
        <v>0</v>
      </c>
      <c r="F181" s="103">
        <v>0</v>
      </c>
      <c r="G181" s="103">
        <v>1.0024059645303425</v>
      </c>
      <c r="H181" s="103">
        <v>2.004811929060685</v>
      </c>
      <c r="I181" s="103">
        <v>2.405774314872823</v>
      </c>
      <c r="J181" s="103">
        <v>2.673082572080915</v>
      </c>
      <c r="K181" s="103">
        <v>2.9935926722904282</v>
      </c>
      <c r="L181" s="103">
        <v>3.785374971849466</v>
      </c>
      <c r="M181" s="103">
        <v>4.149192197451313</v>
      </c>
      <c r="N181" s="103">
        <v>5.245198869085318</v>
      </c>
      <c r="O181" s="103">
        <v>5.510641198487933</v>
      </c>
      <c r="P181" s="103">
        <v>5.776294307055711</v>
      </c>
      <c r="Q181" s="103">
        <v>7.040447619874602</v>
      </c>
      <c r="R181" s="103">
        <v>7.30511051347581</v>
      </c>
      <c r="S181" s="103">
        <v>7.30511051347581</v>
      </c>
      <c r="T181" s="103">
        <v>7.30511051347581</v>
      </c>
      <c r="U181" s="103">
        <v>7.30511051347581</v>
      </c>
      <c r="V181" s="103">
        <v>7.30511051347581</v>
      </c>
      <c r="W181" s="103">
        <v>7.30511051347581</v>
      </c>
    </row>
    <row r="182" spans="1:23" s="116" customFormat="1" ht="25.5">
      <c r="A182" s="117" t="s">
        <v>192</v>
      </c>
      <c r="B182" s="103" t="s">
        <v>40</v>
      </c>
      <c r="C182" s="103"/>
      <c r="D182" s="103">
        <v>0</v>
      </c>
      <c r="E182" s="103">
        <v>0</v>
      </c>
      <c r="F182" s="103">
        <v>0</v>
      </c>
      <c r="G182" s="103">
        <v>0.14417029822651714</v>
      </c>
      <c r="H182" s="103">
        <v>0.2883405964530343</v>
      </c>
      <c r="I182" s="103">
        <v>0.3460087157436411</v>
      </c>
      <c r="J182" s="103">
        <v>0.38445412860404576</v>
      </c>
      <c r="K182" s="103">
        <v>0.42555963361452137</v>
      </c>
      <c r="L182" s="103">
        <v>0.5027687485924733</v>
      </c>
      <c r="M182" s="103">
        <v>0.5460396098725656</v>
      </c>
      <c r="N182" s="103">
        <v>0.6509999434542659</v>
      </c>
      <c r="O182" s="103">
        <v>0.6893520599243966</v>
      </c>
      <c r="P182" s="103">
        <v>0.7277147153527855</v>
      </c>
      <c r="Q182" s="103">
        <v>0.8536223809937301</v>
      </c>
      <c r="R182" s="103">
        <v>0.8919355256737905</v>
      </c>
      <c r="S182" s="103">
        <v>0.8919355256737905</v>
      </c>
      <c r="T182" s="103">
        <v>0.8919355256737905</v>
      </c>
      <c r="U182" s="103">
        <v>0.8919355256737905</v>
      </c>
      <c r="V182" s="103">
        <v>0.8919355256737905</v>
      </c>
      <c r="W182" s="103">
        <v>0.8919355256737905</v>
      </c>
    </row>
    <row r="183" spans="1:23" s="116" customFormat="1" ht="12.75">
      <c r="A183" s="117" t="s">
        <v>74</v>
      </c>
      <c r="B183" s="103" t="s">
        <v>40</v>
      </c>
      <c r="C183" s="103"/>
      <c r="D183" s="103"/>
      <c r="E183" s="103">
        <v>0</v>
      </c>
      <c r="F183" s="103">
        <v>0</v>
      </c>
      <c r="G183" s="103">
        <v>3.0275762627568596</v>
      </c>
      <c r="H183" s="103">
        <v>6.22815688338554</v>
      </c>
      <c r="I183" s="103">
        <v>7.7955763657042345</v>
      </c>
      <c r="J183" s="103">
        <v>9.049904094770367</v>
      </c>
      <c r="K183" s="103">
        <v>9.641046697960334</v>
      </c>
      <c r="L183" s="103">
        <v>11.111072944302688</v>
      </c>
      <c r="M183" s="103">
        <v>12.10333005906649</v>
      </c>
      <c r="N183" s="103">
        <v>14.36443623949122</v>
      </c>
      <c r="O183" s="103">
        <v>15.299199436174547</v>
      </c>
      <c r="P183" s="103">
        <v>16.18940604274572</v>
      </c>
      <c r="Q183" s="103">
        <v>18.969168500849136</v>
      </c>
      <c r="R183" s="103">
        <v>19.817578806340926</v>
      </c>
      <c r="S183" s="103">
        <v>20.161117403180953</v>
      </c>
      <c r="T183" s="103">
        <v>21.317268315831384</v>
      </c>
      <c r="U183" s="103">
        <v>22.54278828324084</v>
      </c>
      <c r="V183" s="103">
        <v>23.841839448694863</v>
      </c>
      <c r="W183" s="103">
        <v>25.218833684076124</v>
      </c>
    </row>
    <row r="184" spans="1:23" s="116" customFormat="1" ht="12.75">
      <c r="A184" s="115" t="s">
        <v>182</v>
      </c>
      <c r="B184" s="103" t="s">
        <v>40</v>
      </c>
      <c r="C184" s="103"/>
      <c r="D184" s="103"/>
      <c r="E184" s="103">
        <v>0</v>
      </c>
      <c r="F184" s="103">
        <v>0</v>
      </c>
      <c r="G184" s="103">
        <v>1.881</v>
      </c>
      <c r="H184" s="103">
        <v>3.762</v>
      </c>
      <c r="I184" s="103">
        <v>4.514399999999999</v>
      </c>
      <c r="J184" s="103">
        <v>5.016</v>
      </c>
      <c r="K184" s="103">
        <v>5.517599999999999</v>
      </c>
      <c r="L184" s="103">
        <v>6.27</v>
      </c>
      <c r="M184" s="103">
        <v>6.771599999999999</v>
      </c>
      <c r="N184" s="103">
        <v>7.774799999999999</v>
      </c>
      <c r="O184" s="103">
        <v>8.276399999999999</v>
      </c>
      <c r="P184" s="103">
        <v>8.777999999999999</v>
      </c>
      <c r="Q184" s="103">
        <v>10.032</v>
      </c>
      <c r="R184" s="103">
        <v>10.5336</v>
      </c>
      <c r="S184" s="103">
        <v>10.5336</v>
      </c>
      <c r="T184" s="103">
        <v>10.5336</v>
      </c>
      <c r="U184" s="103">
        <v>10.5336</v>
      </c>
      <c r="V184" s="103">
        <v>10.5336</v>
      </c>
      <c r="W184" s="103">
        <v>10.5336</v>
      </c>
    </row>
    <row r="185" spans="1:23" s="116" customFormat="1" ht="12.75">
      <c r="A185" s="115" t="s">
        <v>77</v>
      </c>
      <c r="B185" s="103" t="s">
        <v>40</v>
      </c>
      <c r="C185" s="103"/>
      <c r="D185" s="103">
        <v>0</v>
      </c>
      <c r="E185" s="103">
        <v>0</v>
      </c>
      <c r="F185" s="103">
        <v>0</v>
      </c>
      <c r="G185" s="103">
        <v>2.025170298226517</v>
      </c>
      <c r="H185" s="103">
        <v>4.050340596453034</v>
      </c>
      <c r="I185" s="103">
        <v>4.86040871574364</v>
      </c>
      <c r="J185" s="103">
        <v>5.466233334562506</v>
      </c>
      <c r="K185" s="103">
        <v>6.074718045531442</v>
      </c>
      <c r="L185" s="103">
        <v>7.85693332471827</v>
      </c>
      <c r="M185" s="103">
        <v>8.635056808384443</v>
      </c>
      <c r="N185" s="103">
        <v>11.07906100153869</v>
      </c>
      <c r="O185" s="103">
        <v>11.619013118008821</v>
      </c>
      <c r="P185" s="103">
        <v>12.15897577343721</v>
      </c>
      <c r="Q185" s="103">
        <v>14.944235689106952</v>
      </c>
      <c r="R185" s="103">
        <v>15.484148833787012</v>
      </c>
      <c r="S185" s="103">
        <v>15.484148833787012</v>
      </c>
      <c r="T185" s="103">
        <v>15.484148833787012</v>
      </c>
      <c r="U185" s="103">
        <v>15.484148833787012</v>
      </c>
      <c r="V185" s="103">
        <v>15.484148833787012</v>
      </c>
      <c r="W185" s="103">
        <v>15.484148833787012</v>
      </c>
    </row>
    <row r="186" spans="1:23" s="116" customFormat="1" ht="12.75">
      <c r="A186" s="115" t="s">
        <v>78</v>
      </c>
      <c r="B186" s="103" t="s">
        <v>40</v>
      </c>
      <c r="C186" s="103"/>
      <c r="D186" s="103"/>
      <c r="E186" s="103">
        <v>0</v>
      </c>
      <c r="F186" s="103">
        <v>0</v>
      </c>
      <c r="G186" s="103">
        <v>1.0024059645303427</v>
      </c>
      <c r="H186" s="103">
        <v>2.177816286932506</v>
      </c>
      <c r="I186" s="103">
        <v>2.9351676499605945</v>
      </c>
      <c r="J186" s="103">
        <v>3.5836707602078617</v>
      </c>
      <c r="K186" s="103">
        <v>3.5663286524288926</v>
      </c>
      <c r="L186" s="103">
        <v>3.254139619584418</v>
      </c>
      <c r="M186" s="103">
        <v>3.4682732506820475</v>
      </c>
      <c r="N186" s="103">
        <v>3.285375237952529</v>
      </c>
      <c r="O186" s="103">
        <v>3.6801863181657257</v>
      </c>
      <c r="P186" s="103">
        <v>4.030430269308511</v>
      </c>
      <c r="Q186" s="103">
        <v>4.024932811742184</v>
      </c>
      <c r="R186" s="103">
        <v>4.333429972553914</v>
      </c>
      <c r="S186" s="103">
        <v>4.6769685693939405</v>
      </c>
      <c r="T186" s="103">
        <v>5.833119482044372</v>
      </c>
      <c r="U186" s="103">
        <v>7.0586394494538265</v>
      </c>
      <c r="V186" s="103">
        <v>8.35769061490785</v>
      </c>
      <c r="W186" s="103">
        <v>9.734684850289112</v>
      </c>
    </row>
    <row r="187" spans="1:23" s="116" customFormat="1" ht="25.5">
      <c r="A187" s="115" t="s">
        <v>95</v>
      </c>
      <c r="B187" s="103" t="s">
        <v>40</v>
      </c>
      <c r="C187" s="103"/>
      <c r="D187" s="103">
        <v>0</v>
      </c>
      <c r="E187" s="103">
        <v>0</v>
      </c>
      <c r="F187" s="103">
        <v>-49.5</v>
      </c>
      <c r="G187" s="103">
        <v>-45.61418807093931</v>
      </c>
      <c r="H187" s="103">
        <v>-11.855371784006806</v>
      </c>
      <c r="I187" s="103">
        <v>-3.3446580351665816</v>
      </c>
      <c r="J187" s="103">
        <v>-1.9272466677112234</v>
      </c>
      <c r="K187" s="103">
        <v>-7.722478675280675</v>
      </c>
      <c r="L187" s="103">
        <v>0.10951459143388398</v>
      </c>
      <c r="M187" s="103">
        <v>-12.010934551866638</v>
      </c>
      <c r="N187" s="103">
        <v>3.1053741070378464</v>
      </c>
      <c r="O187" s="103">
        <v>4.267227516653659</v>
      </c>
      <c r="P187" s="103">
        <v>-14.41527542363578</v>
      </c>
      <c r="Q187" s="103">
        <v>7.897380431616785</v>
      </c>
      <c r="R187" s="103">
        <v>22.172140486029726</v>
      </c>
      <c r="S187" s="103">
        <v>22.515679082869752</v>
      </c>
      <c r="T187" s="103">
        <v>23.671829995520184</v>
      </c>
      <c r="U187" s="103">
        <v>24.89734996292964</v>
      </c>
      <c r="V187" s="103">
        <v>26.196401128383663</v>
      </c>
      <c r="W187" s="103">
        <v>27.573395363764924</v>
      </c>
    </row>
    <row r="188" spans="1:23" s="96" customFormat="1" ht="12.75">
      <c r="A188" s="102" t="s">
        <v>97</v>
      </c>
      <c r="B188" s="98" t="s">
        <v>61</v>
      </c>
      <c r="C188" s="101">
        <f>IRR(D187:W187)</f>
        <v>0.008850775555165797</v>
      </c>
      <c r="D188" s="396"/>
      <c r="E188" s="366"/>
      <c r="F188" s="366"/>
      <c r="G188" s="366"/>
      <c r="H188" s="366"/>
      <c r="I188" s="366"/>
      <c r="J188" s="366"/>
      <c r="K188" s="366"/>
      <c r="L188" s="366"/>
      <c r="M188" s="366"/>
      <c r="N188" s="366"/>
      <c r="O188" s="366"/>
      <c r="P188" s="366"/>
      <c r="Q188" s="366"/>
      <c r="R188" s="366"/>
      <c r="S188" s="366"/>
      <c r="T188" s="366"/>
      <c r="U188" s="366"/>
      <c r="V188" s="366"/>
      <c r="W188" s="367"/>
    </row>
    <row r="189" spans="1:23" s="96" customFormat="1" ht="12.75">
      <c r="A189" s="100" t="s">
        <v>96</v>
      </c>
      <c r="B189" s="98" t="s">
        <v>40</v>
      </c>
      <c r="C189" s="105">
        <f>NPV(D166,D187:W187)</f>
        <v>-27.314935913454104</v>
      </c>
      <c r="D189" s="396"/>
      <c r="E189" s="366"/>
      <c r="F189" s="366"/>
      <c r="G189" s="366"/>
      <c r="H189" s="366"/>
      <c r="I189" s="366"/>
      <c r="J189" s="366"/>
      <c r="K189" s="366"/>
      <c r="L189" s="366"/>
      <c r="M189" s="366"/>
      <c r="N189" s="366"/>
      <c r="O189" s="366"/>
      <c r="P189" s="366"/>
      <c r="Q189" s="366"/>
      <c r="R189" s="366"/>
      <c r="S189" s="366"/>
      <c r="T189" s="366"/>
      <c r="U189" s="366"/>
      <c r="V189" s="366"/>
      <c r="W189" s="367"/>
    </row>
    <row r="190" spans="1:23" ht="12.75">
      <c r="A190" s="404" t="s">
        <v>102</v>
      </c>
      <c r="B190" s="404"/>
      <c r="C190" s="404"/>
      <c r="D190" s="404"/>
      <c r="E190" s="404"/>
      <c r="F190" s="404"/>
      <c r="G190" s="404"/>
      <c r="H190" s="404"/>
      <c r="I190" s="404"/>
      <c r="J190" s="404"/>
      <c r="K190" s="404"/>
      <c r="L190" s="404"/>
      <c r="M190" s="404"/>
      <c r="N190" s="404"/>
      <c r="O190" s="404"/>
      <c r="P190" s="404"/>
      <c r="Q190" s="404"/>
      <c r="R190" s="404"/>
      <c r="S190" s="404"/>
      <c r="T190" s="404"/>
      <c r="U190" s="404"/>
      <c r="V190" s="404"/>
      <c r="W190" s="404"/>
    </row>
    <row r="191" spans="1:23" ht="12.75">
      <c r="A191" s="397" t="s">
        <v>104</v>
      </c>
      <c r="B191" s="397"/>
      <c r="C191" s="397"/>
      <c r="D191" s="397"/>
      <c r="E191" s="397"/>
      <c r="F191" s="397"/>
      <c r="G191" s="397"/>
      <c r="H191" s="397"/>
      <c r="I191" s="397"/>
      <c r="J191" s="397"/>
      <c r="K191" s="397"/>
      <c r="L191" s="397"/>
      <c r="M191" s="397"/>
      <c r="N191" s="397"/>
      <c r="O191" s="397"/>
      <c r="P191" s="397"/>
      <c r="Q191" s="397"/>
      <c r="R191" s="397"/>
      <c r="S191" s="397"/>
      <c r="T191" s="397"/>
      <c r="U191" s="397"/>
      <c r="V191" s="397"/>
      <c r="W191" s="397"/>
    </row>
    <row r="192" spans="1:23" ht="12.75">
      <c r="A192" s="46"/>
      <c r="B192" s="14" t="s">
        <v>3</v>
      </c>
      <c r="C192" s="14">
        <v>2007</v>
      </c>
      <c r="D192" s="14">
        <f>C192+1</f>
        <v>2008</v>
      </c>
      <c r="E192" s="14">
        <f aca="true" t="shared" si="59" ref="E192:W192">D192+1</f>
        <v>2009</v>
      </c>
      <c r="F192" s="14">
        <f t="shared" si="59"/>
        <v>2010</v>
      </c>
      <c r="G192" s="14">
        <f t="shared" si="59"/>
        <v>2011</v>
      </c>
      <c r="H192" s="14">
        <f t="shared" si="59"/>
        <v>2012</v>
      </c>
      <c r="I192" s="14">
        <f t="shared" si="59"/>
        <v>2013</v>
      </c>
      <c r="J192" s="14">
        <f t="shared" si="59"/>
        <v>2014</v>
      </c>
      <c r="K192" s="14">
        <f t="shared" si="59"/>
        <v>2015</v>
      </c>
      <c r="L192" s="14">
        <f t="shared" si="59"/>
        <v>2016</v>
      </c>
      <c r="M192" s="14">
        <f t="shared" si="59"/>
        <v>2017</v>
      </c>
      <c r="N192" s="14">
        <f t="shared" si="59"/>
        <v>2018</v>
      </c>
      <c r="O192" s="14">
        <f t="shared" si="59"/>
        <v>2019</v>
      </c>
      <c r="P192" s="14">
        <f t="shared" si="59"/>
        <v>2020</v>
      </c>
      <c r="Q192" s="14">
        <f t="shared" si="59"/>
        <v>2021</v>
      </c>
      <c r="R192" s="14">
        <f t="shared" si="59"/>
        <v>2022</v>
      </c>
      <c r="S192" s="14">
        <f t="shared" si="59"/>
        <v>2023</v>
      </c>
      <c r="T192" s="14">
        <f>S192+1</f>
        <v>2024</v>
      </c>
      <c r="U192" s="14">
        <f t="shared" si="59"/>
        <v>2025</v>
      </c>
      <c r="V192" s="14">
        <f t="shared" si="59"/>
        <v>2026</v>
      </c>
      <c r="W192" s="14">
        <f t="shared" si="59"/>
        <v>2027</v>
      </c>
    </row>
    <row r="193" spans="1:23" ht="12.75">
      <c r="A193" s="368" t="s">
        <v>316</v>
      </c>
      <c r="B193" s="368"/>
      <c r="C193" s="368"/>
      <c r="D193" s="368"/>
      <c r="E193" s="368"/>
      <c r="F193" s="368"/>
      <c r="G193" s="368"/>
      <c r="H193" s="368"/>
      <c r="I193" s="368"/>
      <c r="J193" s="368"/>
      <c r="K193" s="368"/>
      <c r="L193" s="368"/>
      <c r="M193" s="368"/>
      <c r="N193" s="368"/>
      <c r="O193" s="368"/>
      <c r="P193" s="368"/>
      <c r="Q193" s="368"/>
      <c r="R193" s="368"/>
      <c r="S193" s="368"/>
      <c r="T193" s="368"/>
      <c r="U193" s="368"/>
      <c r="V193" s="368"/>
      <c r="W193" s="368"/>
    </row>
    <row r="194" spans="1:23" ht="12.75">
      <c r="A194" s="54" t="s">
        <v>79</v>
      </c>
      <c r="B194" s="12" t="s">
        <v>54</v>
      </c>
      <c r="C194" s="12"/>
      <c r="D194" s="12">
        <v>75</v>
      </c>
      <c r="E194" s="12">
        <v>75</v>
      </c>
      <c r="F194" s="12">
        <v>0</v>
      </c>
      <c r="G194" s="12">
        <v>0</v>
      </c>
      <c r="H194" s="12">
        <v>0</v>
      </c>
      <c r="I194" s="12">
        <v>0</v>
      </c>
      <c r="J194" s="12">
        <v>0</v>
      </c>
      <c r="K194" s="12">
        <v>200</v>
      </c>
      <c r="L194" s="12">
        <v>200</v>
      </c>
      <c r="M194" s="12">
        <v>200</v>
      </c>
      <c r="N194" s="12">
        <v>250</v>
      </c>
      <c r="O194" s="12">
        <v>0</v>
      </c>
      <c r="P194" s="12">
        <v>0</v>
      </c>
      <c r="Q194" s="12">
        <v>0</v>
      </c>
      <c r="R194" s="12">
        <v>0</v>
      </c>
      <c r="S194" s="12">
        <v>0</v>
      </c>
      <c r="T194" s="12">
        <v>0</v>
      </c>
      <c r="U194" s="12">
        <v>0</v>
      </c>
      <c r="V194" s="12">
        <v>0</v>
      </c>
      <c r="W194" s="12">
        <v>0</v>
      </c>
    </row>
    <row r="195" spans="1:23" ht="12.75">
      <c r="A195" s="54" t="s">
        <v>80</v>
      </c>
      <c r="B195" s="12" t="s">
        <v>40</v>
      </c>
      <c r="C195" s="12"/>
      <c r="D195" s="90">
        <v>0.06</v>
      </c>
      <c r="E195" s="12">
        <f>D195</f>
        <v>0.06</v>
      </c>
      <c r="F195" s="12">
        <f aca="true" t="shared" si="60" ref="F195:W195">E195</f>
        <v>0.06</v>
      </c>
      <c r="G195" s="12">
        <f t="shared" si="60"/>
        <v>0.06</v>
      </c>
      <c r="H195" s="12">
        <f t="shared" si="60"/>
        <v>0.06</v>
      </c>
      <c r="I195" s="12">
        <f t="shared" si="60"/>
        <v>0.06</v>
      </c>
      <c r="J195" s="12">
        <f t="shared" si="60"/>
        <v>0.06</v>
      </c>
      <c r="K195" s="12">
        <f t="shared" si="60"/>
        <v>0.06</v>
      </c>
      <c r="L195" s="12">
        <f t="shared" si="60"/>
        <v>0.06</v>
      </c>
      <c r="M195" s="12">
        <f t="shared" si="60"/>
        <v>0.06</v>
      </c>
      <c r="N195" s="12">
        <f t="shared" si="60"/>
        <v>0.06</v>
      </c>
      <c r="O195" s="12">
        <f t="shared" si="60"/>
        <v>0.06</v>
      </c>
      <c r="P195" s="12">
        <f t="shared" si="60"/>
        <v>0.06</v>
      </c>
      <c r="Q195" s="12">
        <f t="shared" si="60"/>
        <v>0.06</v>
      </c>
      <c r="R195" s="12">
        <f t="shared" si="60"/>
        <v>0.06</v>
      </c>
      <c r="S195" s="12">
        <f t="shared" si="60"/>
        <v>0.06</v>
      </c>
      <c r="T195" s="12">
        <f t="shared" si="60"/>
        <v>0.06</v>
      </c>
      <c r="U195" s="12">
        <f t="shared" si="60"/>
        <v>0.06</v>
      </c>
      <c r="V195" s="12">
        <f t="shared" si="60"/>
        <v>0.06</v>
      </c>
      <c r="W195" s="12">
        <f t="shared" si="60"/>
        <v>0.06</v>
      </c>
    </row>
    <row r="196" spans="1:23" ht="12.75">
      <c r="A196" s="54" t="s">
        <v>81</v>
      </c>
      <c r="B196" s="12" t="s">
        <v>40</v>
      </c>
      <c r="C196" s="12"/>
      <c r="D196" s="12">
        <f aca="true" t="shared" si="61" ref="D196:W196">D194*D195</f>
        <v>4.5</v>
      </c>
      <c r="E196" s="12">
        <f t="shared" si="61"/>
        <v>4.5</v>
      </c>
      <c r="F196" s="12">
        <f t="shared" si="61"/>
        <v>0</v>
      </c>
      <c r="G196" s="12">
        <f t="shared" si="61"/>
        <v>0</v>
      </c>
      <c r="H196" s="12">
        <f t="shared" si="61"/>
        <v>0</v>
      </c>
      <c r="I196" s="12">
        <f t="shared" si="61"/>
        <v>0</v>
      </c>
      <c r="J196" s="12">
        <f t="shared" si="61"/>
        <v>0</v>
      </c>
      <c r="K196" s="12">
        <f t="shared" si="61"/>
        <v>12</v>
      </c>
      <c r="L196" s="12">
        <f t="shared" si="61"/>
        <v>12</v>
      </c>
      <c r="M196" s="12">
        <f t="shared" si="61"/>
        <v>12</v>
      </c>
      <c r="N196" s="12">
        <f t="shared" si="61"/>
        <v>15</v>
      </c>
      <c r="O196" s="12">
        <f t="shared" si="61"/>
        <v>0</v>
      </c>
      <c r="P196" s="12">
        <f t="shared" si="61"/>
        <v>0</v>
      </c>
      <c r="Q196" s="12">
        <f t="shared" si="61"/>
        <v>0</v>
      </c>
      <c r="R196" s="12">
        <f t="shared" si="61"/>
        <v>0</v>
      </c>
      <c r="S196" s="12">
        <f t="shared" si="61"/>
        <v>0</v>
      </c>
      <c r="T196" s="12">
        <f t="shared" si="61"/>
        <v>0</v>
      </c>
      <c r="U196" s="12">
        <f t="shared" si="61"/>
        <v>0</v>
      </c>
      <c r="V196" s="12">
        <f t="shared" si="61"/>
        <v>0</v>
      </c>
      <c r="W196" s="12">
        <f t="shared" si="61"/>
        <v>0</v>
      </c>
    </row>
    <row r="197" spans="1:23" ht="12.75">
      <c r="A197" s="54" t="s">
        <v>76</v>
      </c>
      <c r="B197" s="12" t="s">
        <v>40</v>
      </c>
      <c r="C197" s="12"/>
      <c r="D197" s="12">
        <f>D196</f>
        <v>4.5</v>
      </c>
      <c r="E197" s="12">
        <f aca="true" t="shared" si="62" ref="E197:W197">D197+E196</f>
        <v>9</v>
      </c>
      <c r="F197" s="12">
        <f t="shared" si="62"/>
        <v>9</v>
      </c>
      <c r="G197" s="12">
        <f t="shared" si="62"/>
        <v>9</v>
      </c>
      <c r="H197" s="12">
        <f t="shared" si="62"/>
        <v>9</v>
      </c>
      <c r="I197" s="12">
        <f t="shared" si="62"/>
        <v>9</v>
      </c>
      <c r="J197" s="12">
        <f t="shared" si="62"/>
        <v>9</v>
      </c>
      <c r="K197" s="12">
        <f t="shared" si="62"/>
        <v>21</v>
      </c>
      <c r="L197" s="12">
        <f t="shared" si="62"/>
        <v>33</v>
      </c>
      <c r="M197" s="12">
        <f t="shared" si="62"/>
        <v>45</v>
      </c>
      <c r="N197" s="12">
        <f t="shared" si="62"/>
        <v>60</v>
      </c>
      <c r="O197" s="12">
        <f t="shared" si="62"/>
        <v>60</v>
      </c>
      <c r="P197" s="12">
        <f t="shared" si="62"/>
        <v>60</v>
      </c>
      <c r="Q197" s="12">
        <f t="shared" si="62"/>
        <v>60</v>
      </c>
      <c r="R197" s="12">
        <f t="shared" si="62"/>
        <v>60</v>
      </c>
      <c r="S197" s="12">
        <f t="shared" si="62"/>
        <v>60</v>
      </c>
      <c r="T197" s="12">
        <f t="shared" si="62"/>
        <v>60</v>
      </c>
      <c r="U197" s="12">
        <f t="shared" si="62"/>
        <v>60</v>
      </c>
      <c r="V197" s="12">
        <f t="shared" si="62"/>
        <v>60</v>
      </c>
      <c r="W197" s="12">
        <f t="shared" si="62"/>
        <v>60</v>
      </c>
    </row>
    <row r="198" spans="1:23" ht="12.75">
      <c r="A198" s="395" t="s">
        <v>64</v>
      </c>
      <c r="B198" s="395"/>
      <c r="C198" s="395"/>
      <c r="D198" s="395"/>
      <c r="E198" s="395"/>
      <c r="F198" s="395"/>
      <c r="G198" s="395"/>
      <c r="H198" s="395"/>
      <c r="I198" s="395"/>
      <c r="J198" s="395"/>
      <c r="K198" s="395"/>
      <c r="L198" s="395"/>
      <c r="M198" s="395"/>
      <c r="N198" s="395"/>
      <c r="O198" s="395"/>
      <c r="P198" s="395"/>
      <c r="Q198" s="395"/>
      <c r="R198" s="395"/>
      <c r="S198" s="395"/>
      <c r="T198" s="395"/>
      <c r="U198" s="395"/>
      <c r="V198" s="395"/>
      <c r="W198" s="395"/>
    </row>
    <row r="199" spans="1:23" ht="12.75">
      <c r="A199" s="100" t="s">
        <v>313</v>
      </c>
      <c r="B199" s="12" t="s">
        <v>55</v>
      </c>
      <c r="C199" s="12"/>
      <c r="D199" s="56">
        <v>1</v>
      </c>
      <c r="E199" s="56">
        <f>D199</f>
        <v>1</v>
      </c>
      <c r="F199" s="56">
        <f>E199</f>
        <v>1</v>
      </c>
      <c r="G199" s="56">
        <f>F199</f>
        <v>1</v>
      </c>
      <c r="H199" s="56">
        <f>G199</f>
        <v>1</v>
      </c>
      <c r="I199" s="56">
        <f>H199</f>
        <v>1</v>
      </c>
      <c r="J199" s="56">
        <f aca="true" t="shared" si="63" ref="J199:W199">I199</f>
        <v>1</v>
      </c>
      <c r="K199" s="56">
        <f t="shared" si="63"/>
        <v>1</v>
      </c>
      <c r="L199" s="56">
        <f t="shared" si="63"/>
        <v>1</v>
      </c>
      <c r="M199" s="56">
        <f t="shared" si="63"/>
        <v>1</v>
      </c>
      <c r="N199" s="56">
        <f t="shared" si="63"/>
        <v>1</v>
      </c>
      <c r="O199" s="56">
        <f t="shared" si="63"/>
        <v>1</v>
      </c>
      <c r="P199" s="56">
        <f t="shared" si="63"/>
        <v>1</v>
      </c>
      <c r="Q199" s="56">
        <f t="shared" si="63"/>
        <v>1</v>
      </c>
      <c r="R199" s="56">
        <f t="shared" si="63"/>
        <v>1</v>
      </c>
      <c r="S199" s="56">
        <f t="shared" si="63"/>
        <v>1</v>
      </c>
      <c r="T199" s="56">
        <f t="shared" si="63"/>
        <v>1</v>
      </c>
      <c r="U199" s="56">
        <f t="shared" si="63"/>
        <v>1</v>
      </c>
      <c r="V199" s="56">
        <f t="shared" si="63"/>
        <v>1</v>
      </c>
      <c r="W199" s="56">
        <f t="shared" si="63"/>
        <v>1</v>
      </c>
    </row>
    <row r="200" spans="1:23" ht="12.75">
      <c r="A200" s="57" t="s">
        <v>56</v>
      </c>
      <c r="B200" s="12" t="s">
        <v>55</v>
      </c>
      <c r="C200" s="12"/>
      <c r="D200" s="56">
        <f aca="true" t="shared" si="64" ref="D200:W200">1-D199</f>
        <v>0</v>
      </c>
      <c r="E200" s="56">
        <f t="shared" si="64"/>
        <v>0</v>
      </c>
      <c r="F200" s="56">
        <f t="shared" si="64"/>
        <v>0</v>
      </c>
      <c r="G200" s="56">
        <f t="shared" si="64"/>
        <v>0</v>
      </c>
      <c r="H200" s="56">
        <f t="shared" si="64"/>
        <v>0</v>
      </c>
      <c r="I200" s="56">
        <f t="shared" si="64"/>
        <v>0</v>
      </c>
      <c r="J200" s="56">
        <f t="shared" si="64"/>
        <v>0</v>
      </c>
      <c r="K200" s="56">
        <f t="shared" si="64"/>
        <v>0</v>
      </c>
      <c r="L200" s="56">
        <f t="shared" si="64"/>
        <v>0</v>
      </c>
      <c r="M200" s="56">
        <f t="shared" si="64"/>
        <v>0</v>
      </c>
      <c r="N200" s="56">
        <f t="shared" si="64"/>
        <v>0</v>
      </c>
      <c r="O200" s="56">
        <f t="shared" si="64"/>
        <v>0</v>
      </c>
      <c r="P200" s="56">
        <f t="shared" si="64"/>
        <v>0</v>
      </c>
      <c r="Q200" s="56">
        <f t="shared" si="64"/>
        <v>0</v>
      </c>
      <c r="R200" s="56">
        <f t="shared" si="64"/>
        <v>0</v>
      </c>
      <c r="S200" s="56">
        <f t="shared" si="64"/>
        <v>0</v>
      </c>
      <c r="T200" s="56">
        <f t="shared" si="64"/>
        <v>0</v>
      </c>
      <c r="U200" s="56">
        <f t="shared" si="64"/>
        <v>0</v>
      </c>
      <c r="V200" s="56">
        <f t="shared" si="64"/>
        <v>0</v>
      </c>
      <c r="W200" s="56">
        <f t="shared" si="64"/>
        <v>0</v>
      </c>
    </row>
    <row r="201" spans="1:23" ht="12.75">
      <c r="A201" s="54" t="s">
        <v>60</v>
      </c>
      <c r="B201" s="12" t="s">
        <v>61</v>
      </c>
      <c r="C201" s="12"/>
      <c r="D201" s="101">
        <f>E201</f>
        <v>0.030000000000000002</v>
      </c>
      <c r="E201" s="101">
        <f aca="true" t="shared" si="65" ref="E201:W201">((E199*$D$153+E200*$D$154)*(E197-E210)+($D$155*E210))/E197</f>
        <v>0.030000000000000002</v>
      </c>
      <c r="F201" s="101">
        <f t="shared" si="65"/>
        <v>0.030000000000000002</v>
      </c>
      <c r="G201" s="101">
        <f t="shared" si="65"/>
        <v>0.030000000000000002</v>
      </c>
      <c r="H201" s="101">
        <f t="shared" si="65"/>
        <v>0.030000000000000002</v>
      </c>
      <c r="I201" s="101">
        <f t="shared" si="65"/>
        <v>0.030000000000000002</v>
      </c>
      <c r="J201" s="101">
        <f t="shared" si="65"/>
        <v>0.030000000000000002</v>
      </c>
      <c r="K201" s="101">
        <f t="shared" si="65"/>
        <v>0.05277519048812751</v>
      </c>
      <c r="L201" s="101">
        <f t="shared" si="65"/>
        <v>0.06308200248968521</v>
      </c>
      <c r="M201" s="101">
        <f t="shared" si="65"/>
        <v>0.06657964090537809</v>
      </c>
      <c r="N201" s="101">
        <f t="shared" si="65"/>
        <v>0.06853433385411507</v>
      </c>
      <c r="O201" s="101">
        <f t="shared" si="65"/>
        <v>0.06853433385411507</v>
      </c>
      <c r="P201" s="101">
        <f t="shared" si="65"/>
        <v>0.06853433385411507</v>
      </c>
      <c r="Q201" s="101">
        <f t="shared" si="65"/>
        <v>0.06853433385411507</v>
      </c>
      <c r="R201" s="101">
        <f t="shared" si="65"/>
        <v>0.06853433385411507</v>
      </c>
      <c r="S201" s="101">
        <f t="shared" si="65"/>
        <v>0.06853433385411507</v>
      </c>
      <c r="T201" s="101">
        <f t="shared" si="65"/>
        <v>0.06853433385411507</v>
      </c>
      <c r="U201" s="101">
        <f t="shared" si="65"/>
        <v>0.06853433385411507</v>
      </c>
      <c r="V201" s="101">
        <f t="shared" si="65"/>
        <v>0.06853433385411507</v>
      </c>
      <c r="W201" s="101">
        <f t="shared" si="65"/>
        <v>0.06853433385411507</v>
      </c>
    </row>
    <row r="202" spans="1:23" ht="12.75">
      <c r="A202" s="54" t="s">
        <v>82</v>
      </c>
      <c r="B202" s="12" t="s">
        <v>54</v>
      </c>
      <c r="C202" s="12"/>
      <c r="D202" s="12">
        <v>75</v>
      </c>
      <c r="E202" s="12">
        <f aca="true" t="shared" si="66" ref="E202:W202">D202+E194</f>
        <v>150</v>
      </c>
      <c r="F202" s="12">
        <f t="shared" si="66"/>
        <v>150</v>
      </c>
      <c r="G202" s="12">
        <f t="shared" si="66"/>
        <v>150</v>
      </c>
      <c r="H202" s="12">
        <f t="shared" si="66"/>
        <v>150</v>
      </c>
      <c r="I202" s="12">
        <f t="shared" si="66"/>
        <v>150</v>
      </c>
      <c r="J202" s="12">
        <f t="shared" si="66"/>
        <v>150</v>
      </c>
      <c r="K202" s="12">
        <f t="shared" si="66"/>
        <v>350</v>
      </c>
      <c r="L202" s="12">
        <f t="shared" si="66"/>
        <v>550</v>
      </c>
      <c r="M202" s="12">
        <f t="shared" si="66"/>
        <v>750</v>
      </c>
      <c r="N202" s="12">
        <f t="shared" si="66"/>
        <v>1000</v>
      </c>
      <c r="O202" s="12">
        <f t="shared" si="66"/>
        <v>1000</v>
      </c>
      <c r="P202" s="12">
        <f t="shared" si="66"/>
        <v>1000</v>
      </c>
      <c r="Q202" s="12">
        <f t="shared" si="66"/>
        <v>1000</v>
      </c>
      <c r="R202" s="12">
        <f t="shared" si="66"/>
        <v>1000</v>
      </c>
      <c r="S202" s="12">
        <f t="shared" si="66"/>
        <v>1000</v>
      </c>
      <c r="T202" s="12">
        <f t="shared" si="66"/>
        <v>1000</v>
      </c>
      <c r="U202" s="12">
        <f t="shared" si="66"/>
        <v>1000</v>
      </c>
      <c r="V202" s="12">
        <f t="shared" si="66"/>
        <v>1000</v>
      </c>
      <c r="W202" s="12">
        <f t="shared" si="66"/>
        <v>1000</v>
      </c>
    </row>
    <row r="203" spans="1:23" s="96" customFormat="1" ht="27.75" customHeight="1">
      <c r="A203" s="97" t="s">
        <v>194</v>
      </c>
      <c r="B203" s="98" t="s">
        <v>40</v>
      </c>
      <c r="C203" s="105" t="s">
        <v>35</v>
      </c>
      <c r="D203" s="103">
        <v>0</v>
      </c>
      <c r="E203" s="103">
        <v>0</v>
      </c>
      <c r="F203" s="103">
        <f aca="true" t="shared" si="67" ref="F203:W203">E202*$N154/1000000</f>
        <v>0.3</v>
      </c>
      <c r="G203" s="103">
        <f t="shared" si="67"/>
        <v>0.3</v>
      </c>
      <c r="H203" s="103">
        <f t="shared" si="67"/>
        <v>0.3</v>
      </c>
      <c r="I203" s="103">
        <f t="shared" si="67"/>
        <v>0.3</v>
      </c>
      <c r="J203" s="103">
        <f t="shared" si="67"/>
        <v>0.3</v>
      </c>
      <c r="K203" s="103">
        <f t="shared" si="67"/>
        <v>0.3</v>
      </c>
      <c r="L203" s="103">
        <f t="shared" si="67"/>
        <v>0.7</v>
      </c>
      <c r="M203" s="103">
        <f t="shared" si="67"/>
        <v>1.1</v>
      </c>
      <c r="N203" s="103">
        <f t="shared" si="67"/>
        <v>1.5</v>
      </c>
      <c r="O203" s="103">
        <f t="shared" si="67"/>
        <v>2</v>
      </c>
      <c r="P203" s="103">
        <f t="shared" si="67"/>
        <v>2</v>
      </c>
      <c r="Q203" s="103">
        <f t="shared" si="67"/>
        <v>2</v>
      </c>
      <c r="R203" s="103">
        <f t="shared" si="67"/>
        <v>2</v>
      </c>
      <c r="S203" s="103">
        <f t="shared" si="67"/>
        <v>2</v>
      </c>
      <c r="T203" s="103">
        <f t="shared" si="67"/>
        <v>2</v>
      </c>
      <c r="U203" s="103">
        <f t="shared" si="67"/>
        <v>2</v>
      </c>
      <c r="V203" s="103">
        <f t="shared" si="67"/>
        <v>2</v>
      </c>
      <c r="W203" s="103">
        <f t="shared" si="67"/>
        <v>2</v>
      </c>
    </row>
    <row r="204" spans="1:23" s="159" customFormat="1" ht="12.75">
      <c r="A204" s="112" t="s">
        <v>83</v>
      </c>
      <c r="B204" s="158" t="s">
        <v>40</v>
      </c>
      <c r="C204" s="158"/>
      <c r="D204" s="158"/>
      <c r="E204" s="158">
        <f aca="true" t="shared" si="68" ref="E204:W204">-PMT(D201/12,$J$153*12,D197,D197*$J$154)*12</f>
        <v>0.26212781495730386</v>
      </c>
      <c r="F204" s="158">
        <f t="shared" si="68"/>
        <v>0.5242556299146077</v>
      </c>
      <c r="G204" s="158">
        <f t="shared" si="68"/>
        <v>0.5242556299146077</v>
      </c>
      <c r="H204" s="158">
        <f t="shared" si="68"/>
        <v>0.5242556299146077</v>
      </c>
      <c r="I204" s="158">
        <f t="shared" si="68"/>
        <v>0.5242556299146077</v>
      </c>
      <c r="J204" s="158">
        <f t="shared" si="68"/>
        <v>0.5242556299146077</v>
      </c>
      <c r="K204" s="158">
        <f t="shared" si="68"/>
        <v>0.5242556299146077</v>
      </c>
      <c r="L204" s="158">
        <f t="shared" si="68"/>
        <v>1.5344943017684443</v>
      </c>
      <c r="M204" s="158">
        <f t="shared" si="68"/>
        <v>2.653797772202239</v>
      </c>
      <c r="N204" s="158">
        <f t="shared" si="68"/>
        <v>3.7347745835008976</v>
      </c>
      <c r="O204" s="158">
        <f t="shared" si="68"/>
        <v>5.067171132386941</v>
      </c>
      <c r="P204" s="158">
        <f t="shared" si="68"/>
        <v>5.067171132386941</v>
      </c>
      <c r="Q204" s="158">
        <f t="shared" si="68"/>
        <v>5.067171132386941</v>
      </c>
      <c r="R204" s="158">
        <f t="shared" si="68"/>
        <v>5.067171132386941</v>
      </c>
      <c r="S204" s="158">
        <f t="shared" si="68"/>
        <v>5.067171132386941</v>
      </c>
      <c r="T204" s="158">
        <f t="shared" si="68"/>
        <v>5.067171132386941</v>
      </c>
      <c r="U204" s="158">
        <f t="shared" si="68"/>
        <v>5.067171132386941</v>
      </c>
      <c r="V204" s="158">
        <f t="shared" si="68"/>
        <v>5.067171132386941</v>
      </c>
      <c r="W204" s="158">
        <f t="shared" si="68"/>
        <v>5.067171132386941</v>
      </c>
    </row>
    <row r="205" spans="1:23" s="162" customFormat="1" ht="25.5">
      <c r="A205" s="115" t="s">
        <v>234</v>
      </c>
      <c r="B205" s="160" t="s">
        <v>40</v>
      </c>
      <c r="C205" s="160"/>
      <c r="D205" s="161"/>
      <c r="E205" s="161">
        <f>(D197*(1-$J$154)/$J$153)</f>
        <v>0.17099999999999999</v>
      </c>
      <c r="F205" s="161">
        <f>(E197*(1-$J$154)/$J$153)</f>
        <v>0.34199999999999997</v>
      </c>
      <c r="G205" s="161">
        <f aca="true" t="shared" si="69" ref="G205:W205">(F197*(1-$J$154)/$J$153)</f>
        <v>0.34199999999999997</v>
      </c>
      <c r="H205" s="161">
        <f t="shared" si="69"/>
        <v>0.34199999999999997</v>
      </c>
      <c r="I205" s="161">
        <f t="shared" si="69"/>
        <v>0.34199999999999997</v>
      </c>
      <c r="J205" s="161">
        <f t="shared" si="69"/>
        <v>0.34199999999999997</v>
      </c>
      <c r="K205" s="161">
        <f t="shared" si="69"/>
        <v>0.34199999999999997</v>
      </c>
      <c r="L205" s="161">
        <f t="shared" si="69"/>
        <v>0.7979999999999999</v>
      </c>
      <c r="M205" s="161">
        <f t="shared" si="69"/>
        <v>1.254</v>
      </c>
      <c r="N205" s="161">
        <f t="shared" si="69"/>
        <v>1.71</v>
      </c>
      <c r="O205" s="161">
        <f t="shared" si="69"/>
        <v>2.28</v>
      </c>
      <c r="P205" s="161">
        <f t="shared" si="69"/>
        <v>2.28</v>
      </c>
      <c r="Q205" s="161">
        <f t="shared" si="69"/>
        <v>2.28</v>
      </c>
      <c r="R205" s="161">
        <f t="shared" si="69"/>
        <v>2.28</v>
      </c>
      <c r="S205" s="161">
        <f t="shared" si="69"/>
        <v>2.28</v>
      </c>
      <c r="T205" s="161">
        <f t="shared" si="69"/>
        <v>2.28</v>
      </c>
      <c r="U205" s="161">
        <f t="shared" si="69"/>
        <v>2.28</v>
      </c>
      <c r="V205" s="161">
        <f t="shared" si="69"/>
        <v>2.28</v>
      </c>
      <c r="W205" s="161">
        <f t="shared" si="69"/>
        <v>2.28</v>
      </c>
    </row>
    <row r="206" spans="1:23" s="162" customFormat="1" ht="12.75">
      <c r="A206" s="115" t="s">
        <v>233</v>
      </c>
      <c r="B206" s="160" t="s">
        <v>40</v>
      </c>
      <c r="C206" s="160"/>
      <c r="D206" s="160"/>
      <c r="E206" s="160">
        <f aca="true" t="shared" si="70" ref="E206:W206">D207*$D156</f>
        <v>0</v>
      </c>
      <c r="F206" s="160">
        <f t="shared" si="70"/>
        <v>0.01572766889743823</v>
      </c>
      <c r="G206" s="160">
        <f t="shared" si="70"/>
        <v>0.04812666682616099</v>
      </c>
      <c r="H206" s="160">
        <f t="shared" si="70"/>
        <v>0.08246960463060711</v>
      </c>
      <c r="I206" s="160">
        <f t="shared" si="70"/>
        <v>0.11887311870332</v>
      </c>
      <c r="J206" s="160">
        <f t="shared" si="70"/>
        <v>0.15746084362039564</v>
      </c>
      <c r="K206" s="160">
        <f t="shared" si="70"/>
        <v>0.19836383203249586</v>
      </c>
      <c r="L206" s="160">
        <f t="shared" si="70"/>
        <v>0.24172099974932207</v>
      </c>
      <c r="M206" s="160">
        <f t="shared" si="70"/>
        <v>0.106572918091066</v>
      </c>
      <c r="N206" s="160">
        <f t="shared" si="70"/>
        <v>0.1656222414175983</v>
      </c>
      <c r="O206" s="160">
        <f t="shared" si="70"/>
        <v>0.23402380949510979</v>
      </c>
      <c r="P206" s="160">
        <f t="shared" si="70"/>
        <v>0.318071696512923</v>
      </c>
      <c r="Q206" s="160">
        <f t="shared" si="70"/>
        <v>0.6411862662469148</v>
      </c>
      <c r="R206" s="160">
        <f t="shared" si="70"/>
        <v>0.983687710164946</v>
      </c>
      <c r="S206" s="160">
        <f t="shared" si="70"/>
        <v>1.3467392407180594</v>
      </c>
      <c r="T206" s="160">
        <f t="shared" si="70"/>
        <v>1.7315738631043596</v>
      </c>
      <c r="U206" s="160">
        <f t="shared" si="70"/>
        <v>2.1394985628338374</v>
      </c>
      <c r="V206" s="160">
        <f t="shared" si="70"/>
        <v>2.571898744547084</v>
      </c>
      <c r="W206" s="160">
        <f t="shared" si="70"/>
        <v>3.030242937163125</v>
      </c>
    </row>
    <row r="207" spans="1:23" s="159" customFormat="1" ht="36.75" customHeight="1">
      <c r="A207" s="115" t="s">
        <v>322</v>
      </c>
      <c r="B207" s="160" t="s">
        <v>40</v>
      </c>
      <c r="C207" s="160"/>
      <c r="D207" s="160">
        <f>C207+D205+D206-C208</f>
        <v>0</v>
      </c>
      <c r="E207" s="160">
        <f aca="true" t="shared" si="71" ref="E207:W207">D207+E205+E206-D208+E214</f>
        <v>0.26212781495730386</v>
      </c>
      <c r="F207" s="160">
        <f t="shared" si="71"/>
        <v>0.8021111137693498</v>
      </c>
      <c r="G207" s="160">
        <f t="shared" si="71"/>
        <v>1.3744934105101185</v>
      </c>
      <c r="H207" s="160">
        <f t="shared" si="71"/>
        <v>1.9812186450553333</v>
      </c>
      <c r="I207" s="160">
        <f t="shared" si="71"/>
        <v>2.624347393673261</v>
      </c>
      <c r="J207" s="160">
        <f t="shared" si="71"/>
        <v>3.3060638672082643</v>
      </c>
      <c r="K207" s="160">
        <f t="shared" si="71"/>
        <v>4.028683329155368</v>
      </c>
      <c r="L207" s="160">
        <f t="shared" si="71"/>
        <v>1.7762153015177669</v>
      </c>
      <c r="M207" s="160">
        <f t="shared" si="71"/>
        <v>2.760370690293305</v>
      </c>
      <c r="N207" s="160">
        <f t="shared" si="71"/>
        <v>3.9003968249184964</v>
      </c>
      <c r="O207" s="160">
        <f t="shared" si="71"/>
        <v>5.30119494188205</v>
      </c>
      <c r="P207" s="160">
        <f t="shared" si="71"/>
        <v>10.686437770781913</v>
      </c>
      <c r="Q207" s="160">
        <f t="shared" si="71"/>
        <v>16.39479516941577</v>
      </c>
      <c r="R207" s="160">
        <f t="shared" si="71"/>
        <v>22.445654011967658</v>
      </c>
      <c r="S207" s="160">
        <f t="shared" si="71"/>
        <v>28.85956438507266</v>
      </c>
      <c r="T207" s="160">
        <f t="shared" si="71"/>
        <v>35.658309380563956</v>
      </c>
      <c r="U207" s="160">
        <f t="shared" si="71"/>
        <v>42.86497907578473</v>
      </c>
      <c r="V207" s="160">
        <f t="shared" si="71"/>
        <v>50.504048952718755</v>
      </c>
      <c r="W207" s="160">
        <f t="shared" si="71"/>
        <v>58.60146302226882</v>
      </c>
    </row>
    <row r="208" spans="1:23" s="159" customFormat="1" ht="25.5">
      <c r="A208" s="115" t="s">
        <v>196</v>
      </c>
      <c r="B208" s="161" t="s">
        <v>40</v>
      </c>
      <c r="C208" s="158"/>
      <c r="D208" s="158"/>
      <c r="E208" s="158"/>
      <c r="F208" s="158"/>
      <c r="G208" s="158"/>
      <c r="H208" s="158"/>
      <c r="I208" s="161">
        <f aca="true" t="shared" si="72" ref="I208:W208">IF(I207&gt;I196,I196,I207)</f>
        <v>0</v>
      </c>
      <c r="J208" s="161">
        <f t="shared" si="72"/>
        <v>0</v>
      </c>
      <c r="K208" s="161">
        <f t="shared" si="72"/>
        <v>4.028683329155368</v>
      </c>
      <c r="L208" s="161">
        <f t="shared" si="72"/>
        <v>1.7762153015177669</v>
      </c>
      <c r="M208" s="161">
        <f t="shared" si="72"/>
        <v>2.760370690293305</v>
      </c>
      <c r="N208" s="161">
        <f t="shared" si="72"/>
        <v>3.9003968249184964</v>
      </c>
      <c r="O208" s="161">
        <f t="shared" si="72"/>
        <v>0</v>
      </c>
      <c r="P208" s="161">
        <f t="shared" si="72"/>
        <v>0</v>
      </c>
      <c r="Q208" s="161">
        <f t="shared" si="72"/>
        <v>0</v>
      </c>
      <c r="R208" s="161">
        <f t="shared" si="72"/>
        <v>0</v>
      </c>
      <c r="S208" s="161">
        <f t="shared" si="72"/>
        <v>0</v>
      </c>
      <c r="T208" s="161">
        <f t="shared" si="72"/>
        <v>0</v>
      </c>
      <c r="U208" s="161">
        <f t="shared" si="72"/>
        <v>0</v>
      </c>
      <c r="V208" s="161">
        <f t="shared" si="72"/>
        <v>0</v>
      </c>
      <c r="W208" s="161">
        <f t="shared" si="72"/>
        <v>0</v>
      </c>
    </row>
    <row r="209" spans="1:23" s="159" customFormat="1" ht="12.75">
      <c r="A209" s="115" t="s">
        <v>184</v>
      </c>
      <c r="B209" s="161" t="s">
        <v>40</v>
      </c>
      <c r="C209" s="158"/>
      <c r="D209" s="158"/>
      <c r="E209" s="158"/>
      <c r="F209" s="158"/>
      <c r="G209" s="158"/>
      <c r="H209" s="158"/>
      <c r="I209" s="158"/>
      <c r="J209" s="158"/>
      <c r="K209" s="158">
        <f>K196-K208</f>
        <v>7.971316670844632</v>
      </c>
      <c r="L209" s="158">
        <f>L196-L208</f>
        <v>10.223784698482234</v>
      </c>
      <c r="M209" s="158">
        <f>M196-M208</f>
        <v>9.239629309706695</v>
      </c>
      <c r="N209" s="158">
        <f>N196-N208</f>
        <v>11.099603175081503</v>
      </c>
      <c r="O209" s="158">
        <f aca="true" t="shared" si="73" ref="O209:W209">O196-O208</f>
        <v>0</v>
      </c>
      <c r="P209" s="158">
        <f t="shared" si="73"/>
        <v>0</v>
      </c>
      <c r="Q209" s="158">
        <f t="shared" si="73"/>
        <v>0</v>
      </c>
      <c r="R209" s="158">
        <f t="shared" si="73"/>
        <v>0</v>
      </c>
      <c r="S209" s="158">
        <f t="shared" si="73"/>
        <v>0</v>
      </c>
      <c r="T209" s="158">
        <f t="shared" si="73"/>
        <v>0</v>
      </c>
      <c r="U209" s="158">
        <f t="shared" si="73"/>
        <v>0</v>
      </c>
      <c r="V209" s="158">
        <f t="shared" si="73"/>
        <v>0</v>
      </c>
      <c r="W209" s="158">
        <f t="shared" si="73"/>
        <v>0</v>
      </c>
    </row>
    <row r="210" spans="1:23" s="159" customFormat="1" ht="12.75">
      <c r="A210" s="115" t="s">
        <v>231</v>
      </c>
      <c r="B210" s="161" t="s">
        <v>40</v>
      </c>
      <c r="C210" s="158"/>
      <c r="D210" s="158">
        <v>0</v>
      </c>
      <c r="E210" s="158"/>
      <c r="F210" s="158"/>
      <c r="G210" s="158"/>
      <c r="H210" s="158"/>
      <c r="I210" s="158"/>
      <c r="J210" s="158"/>
      <c r="K210" s="158">
        <f>K209</f>
        <v>7.971316670844632</v>
      </c>
      <c r="L210" s="158">
        <f aca="true" t="shared" si="74" ref="L210:W210">K210+L209</f>
        <v>18.195101369326867</v>
      </c>
      <c r="M210" s="158">
        <f t="shared" si="74"/>
        <v>27.434730679033564</v>
      </c>
      <c r="N210" s="158">
        <f t="shared" si="74"/>
        <v>38.53433385411507</v>
      </c>
      <c r="O210" s="158">
        <f t="shared" si="74"/>
        <v>38.53433385411507</v>
      </c>
      <c r="P210" s="158">
        <f t="shared" si="74"/>
        <v>38.53433385411507</v>
      </c>
      <c r="Q210" s="158">
        <f t="shared" si="74"/>
        <v>38.53433385411507</v>
      </c>
      <c r="R210" s="158">
        <f t="shared" si="74"/>
        <v>38.53433385411507</v>
      </c>
      <c r="S210" s="158">
        <f t="shared" si="74"/>
        <v>38.53433385411507</v>
      </c>
      <c r="T210" s="158">
        <f t="shared" si="74"/>
        <v>38.53433385411507</v>
      </c>
      <c r="U210" s="158">
        <f t="shared" si="74"/>
        <v>38.53433385411507</v>
      </c>
      <c r="V210" s="158">
        <f t="shared" si="74"/>
        <v>38.53433385411507</v>
      </c>
      <c r="W210" s="158">
        <f t="shared" si="74"/>
        <v>38.53433385411507</v>
      </c>
    </row>
    <row r="211" spans="1:23" s="159" customFormat="1" ht="12.75">
      <c r="A211" s="115" t="s">
        <v>187</v>
      </c>
      <c r="B211" s="161" t="s">
        <v>40</v>
      </c>
      <c r="C211" s="158"/>
      <c r="D211" s="158">
        <v>0</v>
      </c>
      <c r="E211" s="158"/>
      <c r="F211" s="158"/>
      <c r="G211" s="158"/>
      <c r="H211" s="158"/>
      <c r="I211" s="158"/>
      <c r="J211" s="158"/>
      <c r="K211" s="161">
        <f>-IPMT($D$155,K192-J192,$G$155,K210)/2</f>
        <v>0.3587092501880084</v>
      </c>
      <c r="L211" s="161">
        <f aca="true" t="shared" si="75" ref="L211:W211">-IPMT($D$155,L192-K192,$G$155,K213)</f>
        <v>0.6379141176619425</v>
      </c>
      <c r="M211" s="161">
        <f t="shared" si="75"/>
        <v>1.3603024013003937</v>
      </c>
      <c r="N211" s="161">
        <f t="shared" si="75"/>
        <v>1.9295568571976893</v>
      </c>
      <c r="O211" s="161">
        <f t="shared" si="75"/>
        <v>2.5617831571868526</v>
      </c>
      <c r="P211" s="161">
        <f t="shared" si="75"/>
        <v>2.2519455384177056</v>
      </c>
      <c r="Q211" s="161">
        <f t="shared" si="75"/>
        <v>1.914222533959335</v>
      </c>
      <c r="R211" s="161">
        <f t="shared" si="75"/>
        <v>1.5461044590997115</v>
      </c>
      <c r="S211" s="161">
        <f t="shared" si="75"/>
        <v>1.1448557575027216</v>
      </c>
      <c r="T211" s="161">
        <f t="shared" si="75"/>
        <v>0.7074946727620027</v>
      </c>
      <c r="U211" s="161">
        <f t="shared" si="75"/>
        <v>0.23077109039461913</v>
      </c>
      <c r="V211" s="161">
        <f t="shared" si="75"/>
        <v>0</v>
      </c>
      <c r="W211" s="161">
        <f t="shared" si="75"/>
        <v>0</v>
      </c>
    </row>
    <row r="212" spans="1:23" s="159" customFormat="1" ht="12.75">
      <c r="A212" s="115" t="s">
        <v>190</v>
      </c>
      <c r="B212" s="161" t="s">
        <v>40</v>
      </c>
      <c r="C212" s="158"/>
      <c r="D212" s="158"/>
      <c r="E212" s="158"/>
      <c r="F212" s="158"/>
      <c r="G212" s="158"/>
      <c r="H212" s="158"/>
      <c r="I212" s="158"/>
      <c r="J212" s="158"/>
      <c r="K212" s="161">
        <f aca="true" t="shared" si="76" ref="K212:T212">-PMT($D$155,$G$155,K210)-K211</f>
        <v>0.8833820301563815</v>
      </c>
      <c r="L212" s="161">
        <f t="shared" si="76"/>
        <v>2.1972482136105524</v>
      </c>
      <c r="M212" s="161">
        <f t="shared" si="76"/>
        <v>2.9145797997367415</v>
      </c>
      <c r="N212" s="161">
        <f t="shared" si="76"/>
        <v>4.0748665085352425</v>
      </c>
      <c r="O212" s="161">
        <f t="shared" si="76"/>
        <v>3.4426402085460794</v>
      </c>
      <c r="P212" s="161">
        <f t="shared" si="76"/>
        <v>3.7524778273152264</v>
      </c>
      <c r="Q212" s="161">
        <f t="shared" si="76"/>
        <v>4.090200831773597</v>
      </c>
      <c r="R212" s="161">
        <f t="shared" si="76"/>
        <v>4.45831890663322</v>
      </c>
      <c r="S212" s="161">
        <f t="shared" si="76"/>
        <v>4.85956760823021</v>
      </c>
      <c r="T212" s="161">
        <f t="shared" si="76"/>
        <v>5.296928692970929</v>
      </c>
      <c r="U212" s="161">
        <f>T213</f>
        <v>2.5641232266068794</v>
      </c>
      <c r="V212" s="161">
        <v>0</v>
      </c>
      <c r="W212" s="161">
        <v>0</v>
      </c>
    </row>
    <row r="213" spans="1:23" s="159" customFormat="1" ht="12.75">
      <c r="A213" s="115" t="s">
        <v>191</v>
      </c>
      <c r="B213" s="161" t="s">
        <v>40</v>
      </c>
      <c r="C213" s="158"/>
      <c r="D213" s="158"/>
      <c r="E213" s="158"/>
      <c r="F213" s="158"/>
      <c r="G213" s="158"/>
      <c r="H213" s="158"/>
      <c r="I213" s="158"/>
      <c r="J213" s="158"/>
      <c r="K213" s="161">
        <f>J213+K209-K212</f>
        <v>7.087934640688251</v>
      </c>
      <c r="L213" s="161">
        <f aca="true" t="shared" si="77" ref="L213:W213">K213+L209-L212</f>
        <v>15.11447112555993</v>
      </c>
      <c r="M213" s="161">
        <f t="shared" si="77"/>
        <v>21.43952063552988</v>
      </c>
      <c r="N213" s="161">
        <f t="shared" si="77"/>
        <v>28.464257302076142</v>
      </c>
      <c r="O213" s="161">
        <f t="shared" si="77"/>
        <v>25.02161709353006</v>
      </c>
      <c r="P213" s="161">
        <f t="shared" si="77"/>
        <v>21.269139266214836</v>
      </c>
      <c r="Q213" s="161">
        <f t="shared" si="77"/>
        <v>17.17893843444124</v>
      </c>
      <c r="R213" s="161">
        <f t="shared" si="77"/>
        <v>12.720619527808019</v>
      </c>
      <c r="S213" s="161">
        <f t="shared" si="77"/>
        <v>7.861051919577808</v>
      </c>
      <c r="T213" s="161">
        <f t="shared" si="77"/>
        <v>2.5641232266068794</v>
      </c>
      <c r="U213" s="161">
        <f t="shared" si="77"/>
        <v>0</v>
      </c>
      <c r="V213" s="161">
        <f t="shared" si="77"/>
        <v>0</v>
      </c>
      <c r="W213" s="161">
        <f t="shared" si="77"/>
        <v>0</v>
      </c>
    </row>
    <row r="214" spans="1:23" s="159" customFormat="1" ht="12.75">
      <c r="A214" s="112" t="s">
        <v>232</v>
      </c>
      <c r="B214" s="158" t="s">
        <v>40</v>
      </c>
      <c r="C214" s="158"/>
      <c r="D214" s="158"/>
      <c r="E214" s="158">
        <f>E204-E205</f>
        <v>0.09112781495730388</v>
      </c>
      <c r="F214" s="158">
        <f>F204-F205</f>
        <v>0.18225562991460775</v>
      </c>
      <c r="G214" s="158">
        <f aca="true" t="shared" si="78" ref="G214:W214">G204-G205</f>
        <v>0.18225562991460775</v>
      </c>
      <c r="H214" s="158">
        <f t="shared" si="78"/>
        <v>0.18225562991460775</v>
      </c>
      <c r="I214" s="158">
        <f t="shared" si="78"/>
        <v>0.18225562991460775</v>
      </c>
      <c r="J214" s="158">
        <f t="shared" si="78"/>
        <v>0.18225562991460775</v>
      </c>
      <c r="K214" s="158">
        <f t="shared" si="78"/>
        <v>0.18225562991460775</v>
      </c>
      <c r="L214" s="158">
        <f t="shared" si="78"/>
        <v>0.7364943017684443</v>
      </c>
      <c r="M214" s="158">
        <f t="shared" si="78"/>
        <v>1.399797772202239</v>
      </c>
      <c r="N214" s="158">
        <f t="shared" si="78"/>
        <v>2.0247745835008977</v>
      </c>
      <c r="O214" s="158">
        <f t="shared" si="78"/>
        <v>2.787171132386941</v>
      </c>
      <c r="P214" s="158">
        <f t="shared" si="78"/>
        <v>2.787171132386941</v>
      </c>
      <c r="Q214" s="158">
        <f t="shared" si="78"/>
        <v>2.787171132386941</v>
      </c>
      <c r="R214" s="158">
        <f t="shared" si="78"/>
        <v>2.787171132386941</v>
      </c>
      <c r="S214" s="158">
        <f t="shared" si="78"/>
        <v>2.787171132386941</v>
      </c>
      <c r="T214" s="158">
        <f t="shared" si="78"/>
        <v>2.787171132386941</v>
      </c>
      <c r="U214" s="158">
        <f t="shared" si="78"/>
        <v>2.787171132386941</v>
      </c>
      <c r="V214" s="158">
        <f t="shared" si="78"/>
        <v>2.787171132386941</v>
      </c>
      <c r="W214" s="158">
        <f t="shared" si="78"/>
        <v>2.787171132386941</v>
      </c>
    </row>
    <row r="215" spans="1:23" s="159" customFormat="1" ht="12.75">
      <c r="A215" s="114" t="s">
        <v>193</v>
      </c>
      <c r="B215" s="158" t="s">
        <v>40</v>
      </c>
      <c r="C215" s="158"/>
      <c r="D215" s="158"/>
      <c r="E215" s="158">
        <f>E204*0.05</f>
        <v>0.013106390747865194</v>
      </c>
      <c r="F215" s="158">
        <f aca="true" t="shared" si="79" ref="F215:W215">F204*0.05</f>
        <v>0.026212781495730388</v>
      </c>
      <c r="G215" s="158">
        <f t="shared" si="79"/>
        <v>0.026212781495730388</v>
      </c>
      <c r="H215" s="158">
        <f t="shared" si="79"/>
        <v>0.026212781495730388</v>
      </c>
      <c r="I215" s="158">
        <f t="shared" si="79"/>
        <v>0.026212781495730388</v>
      </c>
      <c r="J215" s="158">
        <f t="shared" si="79"/>
        <v>0.026212781495730388</v>
      </c>
      <c r="K215" s="158">
        <f t="shared" si="79"/>
        <v>0.026212781495730388</v>
      </c>
      <c r="L215" s="158">
        <f t="shared" si="79"/>
        <v>0.07672471508842221</v>
      </c>
      <c r="M215" s="158">
        <f t="shared" si="79"/>
        <v>0.13268988861011197</v>
      </c>
      <c r="N215" s="158">
        <f t="shared" si="79"/>
        <v>0.1867387291750449</v>
      </c>
      <c r="O215" s="158">
        <f t="shared" si="79"/>
        <v>0.25335855661934703</v>
      </c>
      <c r="P215" s="158">
        <f t="shared" si="79"/>
        <v>0.25335855661934703</v>
      </c>
      <c r="Q215" s="158">
        <f t="shared" si="79"/>
        <v>0.25335855661934703</v>
      </c>
      <c r="R215" s="158">
        <f t="shared" si="79"/>
        <v>0.25335855661934703</v>
      </c>
      <c r="S215" s="158">
        <f t="shared" si="79"/>
        <v>0.25335855661934703</v>
      </c>
      <c r="T215" s="158">
        <f t="shared" si="79"/>
        <v>0.25335855661934703</v>
      </c>
      <c r="U215" s="158">
        <f t="shared" si="79"/>
        <v>0.25335855661934703</v>
      </c>
      <c r="V215" s="158">
        <f t="shared" si="79"/>
        <v>0.25335855661934703</v>
      </c>
      <c r="W215" s="158">
        <f t="shared" si="79"/>
        <v>0.25335855661934703</v>
      </c>
    </row>
    <row r="216" spans="1:23" s="159" customFormat="1" ht="12.75">
      <c r="A216" s="114" t="s">
        <v>74</v>
      </c>
      <c r="B216" s="158" t="s">
        <v>40</v>
      </c>
      <c r="C216" s="158"/>
      <c r="D216" s="158"/>
      <c r="E216" s="158">
        <f>E204+E215+E206</f>
        <v>0.27523420570516904</v>
      </c>
      <c r="F216" s="158">
        <f aca="true" t="shared" si="80" ref="F216:W216">F204+F215+F206</f>
        <v>0.5661960803077764</v>
      </c>
      <c r="G216" s="158">
        <f t="shared" si="80"/>
        <v>0.598595078236499</v>
      </c>
      <c r="H216" s="158">
        <f t="shared" si="80"/>
        <v>0.6329380160409452</v>
      </c>
      <c r="I216" s="158">
        <f t="shared" si="80"/>
        <v>0.669341530113658</v>
      </c>
      <c r="J216" s="158">
        <f t="shared" si="80"/>
        <v>0.7079292550307337</v>
      </c>
      <c r="K216" s="158">
        <f t="shared" si="80"/>
        <v>0.748832243442834</v>
      </c>
      <c r="L216" s="158">
        <f t="shared" si="80"/>
        <v>1.8529400166061887</v>
      </c>
      <c r="M216" s="158">
        <f t="shared" si="80"/>
        <v>2.893060578903417</v>
      </c>
      <c r="N216" s="158">
        <f t="shared" si="80"/>
        <v>4.087135554093541</v>
      </c>
      <c r="O216" s="158">
        <f t="shared" si="80"/>
        <v>5.554553498501397</v>
      </c>
      <c r="P216" s="158">
        <f t="shared" si="80"/>
        <v>5.63860138551921</v>
      </c>
      <c r="Q216" s="158">
        <f t="shared" si="80"/>
        <v>5.961715955253202</v>
      </c>
      <c r="R216" s="158">
        <f t="shared" si="80"/>
        <v>6.304217399171233</v>
      </c>
      <c r="S216" s="158">
        <f t="shared" si="80"/>
        <v>6.667268929724346</v>
      </c>
      <c r="T216" s="158">
        <f t="shared" si="80"/>
        <v>7.052103552110647</v>
      </c>
      <c r="U216" s="158">
        <f t="shared" si="80"/>
        <v>7.460028251840125</v>
      </c>
      <c r="V216" s="158">
        <f t="shared" si="80"/>
        <v>7.892428433553372</v>
      </c>
      <c r="W216" s="158">
        <f t="shared" si="80"/>
        <v>8.350772626169412</v>
      </c>
    </row>
    <row r="217" spans="1:23" s="159" customFormat="1" ht="12.75">
      <c r="A217" s="112" t="s">
        <v>182</v>
      </c>
      <c r="B217" s="158" t="s">
        <v>40</v>
      </c>
      <c r="C217" s="158"/>
      <c r="D217" s="158"/>
      <c r="E217" s="158">
        <f>D197*(1-$J$154)/$J$153</f>
        <v>0.17099999999999999</v>
      </c>
      <c r="F217" s="158">
        <f>E197*(1-$J$154)/$J$153</f>
        <v>0.34199999999999997</v>
      </c>
      <c r="G217" s="158">
        <f aca="true" t="shared" si="81" ref="G217:W217">F197*(1-$J$154)/$J$153</f>
        <v>0.34199999999999997</v>
      </c>
      <c r="H217" s="158">
        <f t="shared" si="81"/>
        <v>0.34199999999999997</v>
      </c>
      <c r="I217" s="158">
        <f t="shared" si="81"/>
        <v>0.34199999999999997</v>
      </c>
      <c r="J217" s="158">
        <f t="shared" si="81"/>
        <v>0.34199999999999997</v>
      </c>
      <c r="K217" s="158">
        <f t="shared" si="81"/>
        <v>0.34199999999999997</v>
      </c>
      <c r="L217" s="158">
        <f t="shared" si="81"/>
        <v>0.7979999999999999</v>
      </c>
      <c r="M217" s="158">
        <f t="shared" si="81"/>
        <v>1.254</v>
      </c>
      <c r="N217" s="158">
        <f t="shared" si="81"/>
        <v>1.71</v>
      </c>
      <c r="O217" s="158">
        <f t="shared" si="81"/>
        <v>2.28</v>
      </c>
      <c r="P217" s="158">
        <f t="shared" si="81"/>
        <v>2.28</v>
      </c>
      <c r="Q217" s="158">
        <f t="shared" si="81"/>
        <v>2.28</v>
      </c>
      <c r="R217" s="158">
        <f t="shared" si="81"/>
        <v>2.28</v>
      </c>
      <c r="S217" s="158">
        <f t="shared" si="81"/>
        <v>2.28</v>
      </c>
      <c r="T217" s="158">
        <f t="shared" si="81"/>
        <v>2.28</v>
      </c>
      <c r="U217" s="158">
        <f t="shared" si="81"/>
        <v>2.28</v>
      </c>
      <c r="V217" s="158">
        <f t="shared" si="81"/>
        <v>2.28</v>
      </c>
      <c r="W217" s="158">
        <f t="shared" si="81"/>
        <v>2.28</v>
      </c>
    </row>
    <row r="218" spans="1:23" s="113" customFormat="1" ht="12.75">
      <c r="A218" s="112" t="s">
        <v>77</v>
      </c>
      <c r="B218" s="28" t="s">
        <v>40</v>
      </c>
      <c r="C218" s="28"/>
      <c r="D218" s="28">
        <v>0</v>
      </c>
      <c r="E218" s="28">
        <f aca="true" t="shared" si="82" ref="E218:V218">E215+E217+E211</f>
        <v>0.18410639074786517</v>
      </c>
      <c r="F218" s="28">
        <f t="shared" si="82"/>
        <v>0.36821278149573033</v>
      </c>
      <c r="G218" s="28">
        <f t="shared" si="82"/>
        <v>0.36821278149573033</v>
      </c>
      <c r="H218" s="28">
        <f t="shared" si="82"/>
        <v>0.36821278149573033</v>
      </c>
      <c r="I218" s="28">
        <f t="shared" si="82"/>
        <v>0.36821278149573033</v>
      </c>
      <c r="J218" s="28">
        <f t="shared" si="82"/>
        <v>0.36821278149573033</v>
      </c>
      <c r="K218" s="28">
        <f t="shared" si="82"/>
        <v>0.7269220316837388</v>
      </c>
      <c r="L218" s="28">
        <f t="shared" si="82"/>
        <v>1.5126388327503646</v>
      </c>
      <c r="M218" s="28">
        <f t="shared" si="82"/>
        <v>2.746992289910506</v>
      </c>
      <c r="N218" s="28">
        <f t="shared" si="82"/>
        <v>3.8262955863727344</v>
      </c>
      <c r="O218" s="28">
        <f t="shared" si="82"/>
        <v>5.0951417138062</v>
      </c>
      <c r="P218" s="28">
        <f t="shared" si="82"/>
        <v>4.785304095037052</v>
      </c>
      <c r="Q218" s="28">
        <f t="shared" si="82"/>
        <v>4.447581090578682</v>
      </c>
      <c r="R218" s="28">
        <f t="shared" si="82"/>
        <v>4.079463015719059</v>
      </c>
      <c r="S218" s="28">
        <f t="shared" si="82"/>
        <v>3.6782143141220685</v>
      </c>
      <c r="T218" s="28">
        <f t="shared" si="82"/>
        <v>3.2408532293813495</v>
      </c>
      <c r="U218" s="28">
        <f t="shared" si="82"/>
        <v>2.764129647013966</v>
      </c>
      <c r="V218" s="28">
        <f t="shared" si="82"/>
        <v>2.533358556619347</v>
      </c>
      <c r="W218" s="28">
        <f>W215+W217+W211</f>
        <v>2.533358556619347</v>
      </c>
    </row>
    <row r="219" spans="1:23" s="113" customFormat="1" ht="12.75">
      <c r="A219" s="112" t="s">
        <v>78</v>
      </c>
      <c r="B219" s="28" t="s">
        <v>40</v>
      </c>
      <c r="C219" s="28"/>
      <c r="D219" s="28"/>
      <c r="E219" s="28">
        <f aca="true" t="shared" si="83" ref="E219:W219">E216-E218</f>
        <v>0.09112781495730388</v>
      </c>
      <c r="F219" s="28">
        <f t="shared" si="83"/>
        <v>0.19798329881204602</v>
      </c>
      <c r="G219" s="28">
        <f t="shared" si="83"/>
        <v>0.2303822967407687</v>
      </c>
      <c r="H219" s="28">
        <f t="shared" si="83"/>
        <v>0.2647252345452149</v>
      </c>
      <c r="I219" s="28">
        <f t="shared" si="83"/>
        <v>0.3011287486179277</v>
      </c>
      <c r="J219" s="28">
        <f t="shared" si="83"/>
        <v>0.33971647353500334</v>
      </c>
      <c r="K219" s="28">
        <f t="shared" si="83"/>
        <v>0.021910211759095133</v>
      </c>
      <c r="L219" s="28">
        <f t="shared" si="83"/>
        <v>0.3403011838558241</v>
      </c>
      <c r="M219" s="28">
        <f t="shared" si="83"/>
        <v>0.14606828899291102</v>
      </c>
      <c r="N219" s="28">
        <f t="shared" si="83"/>
        <v>0.2608399677208064</v>
      </c>
      <c r="O219" s="28">
        <f t="shared" si="83"/>
        <v>0.45941178469519706</v>
      </c>
      <c r="P219" s="28">
        <f t="shared" si="83"/>
        <v>0.8532972904821579</v>
      </c>
      <c r="Q219" s="28">
        <f t="shared" si="83"/>
        <v>1.5141348646745199</v>
      </c>
      <c r="R219" s="28">
        <f t="shared" si="83"/>
        <v>2.224754383452175</v>
      </c>
      <c r="S219" s="28">
        <f t="shared" si="83"/>
        <v>2.989054615602278</v>
      </c>
      <c r="T219" s="28">
        <f t="shared" si="83"/>
        <v>3.8112503227292973</v>
      </c>
      <c r="U219" s="28">
        <f t="shared" si="83"/>
        <v>4.695898604826159</v>
      </c>
      <c r="V219" s="28">
        <f t="shared" si="83"/>
        <v>5.359069876934025</v>
      </c>
      <c r="W219" s="28">
        <f t="shared" si="83"/>
        <v>5.817414069550066</v>
      </c>
    </row>
    <row r="220" spans="1:23" s="113" customFormat="1" ht="12.75">
      <c r="A220" s="112" t="s">
        <v>95</v>
      </c>
      <c r="B220" s="28" t="s">
        <v>40</v>
      </c>
      <c r="C220" s="28"/>
      <c r="D220" s="28">
        <f>D204+D214+D206-D211-D196</f>
        <v>-4.5</v>
      </c>
      <c r="E220" s="28">
        <f aca="true" t="shared" si="84" ref="E220:V220">E204+E214+E206-E211-E196</f>
        <v>-4.1467443700853925</v>
      </c>
      <c r="F220" s="28">
        <f t="shared" si="84"/>
        <v>0.7222389287266537</v>
      </c>
      <c r="G220" s="28">
        <f t="shared" si="84"/>
        <v>0.7546379266553764</v>
      </c>
      <c r="H220" s="28">
        <f>H204+H214+H206-H211-H196</f>
        <v>0.7889808644598226</v>
      </c>
      <c r="I220" s="28">
        <f t="shared" si="84"/>
        <v>0.8253843785325354</v>
      </c>
      <c r="J220" s="28">
        <f t="shared" si="84"/>
        <v>0.8639721034496111</v>
      </c>
      <c r="K220" s="28">
        <f>K204+K214+K206-K211-K196</f>
        <v>-11.453834158326297</v>
      </c>
      <c r="L220" s="28">
        <f t="shared" si="84"/>
        <v>-10.125204514375731</v>
      </c>
      <c r="M220" s="28">
        <f t="shared" si="84"/>
        <v>-9.20013393880485</v>
      </c>
      <c r="N220" s="28">
        <f t="shared" si="84"/>
        <v>-11.004385448778297</v>
      </c>
      <c r="O220" s="28">
        <f>O204+O214+O206-O211-O196</f>
        <v>5.5265829170821394</v>
      </c>
      <c r="P220" s="28">
        <f t="shared" si="84"/>
        <v>5.920468422869099</v>
      </c>
      <c r="Q220" s="28">
        <f>Q204+Q214+Q206-Q211-Q196</f>
        <v>6.581305997061462</v>
      </c>
      <c r="R220" s="28">
        <f t="shared" si="84"/>
        <v>7.291925515839115</v>
      </c>
      <c r="S220" s="28">
        <f t="shared" si="84"/>
        <v>8.05622574798922</v>
      </c>
      <c r="T220" s="28">
        <f t="shared" si="84"/>
        <v>8.87842145511624</v>
      </c>
      <c r="U220" s="28">
        <f>U204+U214+U206-U211-U196</f>
        <v>9.763069737213101</v>
      </c>
      <c r="V220" s="28">
        <f t="shared" si="84"/>
        <v>10.426241009320966</v>
      </c>
      <c r="W220" s="28">
        <f>W204+W214+W206-W211-W196</f>
        <v>10.884585201937007</v>
      </c>
    </row>
    <row r="221" spans="1:23" ht="12.75">
      <c r="A221" s="57" t="s">
        <v>97</v>
      </c>
      <c r="B221" s="12" t="s">
        <v>61</v>
      </c>
      <c r="C221" s="56">
        <f>IRR(D220:W220)</f>
        <v>0.05611930866760218</v>
      </c>
      <c r="D221" s="370"/>
      <c r="E221" s="370"/>
      <c r="F221" s="370"/>
      <c r="G221" s="370"/>
      <c r="H221" s="370"/>
      <c r="I221" s="370"/>
      <c r="J221" s="370"/>
      <c r="K221" s="370"/>
      <c r="L221" s="370"/>
      <c r="M221" s="370"/>
      <c r="N221" s="370"/>
      <c r="O221" s="370"/>
      <c r="P221" s="370"/>
      <c r="Q221" s="370"/>
      <c r="R221" s="370"/>
      <c r="S221" s="370"/>
      <c r="T221" s="370"/>
      <c r="U221" s="370"/>
      <c r="V221" s="370"/>
      <c r="W221" s="370"/>
    </row>
    <row r="222" spans="1:23" ht="12.75">
      <c r="A222" s="55" t="s">
        <v>96</v>
      </c>
      <c r="B222" s="12" t="s">
        <v>40</v>
      </c>
      <c r="C222" s="58">
        <f>NPV(D201,D220:W220)</f>
        <v>8.56908538696101</v>
      </c>
      <c r="D222" s="370"/>
      <c r="E222" s="370"/>
      <c r="F222" s="370"/>
      <c r="G222" s="370"/>
      <c r="H222" s="370"/>
      <c r="I222" s="370"/>
      <c r="J222" s="370"/>
      <c r="K222" s="370"/>
      <c r="L222" s="370"/>
      <c r="M222" s="370"/>
      <c r="N222" s="370"/>
      <c r="O222" s="370"/>
      <c r="P222" s="370"/>
      <c r="Q222" s="370"/>
      <c r="R222" s="370"/>
      <c r="S222" s="370"/>
      <c r="T222" s="370"/>
      <c r="U222" s="370"/>
      <c r="V222" s="370"/>
      <c r="W222" s="370"/>
    </row>
    <row r="223" spans="1:23" ht="12.75">
      <c r="A223" s="29"/>
      <c r="B223" s="14" t="s">
        <v>3</v>
      </c>
      <c r="C223" s="14">
        <v>2007</v>
      </c>
      <c r="D223" s="14">
        <f>C223+1</f>
        <v>2008</v>
      </c>
      <c r="E223" s="14">
        <f aca="true" t="shared" si="85" ref="E223:W223">D223+1</f>
        <v>2009</v>
      </c>
      <c r="F223" s="14">
        <f t="shared" si="85"/>
        <v>2010</v>
      </c>
      <c r="G223" s="14">
        <f t="shared" si="85"/>
        <v>2011</v>
      </c>
      <c r="H223" s="14">
        <f t="shared" si="85"/>
        <v>2012</v>
      </c>
      <c r="I223" s="14">
        <f t="shared" si="85"/>
        <v>2013</v>
      </c>
      <c r="J223" s="14">
        <f t="shared" si="85"/>
        <v>2014</v>
      </c>
      <c r="K223" s="14">
        <f t="shared" si="85"/>
        <v>2015</v>
      </c>
      <c r="L223" s="14">
        <f t="shared" si="85"/>
        <v>2016</v>
      </c>
      <c r="M223" s="14">
        <f t="shared" si="85"/>
        <v>2017</v>
      </c>
      <c r="N223" s="14">
        <f t="shared" si="85"/>
        <v>2018</v>
      </c>
      <c r="O223" s="14">
        <f t="shared" si="85"/>
        <v>2019</v>
      </c>
      <c r="P223" s="14">
        <f t="shared" si="85"/>
        <v>2020</v>
      </c>
      <c r="Q223" s="14">
        <f t="shared" si="85"/>
        <v>2021</v>
      </c>
      <c r="R223" s="14">
        <f t="shared" si="85"/>
        <v>2022</v>
      </c>
      <c r="S223" s="14">
        <f t="shared" si="85"/>
        <v>2023</v>
      </c>
      <c r="T223" s="14">
        <f>S223+1</f>
        <v>2024</v>
      </c>
      <c r="U223" s="14">
        <f t="shared" si="85"/>
        <v>2025</v>
      </c>
      <c r="V223" s="14">
        <f t="shared" si="85"/>
        <v>2026</v>
      </c>
      <c r="W223" s="30">
        <f t="shared" si="85"/>
        <v>2027</v>
      </c>
    </row>
    <row r="224" spans="1:23" ht="12.75">
      <c r="A224" s="59"/>
      <c r="B224" s="60"/>
      <c r="C224" s="60"/>
      <c r="D224" s="60"/>
      <c r="E224" s="60"/>
      <c r="F224" s="60"/>
      <c r="G224" s="60"/>
      <c r="H224" s="60"/>
      <c r="I224" s="60"/>
      <c r="J224" s="60"/>
      <c r="K224" s="60"/>
      <c r="L224" s="60"/>
      <c r="M224" s="60"/>
      <c r="N224" s="60"/>
      <c r="O224" s="60"/>
      <c r="P224" s="60"/>
      <c r="Q224" s="60"/>
      <c r="R224" s="60"/>
      <c r="S224" s="60"/>
      <c r="T224" s="60"/>
      <c r="U224" s="60"/>
      <c r="V224" s="60"/>
      <c r="W224" s="60"/>
    </row>
    <row r="225" spans="1:23" ht="12.75">
      <c r="A225" s="368" t="s">
        <v>317</v>
      </c>
      <c r="B225" s="368"/>
      <c r="C225" s="368"/>
      <c r="D225" s="368"/>
      <c r="E225" s="368"/>
      <c r="F225" s="368"/>
      <c r="G225" s="368"/>
      <c r="H225" s="368"/>
      <c r="I225" s="368"/>
      <c r="J225" s="368"/>
      <c r="K225" s="368"/>
      <c r="L225" s="368"/>
      <c r="M225" s="368"/>
      <c r="N225" s="368"/>
      <c r="O225" s="368"/>
      <c r="P225" s="368"/>
      <c r="Q225" s="368"/>
      <c r="R225" s="368"/>
      <c r="S225" s="368"/>
      <c r="T225" s="368"/>
      <c r="U225" s="368"/>
      <c r="V225" s="368"/>
      <c r="W225" s="368"/>
    </row>
    <row r="226" spans="1:23" ht="12.75">
      <c r="A226" s="54" t="s">
        <v>85</v>
      </c>
      <c r="B226" s="12" t="s">
        <v>40</v>
      </c>
      <c r="C226" s="12"/>
      <c r="D226" s="90">
        <v>0</v>
      </c>
      <c r="E226" s="90">
        <v>0</v>
      </c>
      <c r="F226" s="90">
        <v>10.6</v>
      </c>
      <c r="G226" s="90">
        <v>0</v>
      </c>
      <c r="H226" s="90">
        <v>0</v>
      </c>
      <c r="I226" s="90">
        <f>H226</f>
        <v>0</v>
      </c>
      <c r="J226" s="90">
        <f aca="true" t="shared" si="86" ref="J226:W226">I226</f>
        <v>0</v>
      </c>
      <c r="K226" s="90">
        <f t="shared" si="86"/>
        <v>0</v>
      </c>
      <c r="L226" s="90">
        <f t="shared" si="86"/>
        <v>0</v>
      </c>
      <c r="M226" s="90">
        <f t="shared" si="86"/>
        <v>0</v>
      </c>
      <c r="N226" s="90">
        <f t="shared" si="86"/>
        <v>0</v>
      </c>
      <c r="O226" s="90">
        <f t="shared" si="86"/>
        <v>0</v>
      </c>
      <c r="P226" s="90">
        <f t="shared" si="86"/>
        <v>0</v>
      </c>
      <c r="Q226" s="90">
        <f t="shared" si="86"/>
        <v>0</v>
      </c>
      <c r="R226" s="90">
        <f t="shared" si="86"/>
        <v>0</v>
      </c>
      <c r="S226" s="90">
        <f t="shared" si="86"/>
        <v>0</v>
      </c>
      <c r="T226" s="90">
        <f t="shared" si="86"/>
        <v>0</v>
      </c>
      <c r="U226" s="90">
        <f t="shared" si="86"/>
        <v>0</v>
      </c>
      <c r="V226" s="90">
        <f t="shared" si="86"/>
        <v>0</v>
      </c>
      <c r="W226" s="90">
        <f t="shared" si="86"/>
        <v>0</v>
      </c>
    </row>
    <row r="227" spans="1:23" ht="12.75">
      <c r="A227" s="54" t="s">
        <v>76</v>
      </c>
      <c r="B227" s="12" t="s">
        <v>40</v>
      </c>
      <c r="C227" s="12"/>
      <c r="D227" s="12">
        <f>D226</f>
        <v>0</v>
      </c>
      <c r="E227" s="12">
        <f aca="true" t="shared" si="87" ref="E227:W227">D227+E226</f>
        <v>0</v>
      </c>
      <c r="F227" s="12">
        <f t="shared" si="87"/>
        <v>10.6</v>
      </c>
      <c r="G227" s="12">
        <f t="shared" si="87"/>
        <v>10.6</v>
      </c>
      <c r="H227" s="12">
        <f t="shared" si="87"/>
        <v>10.6</v>
      </c>
      <c r="I227" s="12">
        <f t="shared" si="87"/>
        <v>10.6</v>
      </c>
      <c r="J227" s="12">
        <f t="shared" si="87"/>
        <v>10.6</v>
      </c>
      <c r="K227" s="12">
        <f t="shared" si="87"/>
        <v>10.6</v>
      </c>
      <c r="L227" s="12">
        <f t="shared" si="87"/>
        <v>10.6</v>
      </c>
      <c r="M227" s="12">
        <f t="shared" si="87"/>
        <v>10.6</v>
      </c>
      <c r="N227" s="12">
        <f t="shared" si="87"/>
        <v>10.6</v>
      </c>
      <c r="O227" s="12">
        <f t="shared" si="87"/>
        <v>10.6</v>
      </c>
      <c r="P227" s="12">
        <f t="shared" si="87"/>
        <v>10.6</v>
      </c>
      <c r="Q227" s="12">
        <f t="shared" si="87"/>
        <v>10.6</v>
      </c>
      <c r="R227" s="12">
        <f t="shared" si="87"/>
        <v>10.6</v>
      </c>
      <c r="S227" s="12">
        <f t="shared" si="87"/>
        <v>10.6</v>
      </c>
      <c r="T227" s="12">
        <f t="shared" si="87"/>
        <v>10.6</v>
      </c>
      <c r="U227" s="12">
        <f t="shared" si="87"/>
        <v>10.6</v>
      </c>
      <c r="V227" s="12">
        <f t="shared" si="87"/>
        <v>10.6</v>
      </c>
      <c r="W227" s="12">
        <f t="shared" si="87"/>
        <v>10.6</v>
      </c>
    </row>
    <row r="228" spans="1:23" ht="12.75">
      <c r="A228" s="395" t="s">
        <v>64</v>
      </c>
      <c r="B228" s="395"/>
      <c r="C228" s="395"/>
      <c r="D228" s="395"/>
      <c r="E228" s="395"/>
      <c r="F228" s="395"/>
      <c r="G228" s="395"/>
      <c r="H228" s="395"/>
      <c r="I228" s="395"/>
      <c r="J228" s="395"/>
      <c r="K228" s="395"/>
      <c r="L228" s="395"/>
      <c r="M228" s="395"/>
      <c r="N228" s="395"/>
      <c r="O228" s="395"/>
      <c r="P228" s="395"/>
      <c r="Q228" s="395"/>
      <c r="R228" s="395"/>
      <c r="S228" s="395"/>
      <c r="T228" s="395"/>
      <c r="U228" s="395"/>
      <c r="V228" s="395"/>
      <c r="W228" s="395"/>
    </row>
    <row r="229" spans="1:23" ht="12.75">
      <c r="A229" s="100" t="s">
        <v>313</v>
      </c>
      <c r="B229" s="12" t="s">
        <v>55</v>
      </c>
      <c r="C229" s="12"/>
      <c r="D229" s="56">
        <v>1</v>
      </c>
      <c r="E229" s="56">
        <f>D229</f>
        <v>1</v>
      </c>
      <c r="F229" s="56">
        <f>E229</f>
        <v>1</v>
      </c>
      <c r="G229" s="56">
        <f>F229</f>
        <v>1</v>
      </c>
      <c r="H229" s="56">
        <f>G229</f>
        <v>1</v>
      </c>
      <c r="I229" s="56">
        <v>1</v>
      </c>
      <c r="J229" s="56">
        <f>I229</f>
        <v>1</v>
      </c>
      <c r="K229" s="56">
        <v>1</v>
      </c>
      <c r="L229" s="56">
        <f>K229</f>
        <v>1</v>
      </c>
      <c r="M229" s="56">
        <f aca="true" t="shared" si="88" ref="M229:W229">L229</f>
        <v>1</v>
      </c>
      <c r="N229" s="56">
        <f t="shared" si="88"/>
        <v>1</v>
      </c>
      <c r="O229" s="56">
        <f t="shared" si="88"/>
        <v>1</v>
      </c>
      <c r="P229" s="56">
        <f t="shared" si="88"/>
        <v>1</v>
      </c>
      <c r="Q229" s="56">
        <f t="shared" si="88"/>
        <v>1</v>
      </c>
      <c r="R229" s="56">
        <f t="shared" si="88"/>
        <v>1</v>
      </c>
      <c r="S229" s="56">
        <f t="shared" si="88"/>
        <v>1</v>
      </c>
      <c r="T229" s="56">
        <f t="shared" si="88"/>
        <v>1</v>
      </c>
      <c r="U229" s="56">
        <f t="shared" si="88"/>
        <v>1</v>
      </c>
      <c r="V229" s="56">
        <f t="shared" si="88"/>
        <v>1</v>
      </c>
      <c r="W229" s="56">
        <f t="shared" si="88"/>
        <v>1</v>
      </c>
    </row>
    <row r="230" spans="1:23" ht="12.75">
      <c r="A230" s="57" t="s">
        <v>56</v>
      </c>
      <c r="B230" s="12" t="s">
        <v>55</v>
      </c>
      <c r="C230" s="12"/>
      <c r="D230" s="56">
        <f aca="true" t="shared" si="89" ref="D230:W230">1-D229</f>
        <v>0</v>
      </c>
      <c r="E230" s="56">
        <f t="shared" si="89"/>
        <v>0</v>
      </c>
      <c r="F230" s="56">
        <f t="shared" si="89"/>
        <v>0</v>
      </c>
      <c r="G230" s="56">
        <f t="shared" si="89"/>
        <v>0</v>
      </c>
      <c r="H230" s="56">
        <f t="shared" si="89"/>
        <v>0</v>
      </c>
      <c r="I230" s="56">
        <f t="shared" si="89"/>
        <v>0</v>
      </c>
      <c r="J230" s="56">
        <f t="shared" si="89"/>
        <v>0</v>
      </c>
      <c r="K230" s="56">
        <f t="shared" si="89"/>
        <v>0</v>
      </c>
      <c r="L230" s="56">
        <f t="shared" si="89"/>
        <v>0</v>
      </c>
      <c r="M230" s="56">
        <f t="shared" si="89"/>
        <v>0</v>
      </c>
      <c r="N230" s="56">
        <f t="shared" si="89"/>
        <v>0</v>
      </c>
      <c r="O230" s="56">
        <f t="shared" si="89"/>
        <v>0</v>
      </c>
      <c r="P230" s="56">
        <f t="shared" si="89"/>
        <v>0</v>
      </c>
      <c r="Q230" s="56">
        <f t="shared" si="89"/>
        <v>0</v>
      </c>
      <c r="R230" s="56">
        <f t="shared" si="89"/>
        <v>0</v>
      </c>
      <c r="S230" s="56">
        <f t="shared" si="89"/>
        <v>0</v>
      </c>
      <c r="T230" s="56">
        <f t="shared" si="89"/>
        <v>0</v>
      </c>
      <c r="U230" s="56">
        <f t="shared" si="89"/>
        <v>0</v>
      </c>
      <c r="V230" s="56">
        <f t="shared" si="89"/>
        <v>0</v>
      </c>
      <c r="W230" s="56">
        <f t="shared" si="89"/>
        <v>0</v>
      </c>
    </row>
    <row r="231" spans="1:23" ht="12.75">
      <c r="A231" s="54" t="s">
        <v>60</v>
      </c>
      <c r="B231" s="12" t="s">
        <v>61</v>
      </c>
      <c r="C231" s="12"/>
      <c r="D231" s="56">
        <f aca="true" t="shared" si="90" ref="D231:W231">D229*$D$153+D230*$D$154</f>
        <v>0.03</v>
      </c>
      <c r="E231" s="56">
        <f t="shared" si="90"/>
        <v>0.03</v>
      </c>
      <c r="F231" s="56">
        <f t="shared" si="90"/>
        <v>0.03</v>
      </c>
      <c r="G231" s="56">
        <f t="shared" si="90"/>
        <v>0.03</v>
      </c>
      <c r="H231" s="56">
        <f t="shared" si="90"/>
        <v>0.03</v>
      </c>
      <c r="I231" s="56">
        <f t="shared" si="90"/>
        <v>0.03</v>
      </c>
      <c r="J231" s="56">
        <f t="shared" si="90"/>
        <v>0.03</v>
      </c>
      <c r="K231" s="56">
        <f t="shared" si="90"/>
        <v>0.03</v>
      </c>
      <c r="L231" s="56">
        <f t="shared" si="90"/>
        <v>0.03</v>
      </c>
      <c r="M231" s="56">
        <f t="shared" si="90"/>
        <v>0.03</v>
      </c>
      <c r="N231" s="56">
        <f t="shared" si="90"/>
        <v>0.03</v>
      </c>
      <c r="O231" s="56">
        <f t="shared" si="90"/>
        <v>0.03</v>
      </c>
      <c r="P231" s="56">
        <f t="shared" si="90"/>
        <v>0.03</v>
      </c>
      <c r="Q231" s="56">
        <f t="shared" si="90"/>
        <v>0.03</v>
      </c>
      <c r="R231" s="56">
        <f t="shared" si="90"/>
        <v>0.03</v>
      </c>
      <c r="S231" s="56">
        <f t="shared" si="90"/>
        <v>0.03</v>
      </c>
      <c r="T231" s="56">
        <f t="shared" si="90"/>
        <v>0.03</v>
      </c>
      <c r="U231" s="56">
        <f t="shared" si="90"/>
        <v>0.03</v>
      </c>
      <c r="V231" s="56">
        <f t="shared" si="90"/>
        <v>0.03</v>
      </c>
      <c r="W231" s="56">
        <f t="shared" si="90"/>
        <v>0.03</v>
      </c>
    </row>
    <row r="232" spans="1:23" ht="12.75">
      <c r="A232" s="54" t="s">
        <v>86</v>
      </c>
      <c r="B232" s="12" t="s">
        <v>40</v>
      </c>
      <c r="C232" s="12"/>
      <c r="D232" s="28">
        <v>0</v>
      </c>
      <c r="E232" s="28">
        <f>D227*0.05</f>
        <v>0</v>
      </c>
      <c r="F232" s="28">
        <f aca="true" t="shared" si="91" ref="F232:W232">E227*0.05</f>
        <v>0</v>
      </c>
      <c r="G232" s="28">
        <f t="shared" si="91"/>
        <v>0.53</v>
      </c>
      <c r="H232" s="28">
        <f t="shared" si="91"/>
        <v>0.53</v>
      </c>
      <c r="I232" s="28">
        <f t="shared" si="91"/>
        <v>0.53</v>
      </c>
      <c r="J232" s="28">
        <f t="shared" si="91"/>
        <v>0.53</v>
      </c>
      <c r="K232" s="28">
        <f t="shared" si="91"/>
        <v>0.53</v>
      </c>
      <c r="L232" s="28">
        <f t="shared" si="91"/>
        <v>0.53</v>
      </c>
      <c r="M232" s="28">
        <f t="shared" si="91"/>
        <v>0.53</v>
      </c>
      <c r="N232" s="28">
        <f t="shared" si="91"/>
        <v>0.53</v>
      </c>
      <c r="O232" s="28">
        <f t="shared" si="91"/>
        <v>0.53</v>
      </c>
      <c r="P232" s="28">
        <f t="shared" si="91"/>
        <v>0.53</v>
      </c>
      <c r="Q232" s="28">
        <f t="shared" si="91"/>
        <v>0.53</v>
      </c>
      <c r="R232" s="28">
        <f t="shared" si="91"/>
        <v>0.53</v>
      </c>
      <c r="S232" s="28">
        <f t="shared" si="91"/>
        <v>0.53</v>
      </c>
      <c r="T232" s="28">
        <f t="shared" si="91"/>
        <v>0.53</v>
      </c>
      <c r="U232" s="28">
        <f t="shared" si="91"/>
        <v>0.53</v>
      </c>
      <c r="V232" s="28">
        <f t="shared" si="91"/>
        <v>0.53</v>
      </c>
      <c r="W232" s="28">
        <f t="shared" si="91"/>
        <v>0.53</v>
      </c>
    </row>
    <row r="233" spans="1:23" s="159" customFormat="1" ht="12.75">
      <c r="A233" s="112" t="s">
        <v>87</v>
      </c>
      <c r="B233" s="158" t="s">
        <v>40</v>
      </c>
      <c r="C233" s="158"/>
      <c r="D233" s="158"/>
      <c r="E233" s="158">
        <f>-PMT(D231/12,$J$153*12,D227,D227*$J$154)*12</f>
        <v>0</v>
      </c>
      <c r="F233" s="158">
        <f aca="true" t="shared" si="92" ref="F233:W233">-PMT(E231/12,$J$153*12,E227,E227*$J$154)*12</f>
        <v>0</v>
      </c>
      <c r="G233" s="158">
        <f t="shared" si="92"/>
        <v>0.6174566307883158</v>
      </c>
      <c r="H233" s="158">
        <f t="shared" si="92"/>
        <v>0.6174566307883158</v>
      </c>
      <c r="I233" s="158">
        <f t="shared" si="92"/>
        <v>0.6174566307883158</v>
      </c>
      <c r="J233" s="158">
        <f t="shared" si="92"/>
        <v>0.6174566307883158</v>
      </c>
      <c r="K233" s="158">
        <f t="shared" si="92"/>
        <v>0.6174566307883158</v>
      </c>
      <c r="L233" s="158">
        <f t="shared" si="92"/>
        <v>0.6174566307883158</v>
      </c>
      <c r="M233" s="158">
        <f t="shared" si="92"/>
        <v>0.6174566307883158</v>
      </c>
      <c r="N233" s="158">
        <f t="shared" si="92"/>
        <v>0.6174566307883158</v>
      </c>
      <c r="O233" s="158">
        <f t="shared" si="92"/>
        <v>0.6174566307883158</v>
      </c>
      <c r="P233" s="158">
        <f t="shared" si="92"/>
        <v>0.6174566307883158</v>
      </c>
      <c r="Q233" s="158">
        <f t="shared" si="92"/>
        <v>0.6174566307883158</v>
      </c>
      <c r="R233" s="158">
        <f t="shared" si="92"/>
        <v>0.6174566307883158</v>
      </c>
      <c r="S233" s="158">
        <f t="shared" si="92"/>
        <v>0.6174566307883158</v>
      </c>
      <c r="T233" s="158">
        <f t="shared" si="92"/>
        <v>0.6174566307883158</v>
      </c>
      <c r="U233" s="158">
        <f t="shared" si="92"/>
        <v>0.6174566307883158</v>
      </c>
      <c r="V233" s="158">
        <f t="shared" si="92"/>
        <v>0.6174566307883158</v>
      </c>
      <c r="W233" s="158">
        <f t="shared" si="92"/>
        <v>0.6174566307883158</v>
      </c>
    </row>
    <row r="234" spans="1:23" s="164" customFormat="1" ht="25.5">
      <c r="A234" s="97" t="s">
        <v>235</v>
      </c>
      <c r="B234" s="163" t="s">
        <v>40</v>
      </c>
      <c r="C234" s="163"/>
      <c r="D234" s="160"/>
      <c r="E234" s="160">
        <f>(D227*(1-$J$154)/$J$153)</f>
        <v>0</v>
      </c>
      <c r="F234" s="160">
        <f aca="true" t="shared" si="93" ref="F234:W234">(E227*(1-$J$154)/$J$153)</f>
        <v>0</v>
      </c>
      <c r="G234" s="160">
        <f t="shared" si="93"/>
        <v>0.40279999999999994</v>
      </c>
      <c r="H234" s="160">
        <f t="shared" si="93"/>
        <v>0.40279999999999994</v>
      </c>
      <c r="I234" s="160">
        <f t="shared" si="93"/>
        <v>0.40279999999999994</v>
      </c>
      <c r="J234" s="160">
        <f t="shared" si="93"/>
        <v>0.40279999999999994</v>
      </c>
      <c r="K234" s="160">
        <f t="shared" si="93"/>
        <v>0.40279999999999994</v>
      </c>
      <c r="L234" s="160">
        <f t="shared" si="93"/>
        <v>0.40279999999999994</v>
      </c>
      <c r="M234" s="160">
        <f t="shared" si="93"/>
        <v>0.40279999999999994</v>
      </c>
      <c r="N234" s="160">
        <f t="shared" si="93"/>
        <v>0.40279999999999994</v>
      </c>
      <c r="O234" s="160">
        <f t="shared" si="93"/>
        <v>0.40279999999999994</v>
      </c>
      <c r="P234" s="160">
        <f t="shared" si="93"/>
        <v>0.40279999999999994</v>
      </c>
      <c r="Q234" s="160">
        <f t="shared" si="93"/>
        <v>0.40279999999999994</v>
      </c>
      <c r="R234" s="160">
        <f t="shared" si="93"/>
        <v>0.40279999999999994</v>
      </c>
      <c r="S234" s="160">
        <f t="shared" si="93"/>
        <v>0.40279999999999994</v>
      </c>
      <c r="T234" s="160">
        <f t="shared" si="93"/>
        <v>0.40279999999999994</v>
      </c>
      <c r="U234" s="160">
        <f t="shared" si="93"/>
        <v>0.40279999999999994</v>
      </c>
      <c r="V234" s="160">
        <f t="shared" si="93"/>
        <v>0.40279999999999994</v>
      </c>
      <c r="W234" s="160">
        <f t="shared" si="93"/>
        <v>0.40279999999999994</v>
      </c>
    </row>
    <row r="235" spans="1:23" s="164" customFormat="1" ht="12.75">
      <c r="A235" s="97" t="s">
        <v>233</v>
      </c>
      <c r="B235" s="163" t="s">
        <v>40</v>
      </c>
      <c r="C235" s="163"/>
      <c r="D235" s="163"/>
      <c r="E235" s="160">
        <f aca="true" t="shared" si="94" ref="E235:W235">D236*$D156</f>
        <v>0</v>
      </c>
      <c r="F235" s="160">
        <f t="shared" si="94"/>
        <v>0</v>
      </c>
      <c r="G235" s="160">
        <f t="shared" si="94"/>
        <v>0</v>
      </c>
      <c r="H235" s="160">
        <f t="shared" si="94"/>
        <v>0.03704739784729895</v>
      </c>
      <c r="I235" s="160">
        <f t="shared" si="94"/>
        <v>0.07631763956543583</v>
      </c>
      <c r="J235" s="160">
        <f t="shared" si="94"/>
        <v>0.11794409578666093</v>
      </c>
      <c r="K235" s="160">
        <f t="shared" si="94"/>
        <v>0.16206813938115955</v>
      </c>
      <c r="L235" s="160">
        <f t="shared" si="94"/>
        <v>0.20883962559132807</v>
      </c>
      <c r="M235" s="160">
        <f t="shared" si="94"/>
        <v>0.2584174009741067</v>
      </c>
      <c r="N235" s="160">
        <f t="shared" si="94"/>
        <v>0.310969842879852</v>
      </c>
      <c r="O235" s="160">
        <f t="shared" si="94"/>
        <v>0.3666754312999421</v>
      </c>
      <c r="P235" s="160">
        <f t="shared" si="94"/>
        <v>0.42572335502523756</v>
      </c>
      <c r="Q235" s="160">
        <f t="shared" si="94"/>
        <v>0.4883141541740507</v>
      </c>
      <c r="R235" s="160">
        <f t="shared" si="94"/>
        <v>0.5546604012717926</v>
      </c>
      <c r="S235" s="160">
        <f t="shared" si="94"/>
        <v>0.6249874231953991</v>
      </c>
      <c r="T235" s="160">
        <f t="shared" si="94"/>
        <v>0.699534066434422</v>
      </c>
      <c r="U235" s="160">
        <f t="shared" si="94"/>
        <v>0.7785535082677861</v>
      </c>
      <c r="V235" s="160">
        <f t="shared" si="94"/>
        <v>0.8623141166111522</v>
      </c>
      <c r="W235" s="160">
        <f t="shared" si="94"/>
        <v>0.9511003614551202</v>
      </c>
    </row>
    <row r="236" spans="1:23" s="166" customFormat="1" ht="38.25">
      <c r="A236" s="115" t="s">
        <v>322</v>
      </c>
      <c r="B236" s="165" t="s">
        <v>40</v>
      </c>
      <c r="C236" s="165"/>
      <c r="D236" s="161">
        <f>D234</f>
        <v>0</v>
      </c>
      <c r="E236" s="161">
        <f>D236+E234+E235</f>
        <v>0</v>
      </c>
      <c r="F236" s="161">
        <f aca="true" t="shared" si="95" ref="F236:W236">E236+F234+F235+F237</f>
        <v>0</v>
      </c>
      <c r="G236" s="161">
        <f t="shared" si="95"/>
        <v>0.6174566307883158</v>
      </c>
      <c r="H236" s="161">
        <f t="shared" si="95"/>
        <v>1.2719606594239306</v>
      </c>
      <c r="I236" s="161">
        <f t="shared" si="95"/>
        <v>1.9657349297776823</v>
      </c>
      <c r="J236" s="161">
        <f t="shared" si="95"/>
        <v>2.701135656352659</v>
      </c>
      <c r="K236" s="161">
        <f t="shared" si="95"/>
        <v>3.480660426522135</v>
      </c>
      <c r="L236" s="161">
        <f t="shared" si="95"/>
        <v>4.306956682901778</v>
      </c>
      <c r="M236" s="161">
        <f t="shared" si="95"/>
        <v>5.182830714664201</v>
      </c>
      <c r="N236" s="161">
        <f t="shared" si="95"/>
        <v>6.1112571883323685</v>
      </c>
      <c r="O236" s="161">
        <f t="shared" si="95"/>
        <v>7.095389250420626</v>
      </c>
      <c r="P236" s="161">
        <f t="shared" si="95"/>
        <v>8.13856923623418</v>
      </c>
      <c r="Q236" s="161">
        <f t="shared" si="95"/>
        <v>9.244340021196544</v>
      </c>
      <c r="R236" s="161">
        <f t="shared" si="95"/>
        <v>10.416457053256652</v>
      </c>
      <c r="S236" s="161">
        <f t="shared" si="95"/>
        <v>11.658901107240366</v>
      </c>
      <c r="T236" s="161">
        <f t="shared" si="95"/>
        <v>12.975891804463103</v>
      </c>
      <c r="U236" s="161">
        <f t="shared" si="95"/>
        <v>14.371901943519203</v>
      </c>
      <c r="V236" s="161">
        <f t="shared" si="95"/>
        <v>15.85167269091867</v>
      </c>
      <c r="W236" s="161">
        <f t="shared" si="95"/>
        <v>17.420229683162106</v>
      </c>
    </row>
    <row r="237" spans="1:23" s="159" customFormat="1" ht="12.75">
      <c r="A237" s="112" t="s">
        <v>232</v>
      </c>
      <c r="B237" s="158" t="s">
        <v>40</v>
      </c>
      <c r="C237" s="158"/>
      <c r="D237" s="158"/>
      <c r="E237" s="158">
        <f>E233-E234</f>
        <v>0</v>
      </c>
      <c r="F237" s="158">
        <f aca="true" t="shared" si="96" ref="F237:W237">F233-F234</f>
        <v>0</v>
      </c>
      <c r="G237" s="158">
        <f t="shared" si="96"/>
        <v>0.21465663078831587</v>
      </c>
      <c r="H237" s="158">
        <f t="shared" si="96"/>
        <v>0.21465663078831587</v>
      </c>
      <c r="I237" s="158">
        <f t="shared" si="96"/>
        <v>0.21465663078831587</v>
      </c>
      <c r="J237" s="158">
        <f t="shared" si="96"/>
        <v>0.21465663078831587</v>
      </c>
      <c r="K237" s="158">
        <f t="shared" si="96"/>
        <v>0.21465663078831587</v>
      </c>
      <c r="L237" s="158">
        <f t="shared" si="96"/>
        <v>0.21465663078831587</v>
      </c>
      <c r="M237" s="158">
        <f t="shared" si="96"/>
        <v>0.21465663078831587</v>
      </c>
      <c r="N237" s="158">
        <f t="shared" si="96"/>
        <v>0.21465663078831587</v>
      </c>
      <c r="O237" s="158">
        <f t="shared" si="96"/>
        <v>0.21465663078831587</v>
      </c>
      <c r="P237" s="158">
        <f t="shared" si="96"/>
        <v>0.21465663078831587</v>
      </c>
      <c r="Q237" s="158">
        <f t="shared" si="96"/>
        <v>0.21465663078831587</v>
      </c>
      <c r="R237" s="158">
        <f t="shared" si="96"/>
        <v>0.21465663078831587</v>
      </c>
      <c r="S237" s="158">
        <f t="shared" si="96"/>
        <v>0.21465663078831587</v>
      </c>
      <c r="T237" s="158">
        <f t="shared" si="96"/>
        <v>0.21465663078831587</v>
      </c>
      <c r="U237" s="158">
        <f t="shared" si="96"/>
        <v>0.21465663078831587</v>
      </c>
      <c r="V237" s="158">
        <f t="shared" si="96"/>
        <v>0.21465663078831587</v>
      </c>
      <c r="W237" s="158">
        <f t="shared" si="96"/>
        <v>0.21465663078831587</v>
      </c>
    </row>
    <row r="238" spans="1:23" s="159" customFormat="1" ht="12.75">
      <c r="A238" s="114" t="s">
        <v>197</v>
      </c>
      <c r="B238" s="158" t="s">
        <v>40</v>
      </c>
      <c r="C238" s="158"/>
      <c r="D238" s="158">
        <v>0</v>
      </c>
      <c r="E238" s="158">
        <f>E233*0.05</f>
        <v>0</v>
      </c>
      <c r="F238" s="158">
        <f aca="true" t="shared" si="97" ref="F238:W238">F233*0.15</f>
        <v>0</v>
      </c>
      <c r="G238" s="158">
        <f t="shared" si="97"/>
        <v>0.09261849461824737</v>
      </c>
      <c r="H238" s="158">
        <f t="shared" si="97"/>
        <v>0.09261849461824737</v>
      </c>
      <c r="I238" s="158">
        <f t="shared" si="97"/>
        <v>0.09261849461824737</v>
      </c>
      <c r="J238" s="158">
        <f t="shared" si="97"/>
        <v>0.09261849461824737</v>
      </c>
      <c r="K238" s="158">
        <f t="shared" si="97"/>
        <v>0.09261849461824737</v>
      </c>
      <c r="L238" s="158">
        <f t="shared" si="97"/>
        <v>0.09261849461824737</v>
      </c>
      <c r="M238" s="158">
        <f t="shared" si="97"/>
        <v>0.09261849461824737</v>
      </c>
      <c r="N238" s="158">
        <f t="shared" si="97"/>
        <v>0.09261849461824737</v>
      </c>
      <c r="O238" s="158">
        <f t="shared" si="97"/>
        <v>0.09261849461824737</v>
      </c>
      <c r="P238" s="158">
        <f t="shared" si="97"/>
        <v>0.09261849461824737</v>
      </c>
      <c r="Q238" s="158">
        <f t="shared" si="97"/>
        <v>0.09261849461824737</v>
      </c>
      <c r="R238" s="158">
        <f t="shared" si="97"/>
        <v>0.09261849461824737</v>
      </c>
      <c r="S238" s="158">
        <f t="shared" si="97"/>
        <v>0.09261849461824737</v>
      </c>
      <c r="T238" s="158">
        <f t="shared" si="97"/>
        <v>0.09261849461824737</v>
      </c>
      <c r="U238" s="158">
        <f t="shared" si="97"/>
        <v>0.09261849461824737</v>
      </c>
      <c r="V238" s="158">
        <f t="shared" si="97"/>
        <v>0.09261849461824737</v>
      </c>
      <c r="W238" s="158">
        <f t="shared" si="97"/>
        <v>0.09261849461824737</v>
      </c>
    </row>
    <row r="239" spans="1:23" s="159" customFormat="1" ht="12.75">
      <c r="A239" s="114" t="s">
        <v>74</v>
      </c>
      <c r="B239" s="158" t="s">
        <v>40</v>
      </c>
      <c r="C239" s="158"/>
      <c r="D239" s="158"/>
      <c r="E239" s="158">
        <f>E233+E235+E238</f>
        <v>0</v>
      </c>
      <c r="F239" s="158">
        <f aca="true" t="shared" si="98" ref="F239:W239">F233+F235+F238</f>
        <v>0</v>
      </c>
      <c r="G239" s="158">
        <f t="shared" si="98"/>
        <v>0.7100751254065631</v>
      </c>
      <c r="H239" s="158">
        <f t="shared" si="98"/>
        <v>0.7471225232538621</v>
      </c>
      <c r="I239" s="158">
        <f t="shared" si="98"/>
        <v>0.786392764971999</v>
      </c>
      <c r="J239" s="158">
        <f t="shared" si="98"/>
        <v>0.828019221193224</v>
      </c>
      <c r="K239" s="158">
        <f t="shared" si="98"/>
        <v>0.8721432647877227</v>
      </c>
      <c r="L239" s="158">
        <f t="shared" si="98"/>
        <v>0.9189147509978912</v>
      </c>
      <c r="M239" s="158">
        <f t="shared" si="98"/>
        <v>0.9684925263806698</v>
      </c>
      <c r="N239" s="158">
        <f t="shared" si="98"/>
        <v>1.0210449682864151</v>
      </c>
      <c r="O239" s="158">
        <f t="shared" si="98"/>
        <v>1.0767505567065052</v>
      </c>
      <c r="P239" s="158">
        <f t="shared" si="98"/>
        <v>1.1357984804318006</v>
      </c>
      <c r="Q239" s="158">
        <f t="shared" si="98"/>
        <v>1.198389279580614</v>
      </c>
      <c r="R239" s="158">
        <f t="shared" si="98"/>
        <v>1.2647355266783558</v>
      </c>
      <c r="S239" s="158">
        <f t="shared" si="98"/>
        <v>1.3350625486019623</v>
      </c>
      <c r="T239" s="158">
        <f t="shared" si="98"/>
        <v>1.4096091918409852</v>
      </c>
      <c r="U239" s="158">
        <f t="shared" si="98"/>
        <v>1.4886286336743493</v>
      </c>
      <c r="V239" s="158">
        <f t="shared" si="98"/>
        <v>1.5723892420177152</v>
      </c>
      <c r="W239" s="158">
        <f t="shared" si="98"/>
        <v>1.6611754868616833</v>
      </c>
    </row>
    <row r="240" spans="1:23" s="159" customFormat="1" ht="12.75">
      <c r="A240" s="112" t="s">
        <v>75</v>
      </c>
      <c r="B240" s="158" t="s">
        <v>40</v>
      </c>
      <c r="C240" s="158"/>
      <c r="D240" s="158"/>
      <c r="E240" s="158">
        <f>D227*(1-$J$154)/$J$153</f>
        <v>0</v>
      </c>
      <c r="F240" s="158">
        <f aca="true" t="shared" si="99" ref="F240:W240">E227*(1-$J$154)/$J$153</f>
        <v>0</v>
      </c>
      <c r="G240" s="158">
        <f t="shared" si="99"/>
        <v>0.40279999999999994</v>
      </c>
      <c r="H240" s="158">
        <f t="shared" si="99"/>
        <v>0.40279999999999994</v>
      </c>
      <c r="I240" s="158">
        <f t="shared" si="99"/>
        <v>0.40279999999999994</v>
      </c>
      <c r="J240" s="158">
        <f t="shared" si="99"/>
        <v>0.40279999999999994</v>
      </c>
      <c r="K240" s="158">
        <f t="shared" si="99"/>
        <v>0.40279999999999994</v>
      </c>
      <c r="L240" s="158">
        <f t="shared" si="99"/>
        <v>0.40279999999999994</v>
      </c>
      <c r="M240" s="158">
        <f t="shared" si="99"/>
        <v>0.40279999999999994</v>
      </c>
      <c r="N240" s="158">
        <f t="shared" si="99"/>
        <v>0.40279999999999994</v>
      </c>
      <c r="O240" s="158">
        <f t="shared" si="99"/>
        <v>0.40279999999999994</v>
      </c>
      <c r="P240" s="158">
        <f t="shared" si="99"/>
        <v>0.40279999999999994</v>
      </c>
      <c r="Q240" s="158">
        <f t="shared" si="99"/>
        <v>0.40279999999999994</v>
      </c>
      <c r="R240" s="158">
        <f t="shared" si="99"/>
        <v>0.40279999999999994</v>
      </c>
      <c r="S240" s="158">
        <f t="shared" si="99"/>
        <v>0.40279999999999994</v>
      </c>
      <c r="T240" s="158">
        <f t="shared" si="99"/>
        <v>0.40279999999999994</v>
      </c>
      <c r="U240" s="158">
        <f t="shared" si="99"/>
        <v>0.40279999999999994</v>
      </c>
      <c r="V240" s="158">
        <f t="shared" si="99"/>
        <v>0.40279999999999994</v>
      </c>
      <c r="W240" s="158">
        <f t="shared" si="99"/>
        <v>0.40279999999999994</v>
      </c>
    </row>
    <row r="241" spans="1:23" s="113" customFormat="1" ht="12.75">
      <c r="A241" s="112" t="s">
        <v>77</v>
      </c>
      <c r="B241" s="28" t="s">
        <v>40</v>
      </c>
      <c r="C241" s="28"/>
      <c r="D241" s="28">
        <v>0</v>
      </c>
      <c r="E241" s="28">
        <f aca="true" t="shared" si="100" ref="E241:W241">E238+E240</f>
        <v>0</v>
      </c>
      <c r="F241" s="28">
        <f t="shared" si="100"/>
        <v>0</v>
      </c>
      <c r="G241" s="28">
        <f t="shared" si="100"/>
        <v>0.4954184946182473</v>
      </c>
      <c r="H241" s="28">
        <f t="shared" si="100"/>
        <v>0.4954184946182473</v>
      </c>
      <c r="I241" s="28">
        <f t="shared" si="100"/>
        <v>0.4954184946182473</v>
      </c>
      <c r="J241" s="28">
        <f t="shared" si="100"/>
        <v>0.4954184946182473</v>
      </c>
      <c r="K241" s="28">
        <f t="shared" si="100"/>
        <v>0.4954184946182473</v>
      </c>
      <c r="L241" s="28">
        <f t="shared" si="100"/>
        <v>0.4954184946182473</v>
      </c>
      <c r="M241" s="28">
        <f t="shared" si="100"/>
        <v>0.4954184946182473</v>
      </c>
      <c r="N241" s="28">
        <f t="shared" si="100"/>
        <v>0.4954184946182473</v>
      </c>
      <c r="O241" s="28">
        <f t="shared" si="100"/>
        <v>0.4954184946182473</v>
      </c>
      <c r="P241" s="28">
        <f t="shared" si="100"/>
        <v>0.4954184946182473</v>
      </c>
      <c r="Q241" s="28">
        <f t="shared" si="100"/>
        <v>0.4954184946182473</v>
      </c>
      <c r="R241" s="28">
        <f t="shared" si="100"/>
        <v>0.4954184946182473</v>
      </c>
      <c r="S241" s="28">
        <f t="shared" si="100"/>
        <v>0.4954184946182473</v>
      </c>
      <c r="T241" s="28">
        <f t="shared" si="100"/>
        <v>0.4954184946182473</v>
      </c>
      <c r="U241" s="28">
        <f t="shared" si="100"/>
        <v>0.4954184946182473</v>
      </c>
      <c r="V241" s="28">
        <f t="shared" si="100"/>
        <v>0.4954184946182473</v>
      </c>
      <c r="W241" s="28">
        <f t="shared" si="100"/>
        <v>0.4954184946182473</v>
      </c>
    </row>
    <row r="242" spans="1:23" s="113" customFormat="1" ht="12.75">
      <c r="A242" s="112" t="s">
        <v>78</v>
      </c>
      <c r="B242" s="28" t="s">
        <v>40</v>
      </c>
      <c r="C242" s="28"/>
      <c r="D242" s="28"/>
      <c r="E242" s="28">
        <f aca="true" t="shared" si="101" ref="E242:W242">E239-E241</f>
        <v>0</v>
      </c>
      <c r="F242" s="28">
        <f t="shared" si="101"/>
        <v>0</v>
      </c>
      <c r="G242" s="28">
        <f t="shared" si="101"/>
        <v>0.21465663078831587</v>
      </c>
      <c r="H242" s="28">
        <f t="shared" si="101"/>
        <v>0.2517040286356148</v>
      </c>
      <c r="I242" s="28">
        <f t="shared" si="101"/>
        <v>0.2909742703537517</v>
      </c>
      <c r="J242" s="28">
        <f t="shared" si="101"/>
        <v>0.33260072657497675</v>
      </c>
      <c r="K242" s="28">
        <f t="shared" si="101"/>
        <v>0.3767247701694755</v>
      </c>
      <c r="L242" s="28">
        <f t="shared" si="101"/>
        <v>0.42349625637964394</v>
      </c>
      <c r="M242" s="28">
        <f t="shared" si="101"/>
        <v>0.4730740317624226</v>
      </c>
      <c r="N242" s="28">
        <f t="shared" si="101"/>
        <v>0.5256264736681678</v>
      </c>
      <c r="O242" s="28">
        <f t="shared" si="101"/>
        <v>0.5813320620882579</v>
      </c>
      <c r="P242" s="28">
        <f t="shared" si="101"/>
        <v>0.6403799858135534</v>
      </c>
      <c r="Q242" s="28">
        <f t="shared" si="101"/>
        <v>0.7029707849623666</v>
      </c>
      <c r="R242" s="28">
        <f t="shared" si="101"/>
        <v>0.7693170320601085</v>
      </c>
      <c r="S242" s="28">
        <f t="shared" si="101"/>
        <v>0.839644053983715</v>
      </c>
      <c r="T242" s="28">
        <f t="shared" si="101"/>
        <v>0.9141906972227379</v>
      </c>
      <c r="U242" s="28">
        <f t="shared" si="101"/>
        <v>0.993210139056102</v>
      </c>
      <c r="V242" s="28">
        <f t="shared" si="101"/>
        <v>1.0769707473994679</v>
      </c>
      <c r="W242" s="28">
        <f t="shared" si="101"/>
        <v>1.1657569922434359</v>
      </c>
    </row>
    <row r="243" spans="1:23" s="113" customFormat="1" ht="12.75">
      <c r="A243" s="112" t="s">
        <v>95</v>
      </c>
      <c r="B243" s="28" t="s">
        <v>40</v>
      </c>
      <c r="C243" s="28"/>
      <c r="D243" s="28">
        <f aca="true" t="shared" si="102" ref="D243:W243">D233+D237+D235-D226</f>
        <v>0</v>
      </c>
      <c r="E243" s="28">
        <f t="shared" si="102"/>
        <v>0</v>
      </c>
      <c r="F243" s="28">
        <f t="shared" si="102"/>
        <v>-10.6</v>
      </c>
      <c r="G243" s="28">
        <f t="shared" si="102"/>
        <v>0.8321132615766317</v>
      </c>
      <c r="H243" s="28">
        <f t="shared" si="102"/>
        <v>0.8691606594239306</v>
      </c>
      <c r="I243" s="28">
        <f t="shared" si="102"/>
        <v>0.9084309011420675</v>
      </c>
      <c r="J243" s="28">
        <f t="shared" si="102"/>
        <v>0.9500573573632927</v>
      </c>
      <c r="K243" s="28">
        <f t="shared" si="102"/>
        <v>0.9941814009577912</v>
      </c>
      <c r="L243" s="28">
        <f t="shared" si="102"/>
        <v>1.0409528871679599</v>
      </c>
      <c r="M243" s="28">
        <f t="shared" si="102"/>
        <v>1.0905306625507385</v>
      </c>
      <c r="N243" s="28">
        <f t="shared" si="102"/>
        <v>1.1430831044564838</v>
      </c>
      <c r="O243" s="28">
        <f t="shared" si="102"/>
        <v>1.1987886928765739</v>
      </c>
      <c r="P243" s="28">
        <f t="shared" si="102"/>
        <v>1.2578366166018693</v>
      </c>
      <c r="Q243" s="28">
        <f t="shared" si="102"/>
        <v>1.3204274157506823</v>
      </c>
      <c r="R243" s="28">
        <f t="shared" si="102"/>
        <v>1.3867736628484244</v>
      </c>
      <c r="S243" s="28">
        <f t="shared" si="102"/>
        <v>1.4571006847720307</v>
      </c>
      <c r="T243" s="28">
        <f t="shared" si="102"/>
        <v>1.5316473280110536</v>
      </c>
      <c r="U243" s="28">
        <f t="shared" si="102"/>
        <v>1.6106667698444177</v>
      </c>
      <c r="V243" s="28">
        <f t="shared" si="102"/>
        <v>1.6944273781877839</v>
      </c>
      <c r="W243" s="28">
        <f t="shared" si="102"/>
        <v>1.783213623031752</v>
      </c>
    </row>
    <row r="244" spans="1:23" ht="12.75">
      <c r="A244" s="57" t="s">
        <v>97</v>
      </c>
      <c r="B244" s="12" t="s">
        <v>61</v>
      </c>
      <c r="C244" s="56">
        <f>IRR(D243:W243)</f>
        <v>0.07706522286460317</v>
      </c>
      <c r="D244" s="370"/>
      <c r="E244" s="370"/>
      <c r="F244" s="370"/>
      <c r="G244" s="370"/>
      <c r="H244" s="370"/>
      <c r="I244" s="370"/>
      <c r="J244" s="370"/>
      <c r="K244" s="370"/>
      <c r="L244" s="370"/>
      <c r="M244" s="370"/>
      <c r="N244" s="370"/>
      <c r="O244" s="370"/>
      <c r="P244" s="370"/>
      <c r="Q244" s="370"/>
      <c r="R244" s="370"/>
      <c r="S244" s="370"/>
      <c r="T244" s="370"/>
      <c r="U244" s="370"/>
      <c r="V244" s="370"/>
      <c r="W244" s="370"/>
    </row>
    <row r="245" spans="1:23" ht="12.75">
      <c r="A245" s="55" t="s">
        <v>96</v>
      </c>
      <c r="B245" s="12" t="s">
        <v>40</v>
      </c>
      <c r="C245" s="58">
        <f>NPV(D231,D243:W243)</f>
        <v>4.736533806664523</v>
      </c>
      <c r="D245" s="370"/>
      <c r="E245" s="370"/>
      <c r="F245" s="370"/>
      <c r="G245" s="370"/>
      <c r="H245" s="370"/>
      <c r="I245" s="370"/>
      <c r="J245" s="370"/>
      <c r="K245" s="370"/>
      <c r="L245" s="370"/>
      <c r="M245" s="370"/>
      <c r="N245" s="370"/>
      <c r="O245" s="370"/>
      <c r="P245" s="370"/>
      <c r="Q245" s="370"/>
      <c r="R245" s="370"/>
      <c r="S245" s="370"/>
      <c r="T245" s="370"/>
      <c r="U245" s="370"/>
      <c r="V245" s="370"/>
      <c r="W245" s="370"/>
    </row>
    <row r="246" spans="1:23" ht="12.75">
      <c r="A246" s="404" t="s">
        <v>102</v>
      </c>
      <c r="B246" s="404"/>
      <c r="C246" s="404"/>
      <c r="D246" s="404"/>
      <c r="E246" s="404"/>
      <c r="F246" s="404"/>
      <c r="G246" s="404"/>
      <c r="H246" s="404"/>
      <c r="I246" s="404"/>
      <c r="J246" s="404"/>
      <c r="K246" s="404"/>
      <c r="L246" s="404"/>
      <c r="M246" s="404"/>
      <c r="N246" s="404"/>
      <c r="O246" s="404"/>
      <c r="P246" s="404"/>
      <c r="Q246" s="404"/>
      <c r="R246" s="404"/>
      <c r="S246" s="404"/>
      <c r="T246" s="404"/>
      <c r="U246" s="404"/>
      <c r="V246" s="404"/>
      <c r="W246" s="404"/>
    </row>
    <row r="247" spans="1:23" ht="12.75">
      <c r="A247" s="397"/>
      <c r="B247" s="397"/>
      <c r="C247" s="397"/>
      <c r="D247" s="397"/>
      <c r="E247" s="397"/>
      <c r="F247" s="397"/>
      <c r="G247" s="397"/>
      <c r="H247" s="397"/>
      <c r="I247" s="397"/>
      <c r="J247" s="397"/>
      <c r="K247" s="397"/>
      <c r="L247" s="397"/>
      <c r="M247" s="397"/>
      <c r="N247" s="397"/>
      <c r="O247" s="397"/>
      <c r="P247" s="397"/>
      <c r="Q247" s="397"/>
      <c r="R247" s="397"/>
      <c r="S247" s="397"/>
      <c r="T247" s="397"/>
      <c r="U247" s="397"/>
      <c r="V247" s="397"/>
      <c r="W247" s="397"/>
    </row>
    <row r="248" spans="1:23" ht="12.75">
      <c r="A248" s="397" t="s">
        <v>104</v>
      </c>
      <c r="B248" s="397"/>
      <c r="C248" s="397"/>
      <c r="D248" s="397"/>
      <c r="E248" s="397"/>
      <c r="F248" s="397"/>
      <c r="G248" s="397"/>
      <c r="H248" s="397"/>
      <c r="I248" s="397"/>
      <c r="J248" s="397"/>
      <c r="K248" s="397"/>
      <c r="L248" s="397"/>
      <c r="M248" s="397"/>
      <c r="N248" s="397"/>
      <c r="O248" s="397"/>
      <c r="P248" s="397"/>
      <c r="Q248" s="397"/>
      <c r="R248" s="397"/>
      <c r="S248" s="397"/>
      <c r="T248" s="397"/>
      <c r="U248" s="397"/>
      <c r="V248" s="397"/>
      <c r="W248" s="397"/>
    </row>
    <row r="249" spans="1:23" ht="12.75">
      <c r="A249" s="46"/>
      <c r="B249" s="14" t="s">
        <v>3</v>
      </c>
      <c r="C249" s="14">
        <v>2007</v>
      </c>
      <c r="D249" s="14">
        <f>C249+1</f>
        <v>2008</v>
      </c>
      <c r="E249" s="14">
        <f aca="true" t="shared" si="103" ref="E249:S249">D249+1</f>
        <v>2009</v>
      </c>
      <c r="F249" s="14">
        <f t="shared" si="103"/>
        <v>2010</v>
      </c>
      <c r="G249" s="14">
        <f t="shared" si="103"/>
        <v>2011</v>
      </c>
      <c r="H249" s="14">
        <f t="shared" si="103"/>
        <v>2012</v>
      </c>
      <c r="I249" s="14">
        <f t="shared" si="103"/>
        <v>2013</v>
      </c>
      <c r="J249" s="14">
        <f t="shared" si="103"/>
        <v>2014</v>
      </c>
      <c r="K249" s="14">
        <f t="shared" si="103"/>
        <v>2015</v>
      </c>
      <c r="L249" s="14">
        <f t="shared" si="103"/>
        <v>2016</v>
      </c>
      <c r="M249" s="14">
        <f t="shared" si="103"/>
        <v>2017</v>
      </c>
      <c r="N249" s="14">
        <f t="shared" si="103"/>
        <v>2018</v>
      </c>
      <c r="O249" s="14">
        <f t="shared" si="103"/>
        <v>2019</v>
      </c>
      <c r="P249" s="14">
        <f t="shared" si="103"/>
        <v>2020</v>
      </c>
      <c r="Q249" s="14">
        <f t="shared" si="103"/>
        <v>2021</v>
      </c>
      <c r="R249" s="14">
        <f t="shared" si="103"/>
        <v>2022</v>
      </c>
      <c r="S249" s="14">
        <f t="shared" si="103"/>
        <v>2023</v>
      </c>
      <c r="T249" s="14">
        <f>S249+1</f>
        <v>2024</v>
      </c>
      <c r="U249" s="14">
        <f>T249+1</f>
        <v>2025</v>
      </c>
      <c r="V249" s="14">
        <f>U249+1</f>
        <v>2026</v>
      </c>
      <c r="W249" s="14">
        <f>V249+1</f>
        <v>2027</v>
      </c>
    </row>
    <row r="250" spans="1:23" ht="12.75">
      <c r="A250" s="368" t="s">
        <v>318</v>
      </c>
      <c r="B250" s="368"/>
      <c r="C250" s="368"/>
      <c r="D250" s="368"/>
      <c r="E250" s="368"/>
      <c r="F250" s="368"/>
      <c r="G250" s="368"/>
      <c r="H250" s="368"/>
      <c r="I250" s="368"/>
      <c r="J250" s="368"/>
      <c r="K250" s="368"/>
      <c r="L250" s="368"/>
      <c r="M250" s="368"/>
      <c r="N250" s="368"/>
      <c r="O250" s="368"/>
      <c r="P250" s="368"/>
      <c r="Q250" s="368"/>
      <c r="R250" s="368"/>
      <c r="S250" s="368"/>
      <c r="T250" s="368"/>
      <c r="U250" s="368"/>
      <c r="V250" s="368"/>
      <c r="W250" s="368"/>
    </row>
    <row r="251" spans="1:23" ht="12.75">
      <c r="A251" s="54" t="s">
        <v>85</v>
      </c>
      <c r="B251" s="12" t="s">
        <v>40</v>
      </c>
      <c r="C251" s="12"/>
      <c r="D251" s="90">
        <v>0</v>
      </c>
      <c r="E251" s="90">
        <v>0</v>
      </c>
      <c r="F251" s="90">
        <v>16</v>
      </c>
      <c r="G251" s="90">
        <v>24</v>
      </c>
      <c r="H251" s="90">
        <v>0</v>
      </c>
      <c r="I251" s="12">
        <f>I249*I250</f>
        <v>0</v>
      </c>
      <c r="J251" s="12">
        <f>J249*J250</f>
        <v>0</v>
      </c>
      <c r="K251" s="12">
        <v>0</v>
      </c>
      <c r="L251" s="12">
        <f>L249*L250</f>
        <v>0</v>
      </c>
      <c r="M251" s="12">
        <f>M249*M250</f>
        <v>0</v>
      </c>
      <c r="N251" s="12">
        <f>N249*N250</f>
        <v>0</v>
      </c>
      <c r="O251" s="12">
        <f>O249*O250</f>
        <v>0</v>
      </c>
      <c r="P251" s="12">
        <v>0</v>
      </c>
      <c r="Q251" s="12">
        <f aca="true" t="shared" si="104" ref="Q251:W251">Q249*Q250</f>
        <v>0</v>
      </c>
      <c r="R251" s="12">
        <f t="shared" si="104"/>
        <v>0</v>
      </c>
      <c r="S251" s="12">
        <f t="shared" si="104"/>
        <v>0</v>
      </c>
      <c r="T251" s="12">
        <f t="shared" si="104"/>
        <v>0</v>
      </c>
      <c r="U251" s="12">
        <f t="shared" si="104"/>
        <v>0</v>
      </c>
      <c r="V251" s="12">
        <f t="shared" si="104"/>
        <v>0</v>
      </c>
      <c r="W251" s="12">
        <f t="shared" si="104"/>
        <v>0</v>
      </c>
    </row>
    <row r="252" spans="1:23" ht="12.75">
      <c r="A252" s="54" t="s">
        <v>76</v>
      </c>
      <c r="B252" s="12" t="s">
        <v>40</v>
      </c>
      <c r="C252" s="12"/>
      <c r="D252" s="12">
        <f>D251</f>
        <v>0</v>
      </c>
      <c r="E252" s="12">
        <f aca="true" t="shared" si="105" ref="E252:W252">D252+E251</f>
        <v>0</v>
      </c>
      <c r="F252" s="12">
        <f t="shared" si="105"/>
        <v>16</v>
      </c>
      <c r="G252" s="12">
        <f t="shared" si="105"/>
        <v>40</v>
      </c>
      <c r="H252" s="12">
        <f t="shared" si="105"/>
        <v>40</v>
      </c>
      <c r="I252" s="12">
        <f t="shared" si="105"/>
        <v>40</v>
      </c>
      <c r="J252" s="12">
        <f t="shared" si="105"/>
        <v>40</v>
      </c>
      <c r="K252" s="12">
        <f t="shared" si="105"/>
        <v>40</v>
      </c>
      <c r="L252" s="12">
        <f t="shared" si="105"/>
        <v>40</v>
      </c>
      <c r="M252" s="12">
        <f t="shared" si="105"/>
        <v>40</v>
      </c>
      <c r="N252" s="12">
        <f t="shared" si="105"/>
        <v>40</v>
      </c>
      <c r="O252" s="12">
        <f t="shared" si="105"/>
        <v>40</v>
      </c>
      <c r="P252" s="12">
        <f t="shared" si="105"/>
        <v>40</v>
      </c>
      <c r="Q252" s="12">
        <f t="shared" si="105"/>
        <v>40</v>
      </c>
      <c r="R252" s="12">
        <f t="shared" si="105"/>
        <v>40</v>
      </c>
      <c r="S252" s="12">
        <f t="shared" si="105"/>
        <v>40</v>
      </c>
      <c r="T252" s="12">
        <f t="shared" si="105"/>
        <v>40</v>
      </c>
      <c r="U252" s="12">
        <f t="shared" si="105"/>
        <v>40</v>
      </c>
      <c r="V252" s="12">
        <f t="shared" si="105"/>
        <v>40</v>
      </c>
      <c r="W252" s="12">
        <f t="shared" si="105"/>
        <v>40</v>
      </c>
    </row>
    <row r="253" spans="1:23" ht="12.75">
      <c r="A253" s="395" t="s">
        <v>64</v>
      </c>
      <c r="B253" s="395"/>
      <c r="C253" s="395"/>
      <c r="D253" s="395"/>
      <c r="E253" s="395"/>
      <c r="F253" s="395"/>
      <c r="G253" s="395"/>
      <c r="H253" s="395"/>
      <c r="I253" s="395"/>
      <c r="J253" s="395"/>
      <c r="K253" s="395"/>
      <c r="L253" s="395"/>
      <c r="M253" s="395"/>
      <c r="N253" s="395"/>
      <c r="O253" s="395"/>
      <c r="P253" s="395"/>
      <c r="Q253" s="395"/>
      <c r="R253" s="395"/>
      <c r="S253" s="395"/>
      <c r="T253" s="395"/>
      <c r="U253" s="395"/>
      <c r="V253" s="395"/>
      <c r="W253" s="395"/>
    </row>
    <row r="254" spans="1:23" ht="12.75">
      <c r="A254" s="100" t="s">
        <v>313</v>
      </c>
      <c r="B254" s="12" t="s">
        <v>55</v>
      </c>
      <c r="C254" s="12"/>
      <c r="D254" s="56">
        <v>1</v>
      </c>
      <c r="E254" s="56">
        <f>D254</f>
        <v>1</v>
      </c>
      <c r="F254" s="56">
        <f>E254</f>
        <v>1</v>
      </c>
      <c r="G254" s="56">
        <f>F254</f>
        <v>1</v>
      </c>
      <c r="H254" s="56">
        <f>G254</f>
        <v>1</v>
      </c>
      <c r="I254" s="56">
        <f>H254</f>
        <v>1</v>
      </c>
      <c r="J254" s="56">
        <f aca="true" t="shared" si="106" ref="J254:W254">I254</f>
        <v>1</v>
      </c>
      <c r="K254" s="56">
        <f t="shared" si="106"/>
        <v>1</v>
      </c>
      <c r="L254" s="56">
        <f t="shared" si="106"/>
        <v>1</v>
      </c>
      <c r="M254" s="56">
        <f t="shared" si="106"/>
        <v>1</v>
      </c>
      <c r="N254" s="56">
        <f t="shared" si="106"/>
        <v>1</v>
      </c>
      <c r="O254" s="56">
        <f t="shared" si="106"/>
        <v>1</v>
      </c>
      <c r="P254" s="56">
        <f t="shared" si="106"/>
        <v>1</v>
      </c>
      <c r="Q254" s="56">
        <f t="shared" si="106"/>
        <v>1</v>
      </c>
      <c r="R254" s="56">
        <f t="shared" si="106"/>
        <v>1</v>
      </c>
      <c r="S254" s="56">
        <f t="shared" si="106"/>
        <v>1</v>
      </c>
      <c r="T254" s="56">
        <f t="shared" si="106"/>
        <v>1</v>
      </c>
      <c r="U254" s="56">
        <f t="shared" si="106"/>
        <v>1</v>
      </c>
      <c r="V254" s="56">
        <f t="shared" si="106"/>
        <v>1</v>
      </c>
      <c r="W254" s="56">
        <f t="shared" si="106"/>
        <v>1</v>
      </c>
    </row>
    <row r="255" spans="1:23" ht="12.75">
      <c r="A255" s="57" t="s">
        <v>56</v>
      </c>
      <c r="B255" s="12" t="s">
        <v>55</v>
      </c>
      <c r="C255" s="12"/>
      <c r="D255" s="56">
        <f aca="true" t="shared" si="107" ref="D255:W255">1-D254</f>
        <v>0</v>
      </c>
      <c r="E255" s="56">
        <f t="shared" si="107"/>
        <v>0</v>
      </c>
      <c r="F255" s="56">
        <f t="shared" si="107"/>
        <v>0</v>
      </c>
      <c r="G255" s="56">
        <f t="shared" si="107"/>
        <v>0</v>
      </c>
      <c r="H255" s="56">
        <f t="shared" si="107"/>
        <v>0</v>
      </c>
      <c r="I255" s="56">
        <f t="shared" si="107"/>
        <v>0</v>
      </c>
      <c r="J255" s="56">
        <f t="shared" si="107"/>
        <v>0</v>
      </c>
      <c r="K255" s="56">
        <f t="shared" si="107"/>
        <v>0</v>
      </c>
      <c r="L255" s="56">
        <f t="shared" si="107"/>
        <v>0</v>
      </c>
      <c r="M255" s="56">
        <f t="shared" si="107"/>
        <v>0</v>
      </c>
      <c r="N255" s="56">
        <f t="shared" si="107"/>
        <v>0</v>
      </c>
      <c r="O255" s="56">
        <f t="shared" si="107"/>
        <v>0</v>
      </c>
      <c r="P255" s="56">
        <f t="shared" si="107"/>
        <v>0</v>
      </c>
      <c r="Q255" s="56">
        <f t="shared" si="107"/>
        <v>0</v>
      </c>
      <c r="R255" s="56">
        <f t="shared" si="107"/>
        <v>0</v>
      </c>
      <c r="S255" s="56">
        <f t="shared" si="107"/>
        <v>0</v>
      </c>
      <c r="T255" s="56">
        <f t="shared" si="107"/>
        <v>0</v>
      </c>
      <c r="U255" s="56">
        <f t="shared" si="107"/>
        <v>0</v>
      </c>
      <c r="V255" s="56">
        <f t="shared" si="107"/>
        <v>0</v>
      </c>
      <c r="W255" s="56">
        <f t="shared" si="107"/>
        <v>0</v>
      </c>
    </row>
    <row r="256" spans="1:23" ht="12.75">
      <c r="A256" s="54" t="s">
        <v>60</v>
      </c>
      <c r="B256" s="12" t="s">
        <v>61</v>
      </c>
      <c r="C256" s="12"/>
      <c r="D256" s="56">
        <f aca="true" t="shared" si="108" ref="D256:W256">D254*$D$153+D255*$D$154</f>
        <v>0.03</v>
      </c>
      <c r="E256" s="56">
        <f t="shared" si="108"/>
        <v>0.03</v>
      </c>
      <c r="F256" s="56">
        <f t="shared" si="108"/>
        <v>0.03</v>
      </c>
      <c r="G256" s="56">
        <f t="shared" si="108"/>
        <v>0.03</v>
      </c>
      <c r="H256" s="56">
        <f t="shared" si="108"/>
        <v>0.03</v>
      </c>
      <c r="I256" s="56">
        <f t="shared" si="108"/>
        <v>0.03</v>
      </c>
      <c r="J256" s="56">
        <f t="shared" si="108"/>
        <v>0.03</v>
      </c>
      <c r="K256" s="56">
        <f t="shared" si="108"/>
        <v>0.03</v>
      </c>
      <c r="L256" s="56">
        <f t="shared" si="108"/>
        <v>0.03</v>
      </c>
      <c r="M256" s="56">
        <f t="shared" si="108"/>
        <v>0.03</v>
      </c>
      <c r="N256" s="56">
        <f t="shared" si="108"/>
        <v>0.03</v>
      </c>
      <c r="O256" s="56">
        <f t="shared" si="108"/>
        <v>0.03</v>
      </c>
      <c r="P256" s="56">
        <f t="shared" si="108"/>
        <v>0.03</v>
      </c>
      <c r="Q256" s="56">
        <f t="shared" si="108"/>
        <v>0.03</v>
      </c>
      <c r="R256" s="56">
        <f t="shared" si="108"/>
        <v>0.03</v>
      </c>
      <c r="S256" s="56">
        <f t="shared" si="108"/>
        <v>0.03</v>
      </c>
      <c r="T256" s="56">
        <f t="shared" si="108"/>
        <v>0.03</v>
      </c>
      <c r="U256" s="56">
        <f t="shared" si="108"/>
        <v>0.03</v>
      </c>
      <c r="V256" s="56">
        <f t="shared" si="108"/>
        <v>0.03</v>
      </c>
      <c r="W256" s="56">
        <f t="shared" si="108"/>
        <v>0.03</v>
      </c>
    </row>
    <row r="257" spans="1:23" ht="12.75">
      <c r="A257" s="54" t="s">
        <v>86</v>
      </c>
      <c r="B257" s="12" t="s">
        <v>40</v>
      </c>
      <c r="C257" s="12"/>
      <c r="D257" s="28">
        <v>0</v>
      </c>
      <c r="E257" s="28">
        <f>D252*0.05</f>
        <v>0</v>
      </c>
      <c r="F257" s="28">
        <f aca="true" t="shared" si="109" ref="F257:W257">E252*0.05</f>
        <v>0</v>
      </c>
      <c r="G257" s="28">
        <f t="shared" si="109"/>
        <v>0.8</v>
      </c>
      <c r="H257" s="28">
        <f t="shared" si="109"/>
        <v>2</v>
      </c>
      <c r="I257" s="28">
        <f t="shared" si="109"/>
        <v>2</v>
      </c>
      <c r="J257" s="28">
        <f t="shared" si="109"/>
        <v>2</v>
      </c>
      <c r="K257" s="28">
        <f t="shared" si="109"/>
        <v>2</v>
      </c>
      <c r="L257" s="28">
        <f t="shared" si="109"/>
        <v>2</v>
      </c>
      <c r="M257" s="28">
        <f t="shared" si="109"/>
        <v>2</v>
      </c>
      <c r="N257" s="28">
        <f t="shared" si="109"/>
        <v>2</v>
      </c>
      <c r="O257" s="28">
        <f t="shared" si="109"/>
        <v>2</v>
      </c>
      <c r="P257" s="28">
        <f t="shared" si="109"/>
        <v>2</v>
      </c>
      <c r="Q257" s="28">
        <f t="shared" si="109"/>
        <v>2</v>
      </c>
      <c r="R257" s="28">
        <f t="shared" si="109"/>
        <v>2</v>
      </c>
      <c r="S257" s="28">
        <f t="shared" si="109"/>
        <v>2</v>
      </c>
      <c r="T257" s="28">
        <f t="shared" si="109"/>
        <v>2</v>
      </c>
      <c r="U257" s="28">
        <f t="shared" si="109"/>
        <v>2</v>
      </c>
      <c r="V257" s="28">
        <f t="shared" si="109"/>
        <v>2</v>
      </c>
      <c r="W257" s="28">
        <f t="shared" si="109"/>
        <v>2</v>
      </c>
    </row>
    <row r="258" spans="1:23" s="159" customFormat="1" ht="12.75">
      <c r="A258" s="112" t="s">
        <v>87</v>
      </c>
      <c r="B258" s="158" t="s">
        <v>40</v>
      </c>
      <c r="C258" s="158"/>
      <c r="D258" s="158"/>
      <c r="E258" s="158">
        <f aca="true" t="shared" si="110" ref="E258:W258">-PMT(D256/12,$J153*12,D252,D252*$J154)*12</f>
        <v>0</v>
      </c>
      <c r="F258" s="158">
        <f t="shared" si="110"/>
        <v>0</v>
      </c>
      <c r="G258" s="158">
        <f t="shared" si="110"/>
        <v>0.9320100087370804</v>
      </c>
      <c r="H258" s="158">
        <f t="shared" si="110"/>
        <v>2.330025021842701</v>
      </c>
      <c r="I258" s="158">
        <f t="shared" si="110"/>
        <v>2.330025021842701</v>
      </c>
      <c r="J258" s="158">
        <f t="shared" si="110"/>
        <v>2.330025021842701</v>
      </c>
      <c r="K258" s="158">
        <f t="shared" si="110"/>
        <v>2.330025021842701</v>
      </c>
      <c r="L258" s="158">
        <f t="shared" si="110"/>
        <v>2.330025021842701</v>
      </c>
      <c r="M258" s="158">
        <f t="shared" si="110"/>
        <v>2.330025021842701</v>
      </c>
      <c r="N258" s="158">
        <f t="shared" si="110"/>
        <v>2.330025021842701</v>
      </c>
      <c r="O258" s="158">
        <f t="shared" si="110"/>
        <v>2.330025021842701</v>
      </c>
      <c r="P258" s="158">
        <f t="shared" si="110"/>
        <v>2.330025021842701</v>
      </c>
      <c r="Q258" s="158">
        <f t="shared" si="110"/>
        <v>2.330025021842701</v>
      </c>
      <c r="R258" s="158">
        <f t="shared" si="110"/>
        <v>2.330025021842701</v>
      </c>
      <c r="S258" s="158">
        <f t="shared" si="110"/>
        <v>2.330025021842701</v>
      </c>
      <c r="T258" s="158">
        <f t="shared" si="110"/>
        <v>2.330025021842701</v>
      </c>
      <c r="U258" s="158">
        <f t="shared" si="110"/>
        <v>2.330025021842701</v>
      </c>
      <c r="V258" s="158">
        <f t="shared" si="110"/>
        <v>2.330025021842701</v>
      </c>
      <c r="W258" s="158">
        <f t="shared" si="110"/>
        <v>2.330025021842701</v>
      </c>
    </row>
    <row r="259" spans="1:23" s="162" customFormat="1" ht="12.75">
      <c r="A259" s="97" t="s">
        <v>236</v>
      </c>
      <c r="B259" s="160" t="s">
        <v>40</v>
      </c>
      <c r="C259" s="160"/>
      <c r="D259" s="160"/>
      <c r="E259" s="160">
        <f>(D252*(1-$J$154)/$J$153)</f>
        <v>0</v>
      </c>
      <c r="F259" s="160">
        <f aca="true" t="shared" si="111" ref="F259:W259">(E252*(1-$J$154)/$J$153)</f>
        <v>0</v>
      </c>
      <c r="G259" s="160">
        <f t="shared" si="111"/>
        <v>0.608</v>
      </c>
      <c r="H259" s="160">
        <f t="shared" si="111"/>
        <v>1.52</v>
      </c>
      <c r="I259" s="160">
        <f t="shared" si="111"/>
        <v>1.52</v>
      </c>
      <c r="J259" s="160">
        <f t="shared" si="111"/>
        <v>1.52</v>
      </c>
      <c r="K259" s="160">
        <f t="shared" si="111"/>
        <v>1.52</v>
      </c>
      <c r="L259" s="160">
        <f t="shared" si="111"/>
        <v>1.52</v>
      </c>
      <c r="M259" s="160">
        <f t="shared" si="111"/>
        <v>1.52</v>
      </c>
      <c r="N259" s="160">
        <f t="shared" si="111"/>
        <v>1.52</v>
      </c>
      <c r="O259" s="160">
        <f t="shared" si="111"/>
        <v>1.52</v>
      </c>
      <c r="P259" s="160">
        <f t="shared" si="111"/>
        <v>1.52</v>
      </c>
      <c r="Q259" s="160">
        <f t="shared" si="111"/>
        <v>1.52</v>
      </c>
      <c r="R259" s="160">
        <f t="shared" si="111"/>
        <v>1.52</v>
      </c>
      <c r="S259" s="160">
        <f t="shared" si="111"/>
        <v>1.52</v>
      </c>
      <c r="T259" s="160">
        <f t="shared" si="111"/>
        <v>1.52</v>
      </c>
      <c r="U259" s="160">
        <f t="shared" si="111"/>
        <v>1.52</v>
      </c>
      <c r="V259" s="160">
        <f t="shared" si="111"/>
        <v>1.52</v>
      </c>
      <c r="W259" s="160">
        <f t="shared" si="111"/>
        <v>1.52</v>
      </c>
    </row>
    <row r="260" spans="1:23" s="162" customFormat="1" ht="12.75">
      <c r="A260" s="97" t="s">
        <v>233</v>
      </c>
      <c r="B260" s="160" t="s">
        <v>40</v>
      </c>
      <c r="C260" s="160"/>
      <c r="D260" s="160"/>
      <c r="E260" s="160">
        <f aca="true" t="shared" si="112" ref="E260:W260">D261*$D156</f>
        <v>0</v>
      </c>
      <c r="F260" s="160">
        <f t="shared" si="112"/>
        <v>0</v>
      </c>
      <c r="G260" s="160">
        <f t="shared" si="112"/>
        <v>0</v>
      </c>
      <c r="H260" s="160">
        <f t="shared" si="112"/>
        <v>0.055920600524224824</v>
      </c>
      <c r="I260" s="160">
        <f t="shared" si="112"/>
        <v>0.19907733786624038</v>
      </c>
      <c r="J260" s="160">
        <f t="shared" si="112"/>
        <v>0.35082347944877684</v>
      </c>
      <c r="K260" s="160">
        <f t="shared" si="112"/>
        <v>0.5116743895262654</v>
      </c>
      <c r="L260" s="160">
        <f t="shared" si="112"/>
        <v>0.6821763542084034</v>
      </c>
      <c r="M260" s="160">
        <f t="shared" si="112"/>
        <v>0.8629084367714697</v>
      </c>
      <c r="N260" s="160">
        <f t="shared" si="112"/>
        <v>1.0544844442883199</v>
      </c>
      <c r="O260" s="160">
        <f t="shared" si="112"/>
        <v>1.2575550122561812</v>
      </c>
      <c r="P260" s="160">
        <f t="shared" si="112"/>
        <v>1.472809814302114</v>
      </c>
      <c r="Q260" s="160">
        <f t="shared" si="112"/>
        <v>1.700979904470803</v>
      </c>
      <c r="R260" s="160">
        <f t="shared" si="112"/>
        <v>1.9428402000496128</v>
      </c>
      <c r="S260" s="160">
        <f t="shared" si="112"/>
        <v>2.1992121133631515</v>
      </c>
      <c r="T260" s="160">
        <f t="shared" si="112"/>
        <v>2.4709663414755028</v>
      </c>
      <c r="U260" s="160">
        <f t="shared" si="112"/>
        <v>2.759025823274595</v>
      </c>
      <c r="V260" s="160">
        <f t="shared" si="112"/>
        <v>3.064368873981633</v>
      </c>
      <c r="W260" s="160">
        <f t="shared" si="112"/>
        <v>3.388032507731093</v>
      </c>
    </row>
    <row r="261" spans="1:23" s="167" customFormat="1" ht="38.25">
      <c r="A261" s="115" t="s">
        <v>322</v>
      </c>
      <c r="B261" s="161" t="s">
        <v>40</v>
      </c>
      <c r="C261" s="161"/>
      <c r="D261" s="161"/>
      <c r="E261" s="161">
        <f>D261+E259+E260</f>
        <v>0</v>
      </c>
      <c r="F261" s="161">
        <f>E261+F259+F260</f>
        <v>0</v>
      </c>
      <c r="G261" s="161">
        <f>F261+G259+G260+G262</f>
        <v>0.9320100087370804</v>
      </c>
      <c r="H261" s="161">
        <f aca="true" t="shared" si="113" ref="H261:W261">G261+H259+H260+H262</f>
        <v>3.3179556311040064</v>
      </c>
      <c r="I261" s="161">
        <f t="shared" si="113"/>
        <v>5.847057990812948</v>
      </c>
      <c r="J261" s="161">
        <f t="shared" si="113"/>
        <v>8.527906492104425</v>
      </c>
      <c r="K261" s="161">
        <f t="shared" si="113"/>
        <v>11.36960590347339</v>
      </c>
      <c r="L261" s="161">
        <f t="shared" si="113"/>
        <v>14.381807279524494</v>
      </c>
      <c r="M261" s="161">
        <f t="shared" si="113"/>
        <v>17.574740738138665</v>
      </c>
      <c r="N261" s="161">
        <f t="shared" si="113"/>
        <v>20.959250204269686</v>
      </c>
      <c r="O261" s="161">
        <f t="shared" si="113"/>
        <v>24.546830238368567</v>
      </c>
      <c r="P261" s="161">
        <f t="shared" si="113"/>
        <v>28.349665074513382</v>
      </c>
      <c r="Q261" s="161">
        <f t="shared" si="113"/>
        <v>32.38067000082688</v>
      </c>
      <c r="R261" s="161">
        <f t="shared" si="113"/>
        <v>36.65353522271919</v>
      </c>
      <c r="S261" s="161">
        <f t="shared" si="113"/>
        <v>41.182772357925046</v>
      </c>
      <c r="T261" s="161">
        <f t="shared" si="113"/>
        <v>45.98376372124325</v>
      </c>
      <c r="U261" s="161">
        <f t="shared" si="113"/>
        <v>51.07281456636055</v>
      </c>
      <c r="V261" s="161">
        <f t="shared" si="113"/>
        <v>56.467208462184885</v>
      </c>
      <c r="W261" s="161">
        <f t="shared" si="113"/>
        <v>62.185265991758676</v>
      </c>
    </row>
    <row r="262" spans="1:23" s="159" customFormat="1" ht="12.75">
      <c r="A262" s="112" t="s">
        <v>232</v>
      </c>
      <c r="B262" s="158" t="s">
        <v>40</v>
      </c>
      <c r="C262" s="158"/>
      <c r="D262" s="158"/>
      <c r="E262" s="158">
        <f>E258-E259</f>
        <v>0</v>
      </c>
      <c r="F262" s="158">
        <f aca="true" t="shared" si="114" ref="F262:W262">F258-F259</f>
        <v>0</v>
      </c>
      <c r="G262" s="158">
        <f t="shared" si="114"/>
        <v>0.3240100087370804</v>
      </c>
      <c r="H262" s="158">
        <f t="shared" si="114"/>
        <v>0.810025021842701</v>
      </c>
      <c r="I262" s="158">
        <f t="shared" si="114"/>
        <v>0.810025021842701</v>
      </c>
      <c r="J262" s="158">
        <f t="shared" si="114"/>
        <v>0.810025021842701</v>
      </c>
      <c r="K262" s="158">
        <f t="shared" si="114"/>
        <v>0.810025021842701</v>
      </c>
      <c r="L262" s="158">
        <f t="shared" si="114"/>
        <v>0.810025021842701</v>
      </c>
      <c r="M262" s="158">
        <f t="shared" si="114"/>
        <v>0.810025021842701</v>
      </c>
      <c r="N262" s="158">
        <f t="shared" si="114"/>
        <v>0.810025021842701</v>
      </c>
      <c r="O262" s="158">
        <f t="shared" si="114"/>
        <v>0.810025021842701</v>
      </c>
      <c r="P262" s="158">
        <f t="shared" si="114"/>
        <v>0.810025021842701</v>
      </c>
      <c r="Q262" s="158">
        <f t="shared" si="114"/>
        <v>0.810025021842701</v>
      </c>
      <c r="R262" s="158">
        <f t="shared" si="114"/>
        <v>0.810025021842701</v>
      </c>
      <c r="S262" s="158">
        <f t="shared" si="114"/>
        <v>0.810025021842701</v>
      </c>
      <c r="T262" s="158">
        <f t="shared" si="114"/>
        <v>0.810025021842701</v>
      </c>
      <c r="U262" s="158">
        <f t="shared" si="114"/>
        <v>0.810025021842701</v>
      </c>
      <c r="V262" s="158">
        <f t="shared" si="114"/>
        <v>0.810025021842701</v>
      </c>
      <c r="W262" s="158">
        <f t="shared" si="114"/>
        <v>0.810025021842701</v>
      </c>
    </row>
    <row r="263" spans="1:23" s="113" customFormat="1" ht="12.75">
      <c r="A263" s="114" t="s">
        <v>197</v>
      </c>
      <c r="B263" s="28" t="s">
        <v>40</v>
      </c>
      <c r="C263" s="28"/>
      <c r="D263" s="28">
        <v>0</v>
      </c>
      <c r="E263" s="28">
        <f>E258*0.05</f>
        <v>0</v>
      </c>
      <c r="F263" s="28">
        <f aca="true" t="shared" si="115" ref="F263:W263">F258*0.05</f>
        <v>0</v>
      </c>
      <c r="G263" s="28">
        <f t="shared" si="115"/>
        <v>0.04660050043685402</v>
      </c>
      <c r="H263" s="28">
        <f t="shared" si="115"/>
        <v>0.11650125109213505</v>
      </c>
      <c r="I263" s="28">
        <f t="shared" si="115"/>
        <v>0.11650125109213505</v>
      </c>
      <c r="J263" s="28">
        <f t="shared" si="115"/>
        <v>0.11650125109213505</v>
      </c>
      <c r="K263" s="28">
        <f t="shared" si="115"/>
        <v>0.11650125109213505</v>
      </c>
      <c r="L263" s="28">
        <f t="shared" si="115"/>
        <v>0.11650125109213505</v>
      </c>
      <c r="M263" s="28">
        <f t="shared" si="115"/>
        <v>0.11650125109213505</v>
      </c>
      <c r="N263" s="28">
        <f t="shared" si="115"/>
        <v>0.11650125109213505</v>
      </c>
      <c r="O263" s="28">
        <f t="shared" si="115"/>
        <v>0.11650125109213505</v>
      </c>
      <c r="P263" s="28">
        <f t="shared" si="115"/>
        <v>0.11650125109213505</v>
      </c>
      <c r="Q263" s="28">
        <f t="shared" si="115"/>
        <v>0.11650125109213505</v>
      </c>
      <c r="R263" s="28">
        <f t="shared" si="115"/>
        <v>0.11650125109213505</v>
      </c>
      <c r="S263" s="28">
        <f t="shared" si="115"/>
        <v>0.11650125109213505</v>
      </c>
      <c r="T263" s="28">
        <f t="shared" si="115"/>
        <v>0.11650125109213505</v>
      </c>
      <c r="U263" s="28">
        <f t="shared" si="115"/>
        <v>0.11650125109213505</v>
      </c>
      <c r="V263" s="28">
        <f t="shared" si="115"/>
        <v>0.11650125109213505</v>
      </c>
      <c r="W263" s="28">
        <f t="shared" si="115"/>
        <v>0.11650125109213505</v>
      </c>
    </row>
    <row r="264" spans="1:23" s="113" customFormat="1" ht="12.75">
      <c r="A264" s="114" t="s">
        <v>74</v>
      </c>
      <c r="B264" s="28" t="s">
        <v>40</v>
      </c>
      <c r="C264" s="28"/>
      <c r="D264" s="28"/>
      <c r="E264" s="28">
        <f>E258+E263+E260</f>
        <v>0</v>
      </c>
      <c r="F264" s="28">
        <f aca="true" t="shared" si="116" ref="F264:W264">F258+F263+F260</f>
        <v>0</v>
      </c>
      <c r="G264" s="28">
        <f t="shared" si="116"/>
        <v>0.9786105091739344</v>
      </c>
      <c r="H264" s="28">
        <f t="shared" si="116"/>
        <v>2.502446873459061</v>
      </c>
      <c r="I264" s="28">
        <f t="shared" si="116"/>
        <v>2.6456036108010763</v>
      </c>
      <c r="J264" s="28">
        <f t="shared" si="116"/>
        <v>2.797349752383613</v>
      </c>
      <c r="K264" s="28">
        <f t="shared" si="116"/>
        <v>2.9582006624611017</v>
      </c>
      <c r="L264" s="28">
        <f t="shared" si="116"/>
        <v>3.128702627143239</v>
      </c>
      <c r="M264" s="28">
        <f t="shared" si="116"/>
        <v>3.3094347097063057</v>
      </c>
      <c r="N264" s="28">
        <f t="shared" si="116"/>
        <v>3.501010717223156</v>
      </c>
      <c r="O264" s="28">
        <f t="shared" si="116"/>
        <v>3.704081285191017</v>
      </c>
      <c r="P264" s="28">
        <f t="shared" si="116"/>
        <v>3.91933608723695</v>
      </c>
      <c r="Q264" s="28">
        <f t="shared" si="116"/>
        <v>4.1475061774056385</v>
      </c>
      <c r="R264" s="28">
        <f t="shared" si="116"/>
        <v>4.389366472984449</v>
      </c>
      <c r="S264" s="28">
        <f t="shared" si="116"/>
        <v>4.645738386297987</v>
      </c>
      <c r="T264" s="28">
        <f t="shared" si="116"/>
        <v>4.917492614410339</v>
      </c>
      <c r="U264" s="28">
        <f t="shared" si="116"/>
        <v>5.205552096209431</v>
      </c>
      <c r="V264" s="28">
        <f t="shared" si="116"/>
        <v>5.510895146916469</v>
      </c>
      <c r="W264" s="28">
        <f t="shared" si="116"/>
        <v>5.83455878066593</v>
      </c>
    </row>
    <row r="265" spans="1:23" s="113" customFormat="1" ht="12.75">
      <c r="A265" s="112" t="s">
        <v>75</v>
      </c>
      <c r="B265" s="28" t="s">
        <v>40</v>
      </c>
      <c r="C265" s="28"/>
      <c r="D265" s="28"/>
      <c r="E265" s="28">
        <f>D252*(1-$J$154)/$J$153</f>
        <v>0</v>
      </c>
      <c r="F265" s="28">
        <f aca="true" t="shared" si="117" ref="F265:W265">E252*(1-$J$154)/$J$153</f>
        <v>0</v>
      </c>
      <c r="G265" s="28">
        <f t="shared" si="117"/>
        <v>0.608</v>
      </c>
      <c r="H265" s="28">
        <f t="shared" si="117"/>
        <v>1.52</v>
      </c>
      <c r="I265" s="28">
        <f t="shared" si="117"/>
        <v>1.52</v>
      </c>
      <c r="J265" s="28">
        <f t="shared" si="117"/>
        <v>1.52</v>
      </c>
      <c r="K265" s="28">
        <f t="shared" si="117"/>
        <v>1.52</v>
      </c>
      <c r="L265" s="28">
        <f t="shared" si="117"/>
        <v>1.52</v>
      </c>
      <c r="M265" s="28">
        <f t="shared" si="117"/>
        <v>1.52</v>
      </c>
      <c r="N265" s="28">
        <f t="shared" si="117"/>
        <v>1.52</v>
      </c>
      <c r="O265" s="28">
        <f t="shared" si="117"/>
        <v>1.52</v>
      </c>
      <c r="P265" s="28">
        <f t="shared" si="117"/>
        <v>1.52</v>
      </c>
      <c r="Q265" s="28">
        <f t="shared" si="117"/>
        <v>1.52</v>
      </c>
      <c r="R265" s="28">
        <f t="shared" si="117"/>
        <v>1.52</v>
      </c>
      <c r="S265" s="28">
        <f t="shared" si="117"/>
        <v>1.52</v>
      </c>
      <c r="T265" s="28">
        <f t="shared" si="117"/>
        <v>1.52</v>
      </c>
      <c r="U265" s="28">
        <f t="shared" si="117"/>
        <v>1.52</v>
      </c>
      <c r="V265" s="28">
        <f t="shared" si="117"/>
        <v>1.52</v>
      </c>
      <c r="W265" s="28">
        <f t="shared" si="117"/>
        <v>1.52</v>
      </c>
    </row>
    <row r="266" spans="1:23" s="113" customFormat="1" ht="12.75">
      <c r="A266" s="112" t="s">
        <v>77</v>
      </c>
      <c r="B266" s="28" t="s">
        <v>40</v>
      </c>
      <c r="C266" s="28"/>
      <c r="D266" s="28">
        <v>0</v>
      </c>
      <c r="E266" s="28">
        <f aca="true" t="shared" si="118" ref="E266:W266">E263+E265</f>
        <v>0</v>
      </c>
      <c r="F266" s="28">
        <f t="shared" si="118"/>
        <v>0</v>
      </c>
      <c r="G266" s="28">
        <f t="shared" si="118"/>
        <v>0.654600500436854</v>
      </c>
      <c r="H266" s="28">
        <f t="shared" si="118"/>
        <v>1.636501251092135</v>
      </c>
      <c r="I266" s="28">
        <f t="shared" si="118"/>
        <v>1.636501251092135</v>
      </c>
      <c r="J266" s="28">
        <f t="shared" si="118"/>
        <v>1.636501251092135</v>
      </c>
      <c r="K266" s="28">
        <f t="shared" si="118"/>
        <v>1.636501251092135</v>
      </c>
      <c r="L266" s="28">
        <f t="shared" si="118"/>
        <v>1.636501251092135</v>
      </c>
      <c r="M266" s="28">
        <f t="shared" si="118"/>
        <v>1.636501251092135</v>
      </c>
      <c r="N266" s="28">
        <f t="shared" si="118"/>
        <v>1.636501251092135</v>
      </c>
      <c r="O266" s="28">
        <f t="shared" si="118"/>
        <v>1.636501251092135</v>
      </c>
      <c r="P266" s="28">
        <f t="shared" si="118"/>
        <v>1.636501251092135</v>
      </c>
      <c r="Q266" s="28">
        <f t="shared" si="118"/>
        <v>1.636501251092135</v>
      </c>
      <c r="R266" s="28">
        <f t="shared" si="118"/>
        <v>1.636501251092135</v>
      </c>
      <c r="S266" s="28">
        <f t="shared" si="118"/>
        <v>1.636501251092135</v>
      </c>
      <c r="T266" s="28">
        <f t="shared" si="118"/>
        <v>1.636501251092135</v>
      </c>
      <c r="U266" s="28">
        <f t="shared" si="118"/>
        <v>1.636501251092135</v>
      </c>
      <c r="V266" s="28">
        <f t="shared" si="118"/>
        <v>1.636501251092135</v>
      </c>
      <c r="W266" s="28">
        <f t="shared" si="118"/>
        <v>1.636501251092135</v>
      </c>
    </row>
    <row r="267" spans="1:23" s="113" customFormat="1" ht="12.75">
      <c r="A267" s="112" t="s">
        <v>78</v>
      </c>
      <c r="B267" s="28" t="s">
        <v>40</v>
      </c>
      <c r="C267" s="28"/>
      <c r="D267" s="28"/>
      <c r="E267" s="28">
        <f aca="true" t="shared" si="119" ref="E267:W267">E264-E266</f>
        <v>0</v>
      </c>
      <c r="F267" s="28">
        <f t="shared" si="119"/>
        <v>0</v>
      </c>
      <c r="G267" s="28">
        <f t="shared" si="119"/>
        <v>0.3240100087370804</v>
      </c>
      <c r="H267" s="28">
        <f t="shared" si="119"/>
        <v>0.865945622366926</v>
      </c>
      <c r="I267" s="28">
        <f t="shared" si="119"/>
        <v>1.0091023597089412</v>
      </c>
      <c r="J267" s="28">
        <f t="shared" si="119"/>
        <v>1.1608485012914778</v>
      </c>
      <c r="K267" s="28">
        <f t="shared" si="119"/>
        <v>1.3216994113689666</v>
      </c>
      <c r="L267" s="28">
        <f t="shared" si="119"/>
        <v>1.4922013760511041</v>
      </c>
      <c r="M267" s="28">
        <f t="shared" si="119"/>
        <v>1.6729334586141706</v>
      </c>
      <c r="N267" s="28">
        <f t="shared" si="119"/>
        <v>1.8645094661310209</v>
      </c>
      <c r="O267" s="28">
        <f t="shared" si="119"/>
        <v>2.067580034098882</v>
      </c>
      <c r="P267" s="28">
        <f t="shared" si="119"/>
        <v>2.282834836144815</v>
      </c>
      <c r="Q267" s="28">
        <f t="shared" si="119"/>
        <v>2.5110049263135035</v>
      </c>
      <c r="R267" s="28">
        <f t="shared" si="119"/>
        <v>2.7528652218923138</v>
      </c>
      <c r="S267" s="28">
        <f t="shared" si="119"/>
        <v>3.009237135205852</v>
      </c>
      <c r="T267" s="28">
        <f t="shared" si="119"/>
        <v>3.2809913633182037</v>
      </c>
      <c r="U267" s="28">
        <f t="shared" si="119"/>
        <v>3.5690508451172955</v>
      </c>
      <c r="V267" s="28">
        <f t="shared" si="119"/>
        <v>3.874393895824334</v>
      </c>
      <c r="W267" s="28">
        <f t="shared" si="119"/>
        <v>4.198057529573795</v>
      </c>
    </row>
    <row r="268" spans="1:23" s="113" customFormat="1" ht="12.75">
      <c r="A268" s="112" t="s">
        <v>95</v>
      </c>
      <c r="B268" s="28" t="s">
        <v>40</v>
      </c>
      <c r="C268" s="28"/>
      <c r="D268" s="28">
        <f>D265+D260+D262-D251</f>
        <v>0</v>
      </c>
      <c r="E268" s="28">
        <f aca="true" t="shared" si="120" ref="E268:W268">E265+E260+E262-E251</f>
        <v>0</v>
      </c>
      <c r="F268" s="28">
        <f t="shared" si="120"/>
        <v>-16</v>
      </c>
      <c r="G268" s="28">
        <f t="shared" si="120"/>
        <v>-23.06798999126292</v>
      </c>
      <c r="H268" s="28">
        <f t="shared" si="120"/>
        <v>2.3859456223669255</v>
      </c>
      <c r="I268" s="28">
        <f t="shared" si="120"/>
        <v>2.5291023597089413</v>
      </c>
      <c r="J268" s="28">
        <f t="shared" si="120"/>
        <v>2.680848501291478</v>
      </c>
      <c r="K268" s="28">
        <f t="shared" si="120"/>
        <v>2.841699411368966</v>
      </c>
      <c r="L268" s="28">
        <f t="shared" si="120"/>
        <v>3.0122013760511046</v>
      </c>
      <c r="M268" s="28">
        <f t="shared" si="120"/>
        <v>3.1929334586141707</v>
      </c>
      <c r="N268" s="28">
        <f t="shared" si="120"/>
        <v>3.384509466131021</v>
      </c>
      <c r="O268" s="28">
        <f t="shared" si="120"/>
        <v>3.5875800340988824</v>
      </c>
      <c r="P268" s="28">
        <f t="shared" si="120"/>
        <v>3.802834836144815</v>
      </c>
      <c r="Q268" s="28">
        <f t="shared" si="120"/>
        <v>4.0310049263135035</v>
      </c>
      <c r="R268" s="28">
        <f t="shared" si="120"/>
        <v>4.272865221892314</v>
      </c>
      <c r="S268" s="28">
        <f t="shared" si="120"/>
        <v>4.529237135205852</v>
      </c>
      <c r="T268" s="28">
        <f t="shared" si="120"/>
        <v>4.800991363318204</v>
      </c>
      <c r="U268" s="28">
        <f t="shared" si="120"/>
        <v>5.0890508451172956</v>
      </c>
      <c r="V268" s="28">
        <f t="shared" si="120"/>
        <v>5.394393895824335</v>
      </c>
      <c r="W268" s="28">
        <f t="shared" si="120"/>
        <v>5.7180575295737945</v>
      </c>
    </row>
    <row r="269" spans="1:23" ht="12.75">
      <c r="A269" s="57" t="s">
        <v>97</v>
      </c>
      <c r="B269" s="12" t="s">
        <v>61</v>
      </c>
      <c r="C269" s="56">
        <f>IRR(D268:W268)</f>
        <v>0.047690956268768174</v>
      </c>
      <c r="D269" s="370"/>
      <c r="E269" s="370"/>
      <c r="F269" s="370"/>
      <c r="G269" s="370"/>
      <c r="H269" s="370"/>
      <c r="I269" s="370"/>
      <c r="J269" s="370"/>
      <c r="K269" s="370"/>
      <c r="L269" s="370"/>
      <c r="M269" s="370"/>
      <c r="N269" s="370"/>
      <c r="O269" s="370"/>
      <c r="P269" s="370"/>
      <c r="Q269" s="370"/>
      <c r="R269" s="370"/>
      <c r="S269" s="370"/>
      <c r="T269" s="370"/>
      <c r="U269" s="370"/>
      <c r="V269" s="370"/>
      <c r="W269" s="370"/>
    </row>
    <row r="270" spans="1:23" ht="12.75">
      <c r="A270" s="55" t="s">
        <v>96</v>
      </c>
      <c r="B270" s="12" t="s">
        <v>40</v>
      </c>
      <c r="C270" s="58">
        <f>NPV(D256,D268:W268)</f>
        <v>6.0629571741144925</v>
      </c>
      <c r="D270" s="370"/>
      <c r="E270" s="370"/>
      <c r="F270" s="370"/>
      <c r="G270" s="370"/>
      <c r="H270" s="370"/>
      <c r="I270" s="370"/>
      <c r="J270" s="370"/>
      <c r="K270" s="370"/>
      <c r="L270" s="370"/>
      <c r="M270" s="370"/>
      <c r="N270" s="370"/>
      <c r="O270" s="370"/>
      <c r="P270" s="370"/>
      <c r="Q270" s="370"/>
      <c r="R270" s="370"/>
      <c r="S270" s="370"/>
      <c r="T270" s="370"/>
      <c r="U270" s="370"/>
      <c r="V270" s="370"/>
      <c r="W270" s="370"/>
    </row>
    <row r="271" spans="1:23" ht="12.75">
      <c r="A271" s="364"/>
      <c r="B271" s="364"/>
      <c r="C271" s="364"/>
      <c r="D271" s="364"/>
      <c r="E271" s="364"/>
      <c r="F271" s="364"/>
      <c r="G271" s="364"/>
      <c r="H271" s="364"/>
      <c r="I271" s="364"/>
      <c r="J271" s="364"/>
      <c r="K271" s="364"/>
      <c r="L271" s="364"/>
      <c r="M271" s="364"/>
      <c r="N271" s="364"/>
      <c r="O271" s="364"/>
      <c r="P271" s="364"/>
      <c r="Q271" s="364"/>
      <c r="R271" s="364"/>
      <c r="S271" s="364"/>
      <c r="T271" s="364"/>
      <c r="U271" s="364"/>
      <c r="V271" s="364"/>
      <c r="W271" s="364"/>
    </row>
    <row r="272" spans="1:23" ht="12.75">
      <c r="A272" s="46"/>
      <c r="B272" s="14" t="s">
        <v>3</v>
      </c>
      <c r="C272" s="14">
        <v>2007</v>
      </c>
      <c r="D272" s="14">
        <f>C272+1</f>
        <v>2008</v>
      </c>
      <c r="E272" s="14">
        <f aca="true" t="shared" si="121" ref="E272:S272">D272+1</f>
        <v>2009</v>
      </c>
      <c r="F272" s="14">
        <f t="shared" si="121"/>
        <v>2010</v>
      </c>
      <c r="G272" s="14">
        <f t="shared" si="121"/>
        <v>2011</v>
      </c>
      <c r="H272" s="14">
        <f t="shared" si="121"/>
        <v>2012</v>
      </c>
      <c r="I272" s="14">
        <f t="shared" si="121"/>
        <v>2013</v>
      </c>
      <c r="J272" s="14">
        <f t="shared" si="121"/>
        <v>2014</v>
      </c>
      <c r="K272" s="14">
        <f t="shared" si="121"/>
        <v>2015</v>
      </c>
      <c r="L272" s="14">
        <f t="shared" si="121"/>
        <v>2016</v>
      </c>
      <c r="M272" s="14">
        <f t="shared" si="121"/>
        <v>2017</v>
      </c>
      <c r="N272" s="14">
        <f t="shared" si="121"/>
        <v>2018</v>
      </c>
      <c r="O272" s="14">
        <f t="shared" si="121"/>
        <v>2019</v>
      </c>
      <c r="P272" s="14">
        <f t="shared" si="121"/>
        <v>2020</v>
      </c>
      <c r="Q272" s="14">
        <f t="shared" si="121"/>
        <v>2021</v>
      </c>
      <c r="R272" s="14">
        <f t="shared" si="121"/>
        <v>2022</v>
      </c>
      <c r="S272" s="14">
        <f t="shared" si="121"/>
        <v>2023</v>
      </c>
      <c r="T272" s="14">
        <f>S272+1</f>
        <v>2024</v>
      </c>
      <c r="U272" s="14">
        <f>T272+1</f>
        <v>2025</v>
      </c>
      <c r="V272" s="14">
        <f>U272+1</f>
        <v>2026</v>
      </c>
      <c r="W272" s="14">
        <f>V272+1</f>
        <v>2027</v>
      </c>
    </row>
    <row r="273" spans="1:23" ht="12.75">
      <c r="A273" s="368" t="s">
        <v>88</v>
      </c>
      <c r="B273" s="368"/>
      <c r="C273" s="368"/>
      <c r="D273" s="368"/>
      <c r="E273" s="368"/>
      <c r="F273" s="368"/>
      <c r="G273" s="368"/>
      <c r="H273" s="368"/>
      <c r="I273" s="368"/>
      <c r="J273" s="368"/>
      <c r="K273" s="368"/>
      <c r="L273" s="368"/>
      <c r="M273" s="368"/>
      <c r="N273" s="368"/>
      <c r="O273" s="368"/>
      <c r="P273" s="368"/>
      <c r="Q273" s="368"/>
      <c r="R273" s="368"/>
      <c r="S273" s="368"/>
      <c r="T273" s="368"/>
      <c r="U273" s="368"/>
      <c r="V273" s="368"/>
      <c r="W273" s="368"/>
    </row>
    <row r="274" spans="1:23" ht="12.75">
      <c r="A274" s="46" t="s">
        <v>198</v>
      </c>
      <c r="B274" s="12" t="s">
        <v>40</v>
      </c>
      <c r="C274" s="46"/>
      <c r="D274" s="90">
        <v>1</v>
      </c>
      <c r="E274" s="90">
        <v>4</v>
      </c>
      <c r="F274" s="90">
        <v>5.14</v>
      </c>
      <c r="G274" s="90">
        <v>0</v>
      </c>
      <c r="H274" s="90">
        <v>0</v>
      </c>
      <c r="I274" s="90">
        <f>H274</f>
        <v>0</v>
      </c>
      <c r="J274" s="90">
        <f aca="true" t="shared" si="122" ref="J274:W274">I274</f>
        <v>0</v>
      </c>
      <c r="K274" s="90">
        <f t="shared" si="122"/>
        <v>0</v>
      </c>
      <c r="L274" s="90">
        <f t="shared" si="122"/>
        <v>0</v>
      </c>
      <c r="M274" s="90">
        <f t="shared" si="122"/>
        <v>0</v>
      </c>
      <c r="N274" s="90">
        <f t="shared" si="122"/>
        <v>0</v>
      </c>
      <c r="O274" s="90">
        <f t="shared" si="122"/>
        <v>0</v>
      </c>
      <c r="P274" s="90">
        <v>10</v>
      </c>
      <c r="Q274" s="90">
        <v>0</v>
      </c>
      <c r="R274" s="90">
        <f t="shared" si="122"/>
        <v>0</v>
      </c>
      <c r="S274" s="90">
        <f t="shared" si="122"/>
        <v>0</v>
      </c>
      <c r="T274" s="90">
        <f t="shared" si="122"/>
        <v>0</v>
      </c>
      <c r="U274" s="90">
        <f t="shared" si="122"/>
        <v>0</v>
      </c>
      <c r="V274" s="90">
        <f t="shared" si="122"/>
        <v>0</v>
      </c>
      <c r="W274" s="90">
        <f t="shared" si="122"/>
        <v>0</v>
      </c>
    </row>
    <row r="275" spans="1:23" ht="12.75">
      <c r="A275" s="54" t="s">
        <v>76</v>
      </c>
      <c r="B275" s="12" t="s">
        <v>40</v>
      </c>
      <c r="C275" s="12"/>
      <c r="D275" s="90">
        <f>D274</f>
        <v>1</v>
      </c>
      <c r="E275" s="90">
        <f>D275+E274</f>
        <v>5</v>
      </c>
      <c r="F275" s="90">
        <f aca="true" t="shared" si="123" ref="F275:W275">E275+F274</f>
        <v>10.14</v>
      </c>
      <c r="G275" s="90">
        <f t="shared" si="123"/>
        <v>10.14</v>
      </c>
      <c r="H275" s="90">
        <f t="shared" si="123"/>
        <v>10.14</v>
      </c>
      <c r="I275" s="90">
        <f t="shared" si="123"/>
        <v>10.14</v>
      </c>
      <c r="J275" s="90">
        <f t="shared" si="123"/>
        <v>10.14</v>
      </c>
      <c r="K275" s="90">
        <f t="shared" si="123"/>
        <v>10.14</v>
      </c>
      <c r="L275" s="90">
        <f t="shared" si="123"/>
        <v>10.14</v>
      </c>
      <c r="M275" s="90">
        <f t="shared" si="123"/>
        <v>10.14</v>
      </c>
      <c r="N275" s="90">
        <f t="shared" si="123"/>
        <v>10.14</v>
      </c>
      <c r="O275" s="90">
        <f t="shared" si="123"/>
        <v>10.14</v>
      </c>
      <c r="P275" s="90">
        <f t="shared" si="123"/>
        <v>20.14</v>
      </c>
      <c r="Q275" s="90">
        <f t="shared" si="123"/>
        <v>20.14</v>
      </c>
      <c r="R275" s="90">
        <f t="shared" si="123"/>
        <v>20.14</v>
      </c>
      <c r="S275" s="90">
        <f t="shared" si="123"/>
        <v>20.14</v>
      </c>
      <c r="T275" s="90">
        <f t="shared" si="123"/>
        <v>20.14</v>
      </c>
      <c r="U275" s="90">
        <f t="shared" si="123"/>
        <v>20.14</v>
      </c>
      <c r="V275" s="90">
        <f t="shared" si="123"/>
        <v>20.14</v>
      </c>
      <c r="W275" s="90">
        <f t="shared" si="123"/>
        <v>20.14</v>
      </c>
    </row>
    <row r="276" spans="1:23" ht="12.75">
      <c r="A276" s="395" t="s">
        <v>64</v>
      </c>
      <c r="B276" s="395"/>
      <c r="C276" s="395"/>
      <c r="D276" s="395"/>
      <c r="E276" s="395"/>
      <c r="F276" s="395"/>
      <c r="G276" s="395"/>
      <c r="H276" s="395"/>
      <c r="I276" s="395"/>
      <c r="J276" s="395"/>
      <c r="K276" s="395"/>
      <c r="L276" s="395"/>
      <c r="M276" s="395"/>
      <c r="N276" s="395"/>
      <c r="O276" s="395"/>
      <c r="P276" s="395"/>
      <c r="Q276" s="395"/>
      <c r="R276" s="395"/>
      <c r="S276" s="395"/>
      <c r="T276" s="395"/>
      <c r="U276" s="395"/>
      <c r="V276" s="395"/>
      <c r="W276" s="395"/>
    </row>
    <row r="277" spans="1:23" ht="12.75">
      <c r="A277" s="100" t="s">
        <v>313</v>
      </c>
      <c r="B277" s="12" t="s">
        <v>55</v>
      </c>
      <c r="C277" s="12"/>
      <c r="D277" s="56">
        <v>0.5</v>
      </c>
      <c r="E277" s="56">
        <f>D277</f>
        <v>0.5</v>
      </c>
      <c r="F277" s="56">
        <f>E277</f>
        <v>0.5</v>
      </c>
      <c r="G277" s="56">
        <f>F277</f>
        <v>0.5</v>
      </c>
      <c r="H277" s="56">
        <f>G277</f>
        <v>0.5</v>
      </c>
      <c r="I277" s="56">
        <f>H277</f>
        <v>0.5</v>
      </c>
      <c r="J277" s="56">
        <f aca="true" t="shared" si="124" ref="J277:W277">I277</f>
        <v>0.5</v>
      </c>
      <c r="K277" s="56">
        <f t="shared" si="124"/>
        <v>0.5</v>
      </c>
      <c r="L277" s="56">
        <f t="shared" si="124"/>
        <v>0.5</v>
      </c>
      <c r="M277" s="56">
        <f t="shared" si="124"/>
        <v>0.5</v>
      </c>
      <c r="N277" s="56">
        <f t="shared" si="124"/>
        <v>0.5</v>
      </c>
      <c r="O277" s="56">
        <f t="shared" si="124"/>
        <v>0.5</v>
      </c>
      <c r="P277" s="56">
        <f t="shared" si="124"/>
        <v>0.5</v>
      </c>
      <c r="Q277" s="56">
        <f t="shared" si="124"/>
        <v>0.5</v>
      </c>
      <c r="R277" s="56">
        <f t="shared" si="124"/>
        <v>0.5</v>
      </c>
      <c r="S277" s="56">
        <f t="shared" si="124"/>
        <v>0.5</v>
      </c>
      <c r="T277" s="56">
        <f t="shared" si="124"/>
        <v>0.5</v>
      </c>
      <c r="U277" s="56">
        <f t="shared" si="124"/>
        <v>0.5</v>
      </c>
      <c r="V277" s="56">
        <f t="shared" si="124"/>
        <v>0.5</v>
      </c>
      <c r="W277" s="56">
        <f t="shared" si="124"/>
        <v>0.5</v>
      </c>
    </row>
    <row r="278" spans="1:23" ht="12.75">
      <c r="A278" s="57" t="s">
        <v>56</v>
      </c>
      <c r="B278" s="12" t="s">
        <v>55</v>
      </c>
      <c r="C278" s="12"/>
      <c r="D278" s="56">
        <f aca="true" t="shared" si="125" ref="D278:W278">1-D277</f>
        <v>0.5</v>
      </c>
      <c r="E278" s="56">
        <f t="shared" si="125"/>
        <v>0.5</v>
      </c>
      <c r="F278" s="56">
        <f t="shared" si="125"/>
        <v>0.5</v>
      </c>
      <c r="G278" s="56">
        <f t="shared" si="125"/>
        <v>0.5</v>
      </c>
      <c r="H278" s="56">
        <f t="shared" si="125"/>
        <v>0.5</v>
      </c>
      <c r="I278" s="56">
        <f t="shared" si="125"/>
        <v>0.5</v>
      </c>
      <c r="J278" s="56">
        <f t="shared" si="125"/>
        <v>0.5</v>
      </c>
      <c r="K278" s="56">
        <f t="shared" si="125"/>
        <v>0.5</v>
      </c>
      <c r="L278" s="56">
        <f t="shared" si="125"/>
        <v>0.5</v>
      </c>
      <c r="M278" s="56">
        <f t="shared" si="125"/>
        <v>0.5</v>
      </c>
      <c r="N278" s="56">
        <f t="shared" si="125"/>
        <v>0.5</v>
      </c>
      <c r="O278" s="56">
        <f t="shared" si="125"/>
        <v>0.5</v>
      </c>
      <c r="P278" s="56">
        <f t="shared" si="125"/>
        <v>0.5</v>
      </c>
      <c r="Q278" s="56">
        <f t="shared" si="125"/>
        <v>0.5</v>
      </c>
      <c r="R278" s="56">
        <f t="shared" si="125"/>
        <v>0.5</v>
      </c>
      <c r="S278" s="56">
        <f t="shared" si="125"/>
        <v>0.5</v>
      </c>
      <c r="T278" s="56">
        <f t="shared" si="125"/>
        <v>0.5</v>
      </c>
      <c r="U278" s="56">
        <f t="shared" si="125"/>
        <v>0.5</v>
      </c>
      <c r="V278" s="56">
        <f t="shared" si="125"/>
        <v>0.5</v>
      </c>
      <c r="W278" s="56">
        <f t="shared" si="125"/>
        <v>0.5</v>
      </c>
    </row>
    <row r="279" spans="1:23" ht="12.75">
      <c r="A279" s="54" t="s">
        <v>60</v>
      </c>
      <c r="B279" s="12" t="s">
        <v>61</v>
      </c>
      <c r="C279" s="12"/>
      <c r="D279" s="56">
        <f aca="true" t="shared" si="126" ref="D279:W279">D277*$D$153+D278*$D$154</f>
        <v>0.09</v>
      </c>
      <c r="E279" s="56">
        <f t="shared" si="126"/>
        <v>0.09</v>
      </c>
      <c r="F279" s="56">
        <f t="shared" si="126"/>
        <v>0.09</v>
      </c>
      <c r="G279" s="56">
        <f t="shared" si="126"/>
        <v>0.09</v>
      </c>
      <c r="H279" s="56">
        <f t="shared" si="126"/>
        <v>0.09</v>
      </c>
      <c r="I279" s="56">
        <f t="shared" si="126"/>
        <v>0.09</v>
      </c>
      <c r="J279" s="56">
        <f t="shared" si="126"/>
        <v>0.09</v>
      </c>
      <c r="K279" s="56">
        <f t="shared" si="126"/>
        <v>0.09</v>
      </c>
      <c r="L279" s="56">
        <f t="shared" si="126"/>
        <v>0.09</v>
      </c>
      <c r="M279" s="56">
        <f t="shared" si="126"/>
        <v>0.09</v>
      </c>
      <c r="N279" s="56">
        <f t="shared" si="126"/>
        <v>0.09</v>
      </c>
      <c r="O279" s="56">
        <f t="shared" si="126"/>
        <v>0.09</v>
      </c>
      <c r="P279" s="56">
        <f t="shared" si="126"/>
        <v>0.09</v>
      </c>
      <c r="Q279" s="56">
        <f t="shared" si="126"/>
        <v>0.09</v>
      </c>
      <c r="R279" s="56">
        <f t="shared" si="126"/>
        <v>0.09</v>
      </c>
      <c r="S279" s="56">
        <f t="shared" si="126"/>
        <v>0.09</v>
      </c>
      <c r="T279" s="56">
        <f t="shared" si="126"/>
        <v>0.09</v>
      </c>
      <c r="U279" s="56">
        <f t="shared" si="126"/>
        <v>0.09</v>
      </c>
      <c r="V279" s="56">
        <f t="shared" si="126"/>
        <v>0.09</v>
      </c>
      <c r="W279" s="56">
        <f t="shared" si="126"/>
        <v>0.09</v>
      </c>
    </row>
    <row r="280" spans="1:23" ht="13.5" customHeight="1">
      <c r="A280" s="54" t="s">
        <v>86</v>
      </c>
      <c r="B280" s="12" t="s">
        <v>40</v>
      </c>
      <c r="C280" s="12"/>
      <c r="D280" s="28">
        <v>0</v>
      </c>
      <c r="E280" s="28">
        <v>0</v>
      </c>
      <c r="F280" s="28">
        <f aca="true" t="shared" si="127" ref="F280:W280">E275*0.03</f>
        <v>0.15</v>
      </c>
      <c r="G280" s="28">
        <f t="shared" si="127"/>
        <v>0.3042</v>
      </c>
      <c r="H280" s="28">
        <f t="shared" si="127"/>
        <v>0.3042</v>
      </c>
      <c r="I280" s="28">
        <f t="shared" si="127"/>
        <v>0.3042</v>
      </c>
      <c r="J280" s="28">
        <f t="shared" si="127"/>
        <v>0.3042</v>
      </c>
      <c r="K280" s="28">
        <f t="shared" si="127"/>
        <v>0.3042</v>
      </c>
      <c r="L280" s="28">
        <f t="shared" si="127"/>
        <v>0.3042</v>
      </c>
      <c r="M280" s="28">
        <f t="shared" si="127"/>
        <v>0.3042</v>
      </c>
      <c r="N280" s="28">
        <f t="shared" si="127"/>
        <v>0.3042</v>
      </c>
      <c r="O280" s="28">
        <f t="shared" si="127"/>
        <v>0.3042</v>
      </c>
      <c r="P280" s="28">
        <f t="shared" si="127"/>
        <v>0.3042</v>
      </c>
      <c r="Q280" s="28">
        <f t="shared" si="127"/>
        <v>0.6042</v>
      </c>
      <c r="R280" s="28">
        <f t="shared" si="127"/>
        <v>0.6042</v>
      </c>
      <c r="S280" s="28">
        <f t="shared" si="127"/>
        <v>0.6042</v>
      </c>
      <c r="T280" s="28">
        <f t="shared" si="127"/>
        <v>0.6042</v>
      </c>
      <c r="U280" s="28">
        <f t="shared" si="127"/>
        <v>0.6042</v>
      </c>
      <c r="V280" s="28">
        <f t="shared" si="127"/>
        <v>0.6042</v>
      </c>
      <c r="W280" s="28">
        <f t="shared" si="127"/>
        <v>0.6042</v>
      </c>
    </row>
    <row r="281" spans="1:23" s="164" customFormat="1" ht="12.75">
      <c r="A281" s="97" t="s">
        <v>238</v>
      </c>
      <c r="B281" s="163" t="s">
        <v>40</v>
      </c>
      <c r="C281" s="163"/>
      <c r="D281" s="163"/>
      <c r="E281" s="160"/>
      <c r="F281" s="160">
        <f aca="true" t="shared" si="128" ref="F281:W281">(F275*(1-$J$154)/$J153)</f>
        <v>0.38532000000000005</v>
      </c>
      <c r="G281" s="160">
        <f t="shared" si="128"/>
        <v>0.38532000000000005</v>
      </c>
      <c r="H281" s="160">
        <f t="shared" si="128"/>
        <v>0.38532000000000005</v>
      </c>
      <c r="I281" s="160">
        <f t="shared" si="128"/>
        <v>0.38532000000000005</v>
      </c>
      <c r="J281" s="160">
        <f t="shared" si="128"/>
        <v>0.38532000000000005</v>
      </c>
      <c r="K281" s="160">
        <f t="shared" si="128"/>
        <v>0.38532000000000005</v>
      </c>
      <c r="L281" s="160">
        <f t="shared" si="128"/>
        <v>0.38532000000000005</v>
      </c>
      <c r="M281" s="160">
        <f t="shared" si="128"/>
        <v>0.38532000000000005</v>
      </c>
      <c r="N281" s="160">
        <f t="shared" si="128"/>
        <v>0.38532000000000005</v>
      </c>
      <c r="O281" s="160">
        <f t="shared" si="128"/>
        <v>0.38532000000000005</v>
      </c>
      <c r="P281" s="160">
        <f t="shared" si="128"/>
        <v>0.76532</v>
      </c>
      <c r="Q281" s="160">
        <f t="shared" si="128"/>
        <v>0.76532</v>
      </c>
      <c r="R281" s="160">
        <f t="shared" si="128"/>
        <v>0.76532</v>
      </c>
      <c r="S281" s="160">
        <f t="shared" si="128"/>
        <v>0.76532</v>
      </c>
      <c r="T281" s="160">
        <f t="shared" si="128"/>
        <v>0.76532</v>
      </c>
      <c r="U281" s="160">
        <f t="shared" si="128"/>
        <v>0.76532</v>
      </c>
      <c r="V281" s="160">
        <f t="shared" si="128"/>
        <v>0.76532</v>
      </c>
      <c r="W281" s="160">
        <f t="shared" si="128"/>
        <v>0.76532</v>
      </c>
    </row>
    <row r="282" spans="1:23" s="164" customFormat="1" ht="12.75">
      <c r="A282" s="97" t="s">
        <v>233</v>
      </c>
      <c r="B282" s="163" t="s">
        <v>40</v>
      </c>
      <c r="C282" s="163"/>
      <c r="D282" s="163"/>
      <c r="E282" s="160">
        <f aca="true" t="shared" si="129" ref="E282:W282">D283*$D156</f>
        <v>0</v>
      </c>
      <c r="F282" s="160">
        <f t="shared" si="129"/>
        <v>0</v>
      </c>
      <c r="G282" s="160">
        <f t="shared" si="129"/>
        <v>0.023119200000000003</v>
      </c>
      <c r="H282" s="160">
        <f t="shared" si="129"/>
        <v>0.047625552</v>
      </c>
      <c r="I282" s="160">
        <f t="shared" si="129"/>
        <v>0.07360228512</v>
      </c>
      <c r="J282" s="160">
        <f t="shared" si="129"/>
        <v>0.1011376222272</v>
      </c>
      <c r="K282" s="160">
        <f t="shared" si="129"/>
        <v>0.130325079560832</v>
      </c>
      <c r="L282" s="160">
        <f t="shared" si="129"/>
        <v>0.16126378433448194</v>
      </c>
      <c r="M282" s="160">
        <f t="shared" si="129"/>
        <v>0.19405881139455086</v>
      </c>
      <c r="N282" s="160">
        <f t="shared" si="129"/>
        <v>0.22882154007822392</v>
      </c>
      <c r="O282" s="160">
        <f t="shared" si="129"/>
        <v>0.2656700324829173</v>
      </c>
      <c r="P282" s="160">
        <f t="shared" si="129"/>
        <v>0.3047294344318924</v>
      </c>
      <c r="Q282" s="160">
        <f t="shared" si="129"/>
        <v>-0.23106759950219408</v>
      </c>
      <c r="R282" s="160">
        <f t="shared" si="129"/>
        <v>-0.19901245547232574</v>
      </c>
      <c r="S282" s="160">
        <f t="shared" si="129"/>
        <v>-0.16503400280066527</v>
      </c>
      <c r="T282" s="160">
        <f t="shared" si="129"/>
        <v>-0.1290168429687052</v>
      </c>
      <c r="U282" s="160">
        <f t="shared" si="129"/>
        <v>-0.0908386535468275</v>
      </c>
      <c r="V282" s="160">
        <f t="shared" si="129"/>
        <v>-0.05036977275963716</v>
      </c>
      <c r="W282" s="160">
        <f t="shared" si="129"/>
        <v>-0.007472759125215391</v>
      </c>
    </row>
    <row r="283" spans="1:23" s="166" customFormat="1" ht="25.5">
      <c r="A283" s="115" t="s">
        <v>237</v>
      </c>
      <c r="B283" s="165" t="s">
        <v>40</v>
      </c>
      <c r="C283" s="165"/>
      <c r="D283" s="165"/>
      <c r="E283" s="161">
        <f>D283+E281+E282</f>
        <v>0</v>
      </c>
      <c r="F283" s="161">
        <f aca="true" t="shared" si="130" ref="F283:W283">E283+F281+F282</f>
        <v>0.38532000000000005</v>
      </c>
      <c r="G283" s="161">
        <f t="shared" si="130"/>
        <v>0.7937592000000001</v>
      </c>
      <c r="H283" s="161">
        <f t="shared" si="130"/>
        <v>1.226704752</v>
      </c>
      <c r="I283" s="161">
        <f t="shared" si="130"/>
        <v>1.6856270371200002</v>
      </c>
      <c r="J283" s="161">
        <f t="shared" si="130"/>
        <v>2.1720846593472003</v>
      </c>
      <c r="K283" s="161">
        <f t="shared" si="130"/>
        <v>2.6877297389080326</v>
      </c>
      <c r="L283" s="161">
        <f t="shared" si="130"/>
        <v>3.2343135232425144</v>
      </c>
      <c r="M283" s="161">
        <f t="shared" si="130"/>
        <v>3.8136923346370653</v>
      </c>
      <c r="N283" s="161">
        <f t="shared" si="130"/>
        <v>4.427833874715289</v>
      </c>
      <c r="O283" s="161">
        <f t="shared" si="130"/>
        <v>5.078823907198206</v>
      </c>
      <c r="P283" s="161">
        <f>O283+P281+P282-P274</f>
        <v>-3.8511266583699015</v>
      </c>
      <c r="Q283" s="161">
        <f t="shared" si="130"/>
        <v>-3.3168742578720956</v>
      </c>
      <c r="R283" s="161">
        <f t="shared" si="130"/>
        <v>-2.7505667133444214</v>
      </c>
      <c r="S283" s="161">
        <f t="shared" si="130"/>
        <v>-2.1502807161450868</v>
      </c>
      <c r="T283" s="161">
        <f t="shared" si="130"/>
        <v>-1.5139775591137918</v>
      </c>
      <c r="U283" s="161">
        <f t="shared" si="130"/>
        <v>-0.8394962126606194</v>
      </c>
      <c r="V283" s="161">
        <f t="shared" si="130"/>
        <v>-0.12454598542025652</v>
      </c>
      <c r="W283" s="161">
        <f t="shared" si="130"/>
        <v>0.6333012554545281</v>
      </c>
    </row>
    <row r="284" spans="1:23" s="116" customFormat="1" ht="25.5">
      <c r="A284" s="117" t="s">
        <v>199</v>
      </c>
      <c r="B284" s="103" t="s">
        <v>40</v>
      </c>
      <c r="C284" s="103"/>
      <c r="D284" s="103">
        <v>0</v>
      </c>
      <c r="E284" s="103"/>
      <c r="F284" s="103">
        <f aca="true" t="shared" si="131" ref="F284:W284">E275*0.05</f>
        <v>0.25</v>
      </c>
      <c r="G284" s="103">
        <f t="shared" si="131"/>
        <v>0.507</v>
      </c>
      <c r="H284" s="103">
        <f t="shared" si="131"/>
        <v>0.507</v>
      </c>
      <c r="I284" s="103">
        <f t="shared" si="131"/>
        <v>0.507</v>
      </c>
      <c r="J284" s="103">
        <f t="shared" si="131"/>
        <v>0.507</v>
      </c>
      <c r="K284" s="103">
        <f t="shared" si="131"/>
        <v>0.507</v>
      </c>
      <c r="L284" s="103">
        <f t="shared" si="131"/>
        <v>0.507</v>
      </c>
      <c r="M284" s="103">
        <f t="shared" si="131"/>
        <v>0.507</v>
      </c>
      <c r="N284" s="103">
        <f t="shared" si="131"/>
        <v>0.507</v>
      </c>
      <c r="O284" s="103">
        <f t="shared" si="131"/>
        <v>0.507</v>
      </c>
      <c r="P284" s="103">
        <f t="shared" si="131"/>
        <v>0.507</v>
      </c>
      <c r="Q284" s="103">
        <f t="shared" si="131"/>
        <v>1.0070000000000001</v>
      </c>
      <c r="R284" s="103">
        <f t="shared" si="131"/>
        <v>1.0070000000000001</v>
      </c>
      <c r="S284" s="103">
        <f t="shared" si="131"/>
        <v>1.0070000000000001</v>
      </c>
      <c r="T284" s="103">
        <f t="shared" si="131"/>
        <v>1.0070000000000001</v>
      </c>
      <c r="U284" s="103">
        <f t="shared" si="131"/>
        <v>1.0070000000000001</v>
      </c>
      <c r="V284" s="103">
        <f t="shared" si="131"/>
        <v>1.0070000000000001</v>
      </c>
      <c r="W284" s="103">
        <f t="shared" si="131"/>
        <v>1.0070000000000001</v>
      </c>
    </row>
    <row r="285" spans="1:23" s="113" customFormat="1" ht="12.75">
      <c r="A285" s="114" t="s">
        <v>90</v>
      </c>
      <c r="B285" s="28" t="s">
        <v>91</v>
      </c>
      <c r="C285" s="28"/>
      <c r="D285" s="28"/>
      <c r="E285" s="28"/>
      <c r="F285" s="28">
        <f>41400*2/1000</f>
        <v>82.8</v>
      </c>
      <c r="G285" s="28">
        <f>43.47*2</f>
        <v>86.94</v>
      </c>
      <c r="H285" s="28">
        <f>45.644*2</f>
        <v>91.288</v>
      </c>
      <c r="I285" s="28">
        <f>47.926*2</f>
        <v>95.852</v>
      </c>
      <c r="J285" s="28">
        <f>50.322*2</f>
        <v>100.644</v>
      </c>
      <c r="K285" s="28">
        <f>52.838*2</f>
        <v>105.676</v>
      </c>
      <c r="L285" s="28">
        <f>55.48*2</f>
        <v>110.96</v>
      </c>
      <c r="M285" s="28">
        <f>58.254*2</f>
        <v>116.508</v>
      </c>
      <c r="N285" s="28">
        <f>61.167*2</f>
        <v>122.334</v>
      </c>
      <c r="O285" s="28">
        <f>64.225*2</f>
        <v>128.45</v>
      </c>
      <c r="P285" s="28">
        <f>67.436*2</f>
        <v>134.872</v>
      </c>
      <c r="Q285" s="28">
        <f>70.808*2</f>
        <v>141.616</v>
      </c>
      <c r="R285" s="28">
        <f>74.348*2</f>
        <v>148.696</v>
      </c>
      <c r="S285" s="28">
        <f>78.066*2</f>
        <v>156.132</v>
      </c>
      <c r="T285" s="28">
        <f>81.969*2</f>
        <v>163.938</v>
      </c>
      <c r="U285" s="28">
        <f>86.068*2</f>
        <v>172.136</v>
      </c>
      <c r="V285" s="28">
        <f>90.371*2</f>
        <v>180.742</v>
      </c>
      <c r="W285" s="28">
        <f>94.89*2</f>
        <v>189.78</v>
      </c>
    </row>
    <row r="286" spans="1:23" s="113" customFormat="1" ht="12.75">
      <c r="A286" s="114" t="s">
        <v>92</v>
      </c>
      <c r="B286" s="28">
        <v>0.55</v>
      </c>
      <c r="C286" s="394"/>
      <c r="D286" s="394"/>
      <c r="E286" s="394"/>
      <c r="F286" s="394"/>
      <c r="G286" s="394"/>
      <c r="H286" s="394"/>
      <c r="I286" s="394"/>
      <c r="J286" s="394"/>
      <c r="K286" s="394"/>
      <c r="L286" s="394"/>
      <c r="M286" s="394"/>
      <c r="N286" s="394"/>
      <c r="O286" s="394"/>
      <c r="P286" s="394"/>
      <c r="Q286" s="394"/>
      <c r="R286" s="394"/>
      <c r="S286" s="394"/>
      <c r="T286" s="394"/>
      <c r="U286" s="394"/>
      <c r="V286" s="394"/>
      <c r="W286" s="394"/>
    </row>
    <row r="287" spans="1:23" s="113" customFormat="1" ht="12.75">
      <c r="A287" s="114" t="s">
        <v>93</v>
      </c>
      <c r="B287" s="28">
        <v>40</v>
      </c>
      <c r="C287" s="394"/>
      <c r="D287" s="394"/>
      <c r="E287" s="394"/>
      <c r="F287" s="394"/>
      <c r="G287" s="394"/>
      <c r="H287" s="394"/>
      <c r="I287" s="394"/>
      <c r="J287" s="394"/>
      <c r="K287" s="394"/>
      <c r="L287" s="394"/>
      <c r="M287" s="394"/>
      <c r="N287" s="394"/>
      <c r="O287" s="394"/>
      <c r="P287" s="394"/>
      <c r="Q287" s="394"/>
      <c r="R287" s="394"/>
      <c r="S287" s="394"/>
      <c r="T287" s="394"/>
      <c r="U287" s="394"/>
      <c r="V287" s="394"/>
      <c r="W287" s="394"/>
    </row>
    <row r="288" spans="1:23" s="113" customFormat="1" ht="12.75">
      <c r="A288" s="114" t="s">
        <v>94</v>
      </c>
      <c r="B288" s="28">
        <v>20</v>
      </c>
      <c r="C288" s="394"/>
      <c r="D288" s="394"/>
      <c r="E288" s="394"/>
      <c r="F288" s="394"/>
      <c r="G288" s="394"/>
      <c r="H288" s="394"/>
      <c r="I288" s="394"/>
      <c r="J288" s="394"/>
      <c r="K288" s="394"/>
      <c r="L288" s="394"/>
      <c r="M288" s="394"/>
      <c r="N288" s="394"/>
      <c r="O288" s="394"/>
      <c r="P288" s="394"/>
      <c r="Q288" s="394"/>
      <c r="R288" s="394"/>
      <c r="S288" s="394"/>
      <c r="T288" s="394"/>
      <c r="U288" s="394"/>
      <c r="V288" s="394"/>
      <c r="W288" s="394"/>
    </row>
    <row r="289" spans="1:23" s="113" customFormat="1" ht="12.75">
      <c r="A289" s="114" t="s">
        <v>74</v>
      </c>
      <c r="B289" s="28" t="s">
        <v>40</v>
      </c>
      <c r="C289" s="28"/>
      <c r="D289" s="28"/>
      <c r="E289" s="28">
        <f>E284+(E285*$B286*$B287+E285*(1-$B286)*$B288)/1000+E282</f>
        <v>0</v>
      </c>
      <c r="F289" s="28">
        <f aca="true" t="shared" si="132" ref="F289:W289">F284+(F285*$B286*$B287+F285*(1-$B286)*$B288)/1000+F282</f>
        <v>2.8167999999999997</v>
      </c>
      <c r="G289" s="28">
        <f t="shared" si="132"/>
        <v>3.2252592</v>
      </c>
      <c r="H289" s="28">
        <f t="shared" si="132"/>
        <v>3.384553552</v>
      </c>
      <c r="I289" s="28">
        <f t="shared" si="132"/>
        <v>3.5520142851200003</v>
      </c>
      <c r="J289" s="28">
        <f t="shared" si="132"/>
        <v>3.7281016222272</v>
      </c>
      <c r="K289" s="28">
        <f t="shared" si="132"/>
        <v>3.9132810795608326</v>
      </c>
      <c r="L289" s="28">
        <f t="shared" si="132"/>
        <v>4.108023784334482</v>
      </c>
      <c r="M289" s="28">
        <f t="shared" si="132"/>
        <v>4.312806811394551</v>
      </c>
      <c r="N289" s="28">
        <f t="shared" si="132"/>
        <v>4.528175540078224</v>
      </c>
      <c r="O289" s="28">
        <f t="shared" si="132"/>
        <v>4.754620032482917</v>
      </c>
      <c r="P289" s="28">
        <f t="shared" si="132"/>
        <v>4.992761434431892</v>
      </c>
      <c r="Q289" s="28">
        <f t="shared" si="132"/>
        <v>5.166028400497807</v>
      </c>
      <c r="R289" s="28">
        <f t="shared" si="132"/>
        <v>5.417563544527675</v>
      </c>
      <c r="S289" s="28">
        <f t="shared" si="132"/>
        <v>5.682057997199335</v>
      </c>
      <c r="T289" s="28">
        <f t="shared" si="132"/>
        <v>5.960061157031293</v>
      </c>
      <c r="U289" s="28">
        <f t="shared" si="132"/>
        <v>6.252377346453173</v>
      </c>
      <c r="V289" s="28">
        <f t="shared" si="132"/>
        <v>6.559632227240362</v>
      </c>
      <c r="W289" s="28">
        <f t="shared" si="132"/>
        <v>6.882707240874786</v>
      </c>
    </row>
    <row r="290" spans="1:23" s="113" customFormat="1" ht="12.75">
      <c r="A290" s="112" t="s">
        <v>75</v>
      </c>
      <c r="B290" s="28" t="s">
        <v>40</v>
      </c>
      <c r="C290" s="28"/>
      <c r="D290" s="28"/>
      <c r="E290" s="28">
        <f aca="true" t="shared" si="133" ref="E290:W290">D275*(1-$J154)/$J153</f>
        <v>0.038</v>
      </c>
      <c r="F290" s="28">
        <f t="shared" si="133"/>
        <v>0.19</v>
      </c>
      <c r="G290" s="28">
        <f t="shared" si="133"/>
        <v>0.38532000000000005</v>
      </c>
      <c r="H290" s="28">
        <f t="shared" si="133"/>
        <v>0.38532000000000005</v>
      </c>
      <c r="I290" s="28">
        <f t="shared" si="133"/>
        <v>0.38532000000000005</v>
      </c>
      <c r="J290" s="28">
        <f t="shared" si="133"/>
        <v>0.38532000000000005</v>
      </c>
      <c r="K290" s="28">
        <f t="shared" si="133"/>
        <v>0.38532000000000005</v>
      </c>
      <c r="L290" s="28">
        <f t="shared" si="133"/>
        <v>0.38532000000000005</v>
      </c>
      <c r="M290" s="28">
        <f t="shared" si="133"/>
        <v>0.38532000000000005</v>
      </c>
      <c r="N290" s="28">
        <f t="shared" si="133"/>
        <v>0.38532000000000005</v>
      </c>
      <c r="O290" s="28">
        <f t="shared" si="133"/>
        <v>0.38532000000000005</v>
      </c>
      <c r="P290" s="28">
        <f t="shared" si="133"/>
        <v>0.38532000000000005</v>
      </c>
      <c r="Q290" s="28">
        <f t="shared" si="133"/>
        <v>0.76532</v>
      </c>
      <c r="R290" s="28">
        <f t="shared" si="133"/>
        <v>0.76532</v>
      </c>
      <c r="S290" s="28">
        <f t="shared" si="133"/>
        <v>0.76532</v>
      </c>
      <c r="T290" s="28">
        <f t="shared" si="133"/>
        <v>0.76532</v>
      </c>
      <c r="U290" s="28">
        <f t="shared" si="133"/>
        <v>0.76532</v>
      </c>
      <c r="V290" s="28">
        <f t="shared" si="133"/>
        <v>0.76532</v>
      </c>
      <c r="W290" s="28">
        <f t="shared" si="133"/>
        <v>0.76532</v>
      </c>
    </row>
    <row r="291" spans="1:23" s="113" customFormat="1" ht="12.75">
      <c r="A291" s="114" t="s">
        <v>239</v>
      </c>
      <c r="B291" s="28" t="s">
        <v>40</v>
      </c>
      <c r="C291" s="28"/>
      <c r="D291" s="28">
        <v>0</v>
      </c>
      <c r="E291" s="28">
        <f>E289*0.3</f>
        <v>0</v>
      </c>
      <c r="F291" s="28">
        <f>F289*0.3</f>
        <v>0.8450399999999999</v>
      </c>
      <c r="G291" s="28">
        <f aca="true" t="shared" si="134" ref="G291:W291">G289*0.3</f>
        <v>0.96757776</v>
      </c>
      <c r="H291" s="28">
        <f t="shared" si="134"/>
        <v>1.0153660655999999</v>
      </c>
      <c r="I291" s="28">
        <f t="shared" si="134"/>
        <v>1.065604285536</v>
      </c>
      <c r="J291" s="28">
        <f t="shared" si="134"/>
        <v>1.11843048666816</v>
      </c>
      <c r="K291" s="28">
        <f t="shared" si="134"/>
        <v>1.1739843238682497</v>
      </c>
      <c r="L291" s="28">
        <f t="shared" si="134"/>
        <v>1.2324071353003445</v>
      </c>
      <c r="M291" s="28">
        <f t="shared" si="134"/>
        <v>1.2938420434183653</v>
      </c>
      <c r="N291" s="28">
        <f t="shared" si="134"/>
        <v>1.3584526620234672</v>
      </c>
      <c r="O291" s="28">
        <f t="shared" si="134"/>
        <v>1.426386009744875</v>
      </c>
      <c r="P291" s="28">
        <f t="shared" si="134"/>
        <v>1.4978284303295675</v>
      </c>
      <c r="Q291" s="28">
        <f t="shared" si="134"/>
        <v>1.5498085201493421</v>
      </c>
      <c r="R291" s="28">
        <f t="shared" si="134"/>
        <v>1.6252690633583025</v>
      </c>
      <c r="S291" s="28">
        <f t="shared" si="134"/>
        <v>1.7046173991598004</v>
      </c>
      <c r="T291" s="28">
        <f t="shared" si="134"/>
        <v>1.788018347109388</v>
      </c>
      <c r="U291" s="28">
        <f t="shared" si="134"/>
        <v>1.8757132039359519</v>
      </c>
      <c r="V291" s="28">
        <f t="shared" si="134"/>
        <v>1.9678896681721085</v>
      </c>
      <c r="W291" s="28">
        <f t="shared" si="134"/>
        <v>2.0648121722624357</v>
      </c>
    </row>
    <row r="292" spans="1:23" s="113" customFormat="1" ht="12.75">
      <c r="A292" s="112" t="s">
        <v>77</v>
      </c>
      <c r="B292" s="28" t="s">
        <v>40</v>
      </c>
      <c r="C292" s="28"/>
      <c r="D292" s="28">
        <v>0</v>
      </c>
      <c r="E292" s="28">
        <f aca="true" t="shared" si="135" ref="E292:W292">E280+E284+E290+E291</f>
        <v>0.038</v>
      </c>
      <c r="F292" s="28">
        <f t="shared" si="135"/>
        <v>1.4350399999999999</v>
      </c>
      <c r="G292" s="28">
        <f t="shared" si="135"/>
        <v>2.1640977599999998</v>
      </c>
      <c r="H292" s="28">
        <f t="shared" si="135"/>
        <v>2.2118860656</v>
      </c>
      <c r="I292" s="28">
        <f t="shared" si="135"/>
        <v>2.262124285536</v>
      </c>
      <c r="J292" s="28">
        <f t="shared" si="135"/>
        <v>2.31495048666816</v>
      </c>
      <c r="K292" s="28">
        <f t="shared" si="135"/>
        <v>2.37050432386825</v>
      </c>
      <c r="L292" s="28">
        <f t="shared" si="135"/>
        <v>2.4289271353003445</v>
      </c>
      <c r="M292" s="28">
        <f t="shared" si="135"/>
        <v>2.490362043418365</v>
      </c>
      <c r="N292" s="28">
        <f t="shared" si="135"/>
        <v>2.5549726620234674</v>
      </c>
      <c r="O292" s="28">
        <f t="shared" si="135"/>
        <v>2.622906009744875</v>
      </c>
      <c r="P292" s="28">
        <f t="shared" si="135"/>
        <v>2.6943484303295673</v>
      </c>
      <c r="Q292" s="28">
        <f t="shared" si="135"/>
        <v>3.926328520149342</v>
      </c>
      <c r="R292" s="28">
        <f t="shared" si="135"/>
        <v>4.001789063358302</v>
      </c>
      <c r="S292" s="28">
        <f t="shared" si="135"/>
        <v>4.0811373991598</v>
      </c>
      <c r="T292" s="28">
        <f t="shared" si="135"/>
        <v>4.164538347109389</v>
      </c>
      <c r="U292" s="28">
        <f t="shared" si="135"/>
        <v>4.252233203935952</v>
      </c>
      <c r="V292" s="28">
        <f t="shared" si="135"/>
        <v>4.3444096681721085</v>
      </c>
      <c r="W292" s="28">
        <f t="shared" si="135"/>
        <v>4.441332172262436</v>
      </c>
    </row>
    <row r="293" spans="1:23" s="113" customFormat="1" ht="12.75">
      <c r="A293" s="112" t="s">
        <v>78</v>
      </c>
      <c r="B293" s="28" t="s">
        <v>40</v>
      </c>
      <c r="C293" s="28"/>
      <c r="D293" s="28"/>
      <c r="E293" s="28">
        <f aca="true" t="shared" si="136" ref="E293:W293">E289-E292</f>
        <v>-0.038</v>
      </c>
      <c r="F293" s="28">
        <f t="shared" si="136"/>
        <v>1.3817599999999999</v>
      </c>
      <c r="G293" s="28">
        <f t="shared" si="136"/>
        <v>1.0611614400000002</v>
      </c>
      <c r="H293" s="28">
        <f t="shared" si="136"/>
        <v>1.1726674864</v>
      </c>
      <c r="I293" s="28">
        <f t="shared" si="136"/>
        <v>1.289889999584</v>
      </c>
      <c r="J293" s="28">
        <f t="shared" si="136"/>
        <v>1.41315113555904</v>
      </c>
      <c r="K293" s="28">
        <f t="shared" si="136"/>
        <v>1.5427767556925827</v>
      </c>
      <c r="L293" s="28">
        <f t="shared" si="136"/>
        <v>1.6790966490341375</v>
      </c>
      <c r="M293" s="28">
        <f t="shared" si="136"/>
        <v>1.8224447679761857</v>
      </c>
      <c r="N293" s="28">
        <f t="shared" si="136"/>
        <v>1.9732028780547566</v>
      </c>
      <c r="O293" s="28">
        <f t="shared" si="136"/>
        <v>2.131714022738042</v>
      </c>
      <c r="P293" s="28">
        <f t="shared" si="136"/>
        <v>2.2984130041023247</v>
      </c>
      <c r="Q293" s="28">
        <f t="shared" si="136"/>
        <v>1.2396998803484651</v>
      </c>
      <c r="R293" s="28">
        <f t="shared" si="136"/>
        <v>1.4157744811693727</v>
      </c>
      <c r="S293" s="28">
        <f t="shared" si="136"/>
        <v>1.6009205980395347</v>
      </c>
      <c r="T293" s="28">
        <f t="shared" si="136"/>
        <v>1.7955228099219047</v>
      </c>
      <c r="U293" s="28">
        <f t="shared" si="136"/>
        <v>2.000144142517221</v>
      </c>
      <c r="V293" s="28">
        <f t="shared" si="136"/>
        <v>2.2152225590682537</v>
      </c>
      <c r="W293" s="28">
        <f t="shared" si="136"/>
        <v>2.4413750686123494</v>
      </c>
    </row>
    <row r="294" spans="1:23" s="113" customFormat="1" ht="12.75">
      <c r="A294" s="112" t="s">
        <v>95</v>
      </c>
      <c r="B294" s="28" t="s">
        <v>40</v>
      </c>
      <c r="C294" s="111"/>
      <c r="D294" s="28">
        <f>D289-D280-D284-D291-D274</f>
        <v>-1</v>
      </c>
      <c r="E294" s="28">
        <f>E289-E280-E284-E291-E274</f>
        <v>-4</v>
      </c>
      <c r="F294" s="28">
        <f>F289-F280-F284-F291-F274</f>
        <v>-3.56824</v>
      </c>
      <c r="G294" s="28">
        <f aca="true" t="shared" si="137" ref="G294:W294">G289-G280-G284-G291-G274</f>
        <v>1.4464814400000001</v>
      </c>
      <c r="H294" s="28">
        <f t="shared" si="137"/>
        <v>1.5579874864</v>
      </c>
      <c r="I294" s="28">
        <f t="shared" si="137"/>
        <v>1.6752099995840004</v>
      </c>
      <c r="J294" s="28">
        <f t="shared" si="137"/>
        <v>1.7984711355590401</v>
      </c>
      <c r="K294" s="28">
        <f t="shared" si="137"/>
        <v>1.9280967556925825</v>
      </c>
      <c r="L294" s="28">
        <f t="shared" si="137"/>
        <v>2.0644166490341376</v>
      </c>
      <c r="M294" s="28">
        <f t="shared" si="137"/>
        <v>2.207764767976186</v>
      </c>
      <c r="N294" s="28">
        <f t="shared" si="137"/>
        <v>2.3585228780547567</v>
      </c>
      <c r="O294" s="28">
        <f t="shared" si="137"/>
        <v>2.517034022738042</v>
      </c>
      <c r="P294" s="28">
        <f t="shared" si="137"/>
        <v>-7.316266995897675</v>
      </c>
      <c r="Q294" s="28">
        <f t="shared" si="137"/>
        <v>2.005019880348465</v>
      </c>
      <c r="R294" s="28">
        <f t="shared" si="137"/>
        <v>2.1810944811693727</v>
      </c>
      <c r="S294" s="28">
        <f t="shared" si="137"/>
        <v>2.3662405980395347</v>
      </c>
      <c r="T294" s="28">
        <f t="shared" si="137"/>
        <v>2.560842809921906</v>
      </c>
      <c r="U294" s="28">
        <f t="shared" si="137"/>
        <v>2.765464142517221</v>
      </c>
      <c r="V294" s="28">
        <f t="shared" si="137"/>
        <v>2.9805425590682537</v>
      </c>
      <c r="W294" s="28">
        <f t="shared" si="137"/>
        <v>3.2066950686123508</v>
      </c>
    </row>
    <row r="295" spans="1:24" ht="12.75">
      <c r="A295" s="57" t="s">
        <v>97</v>
      </c>
      <c r="B295" s="12" t="s">
        <v>61</v>
      </c>
      <c r="C295" s="56">
        <f>IRR(D294:W294)</f>
        <v>0.14955867997780922</v>
      </c>
      <c r="D295" s="370"/>
      <c r="E295" s="370"/>
      <c r="F295" s="370"/>
      <c r="G295" s="370"/>
      <c r="H295" s="370"/>
      <c r="I295" s="370"/>
      <c r="J295" s="370"/>
      <c r="K295" s="370"/>
      <c r="L295" s="370"/>
      <c r="M295" s="370"/>
      <c r="N295" s="370"/>
      <c r="O295" s="370"/>
      <c r="P295" s="370"/>
      <c r="Q295" s="370"/>
      <c r="R295" s="370"/>
      <c r="S295" s="370"/>
      <c r="T295" s="370"/>
      <c r="U295" s="370"/>
      <c r="V295" s="370"/>
      <c r="W295" s="370"/>
      <c r="X295" s="53"/>
    </row>
    <row r="296" spans="1:24" ht="12.75">
      <c r="A296" s="55" t="s">
        <v>96</v>
      </c>
      <c r="B296" s="12" t="s">
        <v>40</v>
      </c>
      <c r="C296" s="58">
        <f>NPV(D279,D294:W294)</f>
        <v>3.3783876069215473</v>
      </c>
      <c r="D296" s="370"/>
      <c r="E296" s="370"/>
      <c r="F296" s="370"/>
      <c r="G296" s="370"/>
      <c r="H296" s="370"/>
      <c r="I296" s="370"/>
      <c r="J296" s="370"/>
      <c r="K296" s="370"/>
      <c r="L296" s="370"/>
      <c r="M296" s="370"/>
      <c r="N296" s="370"/>
      <c r="O296" s="370"/>
      <c r="P296" s="370"/>
      <c r="Q296" s="370"/>
      <c r="R296" s="370"/>
      <c r="S296" s="370"/>
      <c r="T296" s="370"/>
      <c r="U296" s="370"/>
      <c r="V296" s="370"/>
      <c r="W296" s="370"/>
      <c r="X296" s="53"/>
    </row>
    <row r="297" spans="1:24" ht="12.75">
      <c r="A297" s="404" t="s">
        <v>102</v>
      </c>
      <c r="B297" s="404"/>
      <c r="C297" s="404"/>
      <c r="D297" s="404"/>
      <c r="E297" s="404"/>
      <c r="F297" s="404"/>
      <c r="G297" s="404"/>
      <c r="H297" s="404"/>
      <c r="I297" s="404"/>
      <c r="J297" s="404"/>
      <c r="K297" s="404"/>
      <c r="L297" s="404"/>
      <c r="M297" s="404"/>
      <c r="N297" s="404"/>
      <c r="O297" s="404"/>
      <c r="P297" s="404"/>
      <c r="Q297" s="404"/>
      <c r="R297" s="404"/>
      <c r="S297" s="404"/>
      <c r="T297" s="404"/>
      <c r="U297" s="404"/>
      <c r="V297" s="404"/>
      <c r="W297" s="404"/>
      <c r="X297" s="53"/>
    </row>
    <row r="298" spans="1:24" ht="12.75">
      <c r="A298" s="369"/>
      <c r="B298" s="369"/>
      <c r="C298" s="369"/>
      <c r="D298" s="369"/>
      <c r="E298" s="369"/>
      <c r="F298" s="369"/>
      <c r="G298" s="369"/>
      <c r="H298" s="369"/>
      <c r="I298" s="369"/>
      <c r="J298" s="369"/>
      <c r="K298" s="369"/>
      <c r="L298" s="369"/>
      <c r="M298" s="369"/>
      <c r="N298" s="369"/>
      <c r="O298" s="369"/>
      <c r="P298" s="369"/>
      <c r="Q298" s="369"/>
      <c r="R298" s="369"/>
      <c r="S298" s="369"/>
      <c r="T298" s="369"/>
      <c r="U298" s="369"/>
      <c r="V298" s="369"/>
      <c r="W298" s="369"/>
      <c r="X298" s="53"/>
    </row>
    <row r="299" spans="1:24" ht="12.75">
      <c r="A299" s="397" t="s">
        <v>104</v>
      </c>
      <c r="B299" s="397"/>
      <c r="C299" s="397"/>
      <c r="D299" s="397"/>
      <c r="E299" s="397"/>
      <c r="F299" s="397"/>
      <c r="G299" s="397"/>
      <c r="H299" s="397"/>
      <c r="I299" s="397"/>
      <c r="J299" s="397"/>
      <c r="K299" s="397"/>
      <c r="L299" s="397"/>
      <c r="M299" s="397"/>
      <c r="N299" s="397"/>
      <c r="O299" s="397"/>
      <c r="P299" s="397"/>
      <c r="Q299" s="397"/>
      <c r="R299" s="397"/>
      <c r="S299" s="397"/>
      <c r="T299" s="397"/>
      <c r="U299" s="397"/>
      <c r="V299" s="397"/>
      <c r="W299" s="397"/>
      <c r="X299" s="53"/>
    </row>
    <row r="300" spans="1:23" ht="12.75">
      <c r="A300" s="46"/>
      <c r="B300" s="14" t="s">
        <v>3</v>
      </c>
      <c r="C300" s="14">
        <v>2007</v>
      </c>
      <c r="D300" s="14">
        <f>C300+1</f>
        <v>2008</v>
      </c>
      <c r="E300" s="14">
        <f aca="true" t="shared" si="138" ref="E300:S300">D300+1</f>
        <v>2009</v>
      </c>
      <c r="F300" s="14">
        <f t="shared" si="138"/>
        <v>2010</v>
      </c>
      <c r="G300" s="14">
        <f t="shared" si="138"/>
        <v>2011</v>
      </c>
      <c r="H300" s="14">
        <f t="shared" si="138"/>
        <v>2012</v>
      </c>
      <c r="I300" s="14">
        <f t="shared" si="138"/>
        <v>2013</v>
      </c>
      <c r="J300" s="14">
        <f t="shared" si="138"/>
        <v>2014</v>
      </c>
      <c r="K300" s="14">
        <f t="shared" si="138"/>
        <v>2015</v>
      </c>
      <c r="L300" s="14">
        <f t="shared" si="138"/>
        <v>2016</v>
      </c>
      <c r="M300" s="14">
        <f t="shared" si="138"/>
        <v>2017</v>
      </c>
      <c r="N300" s="14">
        <f t="shared" si="138"/>
        <v>2018</v>
      </c>
      <c r="O300" s="14">
        <f t="shared" si="138"/>
        <v>2019</v>
      </c>
      <c r="P300" s="14">
        <f t="shared" si="138"/>
        <v>2020</v>
      </c>
      <c r="Q300" s="14">
        <f t="shared" si="138"/>
        <v>2021</v>
      </c>
      <c r="R300" s="14">
        <f t="shared" si="138"/>
        <v>2022</v>
      </c>
      <c r="S300" s="14">
        <f t="shared" si="138"/>
        <v>2023</v>
      </c>
      <c r="T300" s="14">
        <f>S300+1</f>
        <v>2024</v>
      </c>
      <c r="U300" s="14">
        <f>T300+1</f>
        <v>2025</v>
      </c>
      <c r="V300" s="14">
        <f>U300+1</f>
        <v>2026</v>
      </c>
      <c r="W300" s="14">
        <f>V300+1</f>
        <v>2027</v>
      </c>
    </row>
    <row r="301" spans="1:23" ht="12.75">
      <c r="A301" s="368" t="s">
        <v>319</v>
      </c>
      <c r="B301" s="368"/>
      <c r="C301" s="368"/>
      <c r="D301" s="368"/>
      <c r="E301" s="368"/>
      <c r="F301" s="368"/>
      <c r="G301" s="368"/>
      <c r="H301" s="368"/>
      <c r="I301" s="368"/>
      <c r="J301" s="368"/>
      <c r="K301" s="368"/>
      <c r="L301" s="368"/>
      <c r="M301" s="368"/>
      <c r="N301" s="368"/>
      <c r="O301" s="368"/>
      <c r="P301" s="368"/>
      <c r="Q301" s="368"/>
      <c r="R301" s="368"/>
      <c r="S301" s="368"/>
      <c r="T301" s="368"/>
      <c r="U301" s="368"/>
      <c r="V301" s="368"/>
      <c r="W301" s="368"/>
    </row>
    <row r="302" spans="1:23" ht="12.75">
      <c r="A302" s="46" t="s">
        <v>89</v>
      </c>
      <c r="B302" s="12" t="s">
        <v>40</v>
      </c>
      <c r="C302" s="46"/>
      <c r="D302" s="90">
        <v>0.75</v>
      </c>
      <c r="E302" s="90">
        <v>3.5</v>
      </c>
      <c r="F302" s="90">
        <v>1.5</v>
      </c>
      <c r="G302" s="90">
        <v>0</v>
      </c>
      <c r="H302" s="90">
        <v>0</v>
      </c>
      <c r="I302" s="90">
        <v>0</v>
      </c>
      <c r="J302" s="90">
        <v>0</v>
      </c>
      <c r="K302" s="90">
        <v>0</v>
      </c>
      <c r="L302" s="28">
        <v>0</v>
      </c>
      <c r="M302" s="28">
        <v>0</v>
      </c>
      <c r="N302" s="28">
        <v>5</v>
      </c>
      <c r="O302" s="28">
        <v>0</v>
      </c>
      <c r="P302" s="28">
        <v>0</v>
      </c>
      <c r="Q302" s="28">
        <v>0</v>
      </c>
      <c r="R302" s="28">
        <v>0</v>
      </c>
      <c r="S302" s="28">
        <v>0</v>
      </c>
      <c r="T302" s="28">
        <v>0</v>
      </c>
      <c r="U302" s="28">
        <v>5</v>
      </c>
      <c r="V302" s="28">
        <v>0</v>
      </c>
      <c r="W302" s="28">
        <v>0</v>
      </c>
    </row>
    <row r="303" spans="1:23" ht="12.75">
      <c r="A303" s="54" t="s">
        <v>85</v>
      </c>
      <c r="B303" s="12" t="s">
        <v>40</v>
      </c>
      <c r="C303" s="12"/>
      <c r="D303" s="12">
        <v>0.75</v>
      </c>
      <c r="E303" s="28">
        <v>3.5</v>
      </c>
      <c r="F303" s="28">
        <v>1.5</v>
      </c>
      <c r="G303" s="28">
        <v>0</v>
      </c>
      <c r="H303" s="28">
        <v>0</v>
      </c>
      <c r="I303" s="28">
        <v>0</v>
      </c>
      <c r="J303" s="28">
        <v>0</v>
      </c>
      <c r="K303" s="28">
        <v>0</v>
      </c>
      <c r="L303" s="28">
        <v>0</v>
      </c>
      <c r="M303" s="28">
        <v>0</v>
      </c>
      <c r="N303" s="28">
        <v>10</v>
      </c>
      <c r="O303" s="28">
        <v>0</v>
      </c>
      <c r="P303" s="28">
        <v>0</v>
      </c>
      <c r="Q303" s="28">
        <v>0</v>
      </c>
      <c r="R303" s="28">
        <v>0</v>
      </c>
      <c r="S303" s="28">
        <v>0</v>
      </c>
      <c r="T303" s="28">
        <v>0</v>
      </c>
      <c r="U303" s="28">
        <v>15</v>
      </c>
      <c r="V303" s="28">
        <f>V300*V301</f>
        <v>0</v>
      </c>
      <c r="W303" s="28">
        <f>W300*W301</f>
        <v>0</v>
      </c>
    </row>
    <row r="304" spans="1:23" ht="12.75">
      <c r="A304" s="54" t="s">
        <v>76</v>
      </c>
      <c r="B304" s="12" t="s">
        <v>40</v>
      </c>
      <c r="C304" s="12"/>
      <c r="D304" s="12">
        <f>D302+D303</f>
        <v>1.5</v>
      </c>
      <c r="E304" s="12">
        <f>D304+E302+E303</f>
        <v>8.5</v>
      </c>
      <c r="F304" s="12">
        <f aca="true" t="shared" si="139" ref="F304:K304">E304+F302+F303</f>
        <v>11.5</v>
      </c>
      <c r="G304" s="12">
        <f t="shared" si="139"/>
        <v>11.5</v>
      </c>
      <c r="H304" s="12">
        <f t="shared" si="139"/>
        <v>11.5</v>
      </c>
      <c r="I304" s="12">
        <f t="shared" si="139"/>
        <v>11.5</v>
      </c>
      <c r="J304" s="12">
        <f t="shared" si="139"/>
        <v>11.5</v>
      </c>
      <c r="K304" s="12">
        <f t="shared" si="139"/>
        <v>11.5</v>
      </c>
      <c r="L304" s="12">
        <f>K304+L302+L303</f>
        <v>11.5</v>
      </c>
      <c r="M304" s="12">
        <f aca="true" t="shared" si="140" ref="M304:W304">L304+M302+M303</f>
        <v>11.5</v>
      </c>
      <c r="N304" s="12">
        <f t="shared" si="140"/>
        <v>26.5</v>
      </c>
      <c r="O304" s="12">
        <f t="shared" si="140"/>
        <v>26.5</v>
      </c>
      <c r="P304" s="12">
        <f t="shared" si="140"/>
        <v>26.5</v>
      </c>
      <c r="Q304" s="12">
        <f t="shared" si="140"/>
        <v>26.5</v>
      </c>
      <c r="R304" s="12">
        <f t="shared" si="140"/>
        <v>26.5</v>
      </c>
      <c r="S304" s="12">
        <f t="shared" si="140"/>
        <v>26.5</v>
      </c>
      <c r="T304" s="12">
        <f t="shared" si="140"/>
        <v>26.5</v>
      </c>
      <c r="U304" s="12">
        <f t="shared" si="140"/>
        <v>46.5</v>
      </c>
      <c r="V304" s="12">
        <f t="shared" si="140"/>
        <v>46.5</v>
      </c>
      <c r="W304" s="12">
        <f t="shared" si="140"/>
        <v>46.5</v>
      </c>
    </row>
    <row r="305" spans="1:23" ht="12.75">
      <c r="A305" s="395" t="s">
        <v>64</v>
      </c>
      <c r="B305" s="395"/>
      <c r="C305" s="395"/>
      <c r="D305" s="395"/>
      <c r="E305" s="395"/>
      <c r="F305" s="395"/>
      <c r="G305" s="395"/>
      <c r="H305" s="395"/>
      <c r="I305" s="395"/>
      <c r="J305" s="395"/>
      <c r="K305" s="395"/>
      <c r="L305" s="395"/>
      <c r="M305" s="395"/>
      <c r="N305" s="395"/>
      <c r="O305" s="395"/>
      <c r="P305" s="395"/>
      <c r="Q305" s="395"/>
      <c r="R305" s="395"/>
      <c r="S305" s="395"/>
      <c r="T305" s="395"/>
      <c r="U305" s="395"/>
      <c r="V305" s="395"/>
      <c r="W305" s="395"/>
    </row>
    <row r="306" spans="1:23" ht="12.75">
      <c r="A306" s="100" t="s">
        <v>313</v>
      </c>
      <c r="B306" s="12" t="s">
        <v>55</v>
      </c>
      <c r="C306" s="12"/>
      <c r="D306" s="56">
        <v>1</v>
      </c>
      <c r="E306" s="56">
        <f>D306</f>
        <v>1</v>
      </c>
      <c r="F306" s="56">
        <f>E306</f>
        <v>1</v>
      </c>
      <c r="G306" s="56">
        <f>F306</f>
        <v>1</v>
      </c>
      <c r="H306" s="56">
        <f>G306</f>
        <v>1</v>
      </c>
      <c r="I306" s="56">
        <f>H306</f>
        <v>1</v>
      </c>
      <c r="J306" s="56">
        <f aca="true" t="shared" si="141" ref="J306:W306">I306</f>
        <v>1</v>
      </c>
      <c r="K306" s="56">
        <f t="shared" si="141"/>
        <v>1</v>
      </c>
      <c r="L306" s="56">
        <v>1</v>
      </c>
      <c r="M306" s="56">
        <f t="shared" si="141"/>
        <v>1</v>
      </c>
      <c r="N306" s="56">
        <v>0.5</v>
      </c>
      <c r="O306" s="56">
        <f t="shared" si="141"/>
        <v>0.5</v>
      </c>
      <c r="P306" s="56">
        <f t="shared" si="141"/>
        <v>0.5</v>
      </c>
      <c r="Q306" s="56">
        <f t="shared" si="141"/>
        <v>0.5</v>
      </c>
      <c r="R306" s="56">
        <f t="shared" si="141"/>
        <v>0.5</v>
      </c>
      <c r="S306" s="56">
        <f t="shared" si="141"/>
        <v>0.5</v>
      </c>
      <c r="T306" s="56">
        <f t="shared" si="141"/>
        <v>0.5</v>
      </c>
      <c r="U306" s="56">
        <f t="shared" si="141"/>
        <v>0.5</v>
      </c>
      <c r="V306" s="56">
        <f t="shared" si="141"/>
        <v>0.5</v>
      </c>
      <c r="W306" s="56">
        <f t="shared" si="141"/>
        <v>0.5</v>
      </c>
    </row>
    <row r="307" spans="1:23" ht="12.75">
      <c r="A307" s="57" t="s">
        <v>56</v>
      </c>
      <c r="B307" s="12" t="s">
        <v>55</v>
      </c>
      <c r="C307" s="12"/>
      <c r="D307" s="56">
        <f aca="true" t="shared" si="142" ref="D307:W307">1-D306</f>
        <v>0</v>
      </c>
      <c r="E307" s="56">
        <f t="shared" si="142"/>
        <v>0</v>
      </c>
      <c r="F307" s="56">
        <f t="shared" si="142"/>
        <v>0</v>
      </c>
      <c r="G307" s="56">
        <f t="shared" si="142"/>
        <v>0</v>
      </c>
      <c r="H307" s="56">
        <f t="shared" si="142"/>
        <v>0</v>
      </c>
      <c r="I307" s="56">
        <f t="shared" si="142"/>
        <v>0</v>
      </c>
      <c r="J307" s="56">
        <f t="shared" si="142"/>
        <v>0</v>
      </c>
      <c r="K307" s="56">
        <f t="shared" si="142"/>
        <v>0</v>
      </c>
      <c r="L307" s="56">
        <f t="shared" si="142"/>
        <v>0</v>
      </c>
      <c r="M307" s="56">
        <f t="shared" si="142"/>
        <v>0</v>
      </c>
      <c r="N307" s="56">
        <f t="shared" si="142"/>
        <v>0.5</v>
      </c>
      <c r="O307" s="56">
        <f t="shared" si="142"/>
        <v>0.5</v>
      </c>
      <c r="P307" s="56">
        <f t="shared" si="142"/>
        <v>0.5</v>
      </c>
      <c r="Q307" s="56">
        <f t="shared" si="142"/>
        <v>0.5</v>
      </c>
      <c r="R307" s="56">
        <f t="shared" si="142"/>
        <v>0.5</v>
      </c>
      <c r="S307" s="56">
        <f t="shared" si="142"/>
        <v>0.5</v>
      </c>
      <c r="T307" s="56">
        <f t="shared" si="142"/>
        <v>0.5</v>
      </c>
      <c r="U307" s="56">
        <f t="shared" si="142"/>
        <v>0.5</v>
      </c>
      <c r="V307" s="56">
        <f t="shared" si="142"/>
        <v>0.5</v>
      </c>
      <c r="W307" s="56">
        <f t="shared" si="142"/>
        <v>0.5</v>
      </c>
    </row>
    <row r="308" spans="1:23" ht="12.75">
      <c r="A308" s="54" t="s">
        <v>60</v>
      </c>
      <c r="B308" s="12" t="s">
        <v>61</v>
      </c>
      <c r="C308" s="12"/>
      <c r="D308" s="56">
        <f aca="true" t="shared" si="143" ref="D308:W308">D306*$D$153+D307*$D$154</f>
        <v>0.03</v>
      </c>
      <c r="E308" s="56">
        <f t="shared" si="143"/>
        <v>0.03</v>
      </c>
      <c r="F308" s="56">
        <f t="shared" si="143"/>
        <v>0.03</v>
      </c>
      <c r="G308" s="56">
        <f t="shared" si="143"/>
        <v>0.03</v>
      </c>
      <c r="H308" s="56">
        <f t="shared" si="143"/>
        <v>0.03</v>
      </c>
      <c r="I308" s="56">
        <f t="shared" si="143"/>
        <v>0.03</v>
      </c>
      <c r="J308" s="56">
        <f t="shared" si="143"/>
        <v>0.03</v>
      </c>
      <c r="K308" s="56">
        <f t="shared" si="143"/>
        <v>0.03</v>
      </c>
      <c r="L308" s="56">
        <f t="shared" si="143"/>
        <v>0.03</v>
      </c>
      <c r="M308" s="56">
        <f t="shared" si="143"/>
        <v>0.03</v>
      </c>
      <c r="N308" s="56">
        <f t="shared" si="143"/>
        <v>0.09</v>
      </c>
      <c r="O308" s="56">
        <f t="shared" si="143"/>
        <v>0.09</v>
      </c>
      <c r="P308" s="56">
        <f t="shared" si="143"/>
        <v>0.09</v>
      </c>
      <c r="Q308" s="56">
        <f t="shared" si="143"/>
        <v>0.09</v>
      </c>
      <c r="R308" s="56">
        <f t="shared" si="143"/>
        <v>0.09</v>
      </c>
      <c r="S308" s="56">
        <f t="shared" si="143"/>
        <v>0.09</v>
      </c>
      <c r="T308" s="56">
        <f t="shared" si="143"/>
        <v>0.09</v>
      </c>
      <c r="U308" s="56">
        <f t="shared" si="143"/>
        <v>0.09</v>
      </c>
      <c r="V308" s="56">
        <f t="shared" si="143"/>
        <v>0.09</v>
      </c>
      <c r="W308" s="56">
        <f t="shared" si="143"/>
        <v>0.09</v>
      </c>
    </row>
    <row r="309" spans="1:23" ht="12.75">
      <c r="A309" s="54" t="s">
        <v>86</v>
      </c>
      <c r="B309" s="12" t="s">
        <v>40</v>
      </c>
      <c r="C309" s="12"/>
      <c r="D309" s="28">
        <v>0</v>
      </c>
      <c r="E309" s="28">
        <v>0</v>
      </c>
      <c r="F309" s="28">
        <f aca="true" t="shared" si="144" ref="F309:W309">E304*0.03</f>
        <v>0.255</v>
      </c>
      <c r="G309" s="28">
        <f t="shared" si="144"/>
        <v>0.345</v>
      </c>
      <c r="H309" s="28">
        <f t="shared" si="144"/>
        <v>0.345</v>
      </c>
      <c r="I309" s="28">
        <f t="shared" si="144"/>
        <v>0.345</v>
      </c>
      <c r="J309" s="28">
        <f t="shared" si="144"/>
        <v>0.345</v>
      </c>
      <c r="K309" s="28">
        <f t="shared" si="144"/>
        <v>0.345</v>
      </c>
      <c r="L309" s="28">
        <f t="shared" si="144"/>
        <v>0.345</v>
      </c>
      <c r="M309" s="28">
        <f t="shared" si="144"/>
        <v>0.345</v>
      </c>
      <c r="N309" s="28">
        <f t="shared" si="144"/>
        <v>0.345</v>
      </c>
      <c r="O309" s="28">
        <f t="shared" si="144"/>
        <v>0.7949999999999999</v>
      </c>
      <c r="P309" s="28">
        <f t="shared" si="144"/>
        <v>0.7949999999999999</v>
      </c>
      <c r="Q309" s="28">
        <f t="shared" si="144"/>
        <v>0.7949999999999999</v>
      </c>
      <c r="R309" s="28">
        <f t="shared" si="144"/>
        <v>0.7949999999999999</v>
      </c>
      <c r="S309" s="28">
        <f t="shared" si="144"/>
        <v>0.7949999999999999</v>
      </c>
      <c r="T309" s="28">
        <f t="shared" si="144"/>
        <v>0.7949999999999999</v>
      </c>
      <c r="U309" s="28">
        <f t="shared" si="144"/>
        <v>0.7949999999999999</v>
      </c>
      <c r="V309" s="28">
        <f t="shared" si="144"/>
        <v>1.395</v>
      </c>
      <c r="W309" s="28">
        <f t="shared" si="144"/>
        <v>1.395</v>
      </c>
    </row>
    <row r="310" spans="1:23" ht="12.75">
      <c r="A310" s="54" t="s">
        <v>87</v>
      </c>
      <c r="B310" s="12" t="s">
        <v>40</v>
      </c>
      <c r="C310" s="28"/>
      <c r="D310" s="28"/>
      <c r="E310" s="28">
        <v>0</v>
      </c>
      <c r="F310" s="28">
        <f>-PMT(E308/12,$J$153*12,E304,E304*$J$154)*12</f>
        <v>0.4951303171415741</v>
      </c>
      <c r="G310" s="28">
        <f aca="true" t="shared" si="145" ref="G310:W310">-PMT(F308/12,$J$153*12,F304,F304*$J$154)*12</f>
        <v>0.6698821937797766</v>
      </c>
      <c r="H310" s="28">
        <f t="shared" si="145"/>
        <v>0.6698821937797766</v>
      </c>
      <c r="I310" s="28">
        <f t="shared" si="145"/>
        <v>0.6698821937797766</v>
      </c>
      <c r="J310" s="28">
        <f t="shared" si="145"/>
        <v>0.6698821937797766</v>
      </c>
      <c r="K310" s="28">
        <f t="shared" si="145"/>
        <v>0.6698821937797766</v>
      </c>
      <c r="L310" s="28">
        <f t="shared" si="145"/>
        <v>0.6698821937797766</v>
      </c>
      <c r="M310" s="28">
        <f t="shared" si="145"/>
        <v>0.6698821937797766</v>
      </c>
      <c r="N310" s="28">
        <f t="shared" si="145"/>
        <v>0.6698821937797766</v>
      </c>
      <c r="O310" s="28">
        <f t="shared" si="145"/>
        <v>2.6828266581767335</v>
      </c>
      <c r="P310" s="28">
        <f t="shared" si="145"/>
        <v>2.6828266581767335</v>
      </c>
      <c r="Q310" s="28">
        <f t="shared" si="145"/>
        <v>2.6828266581767335</v>
      </c>
      <c r="R310" s="28">
        <f t="shared" si="145"/>
        <v>2.6828266581767335</v>
      </c>
      <c r="S310" s="28">
        <f t="shared" si="145"/>
        <v>2.6828266581767335</v>
      </c>
      <c r="T310" s="28">
        <f t="shared" si="145"/>
        <v>2.6828266581767335</v>
      </c>
      <c r="U310" s="28">
        <f t="shared" si="145"/>
        <v>2.6828266581767335</v>
      </c>
      <c r="V310" s="28">
        <f t="shared" si="145"/>
        <v>4.707601494536532</v>
      </c>
      <c r="W310" s="28">
        <f t="shared" si="145"/>
        <v>4.707601494536532</v>
      </c>
    </row>
    <row r="311" spans="1:23" s="110" customFormat="1" ht="12.75">
      <c r="A311" s="97" t="s">
        <v>236</v>
      </c>
      <c r="B311" s="108" t="s">
        <v>40</v>
      </c>
      <c r="C311" s="109"/>
      <c r="D311" s="109"/>
      <c r="E311" s="109">
        <v>0</v>
      </c>
      <c r="F311" s="160">
        <f>(E304*(1-$J$154)/$J$153)</f>
        <v>0.32299999999999995</v>
      </c>
      <c r="G311" s="160">
        <f aca="true" t="shared" si="146" ref="G311:W311">(F304*(1-$J$154)/$J$153)</f>
        <v>0.43699999999999994</v>
      </c>
      <c r="H311" s="160">
        <f t="shared" si="146"/>
        <v>0.43699999999999994</v>
      </c>
      <c r="I311" s="160">
        <f t="shared" si="146"/>
        <v>0.43699999999999994</v>
      </c>
      <c r="J311" s="160">
        <f t="shared" si="146"/>
        <v>0.43699999999999994</v>
      </c>
      <c r="K311" s="160">
        <f t="shared" si="146"/>
        <v>0.43699999999999994</v>
      </c>
      <c r="L311" s="160">
        <f t="shared" si="146"/>
        <v>0.43699999999999994</v>
      </c>
      <c r="M311" s="160">
        <f t="shared" si="146"/>
        <v>0.43699999999999994</v>
      </c>
      <c r="N311" s="160">
        <f t="shared" si="146"/>
        <v>0.43699999999999994</v>
      </c>
      <c r="O311" s="160">
        <f t="shared" si="146"/>
        <v>1.007</v>
      </c>
      <c r="P311" s="160">
        <f t="shared" si="146"/>
        <v>1.007</v>
      </c>
      <c r="Q311" s="160">
        <f t="shared" si="146"/>
        <v>1.007</v>
      </c>
      <c r="R311" s="160">
        <f t="shared" si="146"/>
        <v>1.007</v>
      </c>
      <c r="S311" s="160">
        <f t="shared" si="146"/>
        <v>1.007</v>
      </c>
      <c r="T311" s="160">
        <f t="shared" si="146"/>
        <v>1.007</v>
      </c>
      <c r="U311" s="160">
        <f t="shared" si="146"/>
        <v>1.007</v>
      </c>
      <c r="V311" s="160">
        <f t="shared" si="146"/>
        <v>1.767</v>
      </c>
      <c r="W311" s="160">
        <f t="shared" si="146"/>
        <v>1.767</v>
      </c>
    </row>
    <row r="312" spans="1:23" s="110" customFormat="1" ht="12.75">
      <c r="A312" s="97" t="s">
        <v>233</v>
      </c>
      <c r="B312" s="108"/>
      <c r="C312" s="109"/>
      <c r="D312" s="109"/>
      <c r="E312" s="109"/>
      <c r="F312" s="109">
        <f aca="true" t="shared" si="147" ref="F312:W312">E313*$D156</f>
        <v>0</v>
      </c>
      <c r="G312" s="109">
        <f t="shared" si="147"/>
        <v>0.019379999999999998</v>
      </c>
      <c r="H312" s="109">
        <f t="shared" si="147"/>
        <v>0.046762799999999986</v>
      </c>
      <c r="I312" s="109">
        <f t="shared" si="147"/>
        <v>0.07578856799999999</v>
      </c>
      <c r="J312" s="109">
        <f t="shared" si="147"/>
        <v>0.10655588207999997</v>
      </c>
      <c r="K312" s="109">
        <f t="shared" si="147"/>
        <v>0.13916923500479997</v>
      </c>
      <c r="L312" s="109">
        <f t="shared" si="147"/>
        <v>0.17373938910508796</v>
      </c>
      <c r="M312" s="109">
        <f t="shared" si="147"/>
        <v>0.2103837524513932</v>
      </c>
      <c r="N312" s="109">
        <f t="shared" si="147"/>
        <v>0.2492267775984768</v>
      </c>
      <c r="O312" s="109">
        <f t="shared" si="147"/>
        <v>0.2904003842543854</v>
      </c>
      <c r="P312" s="109">
        <f t="shared" si="147"/>
        <v>0.3682444073096485</v>
      </c>
      <c r="Q312" s="109">
        <f t="shared" si="147"/>
        <v>0.45075907174822744</v>
      </c>
      <c r="R312" s="109">
        <f t="shared" si="147"/>
        <v>0.538224616053121</v>
      </c>
      <c r="S312" s="109">
        <f t="shared" si="147"/>
        <v>0.6309380930163082</v>
      </c>
      <c r="T312" s="109">
        <f t="shared" si="147"/>
        <v>0.7292143785972867</v>
      </c>
      <c r="U312" s="109">
        <f t="shared" si="147"/>
        <v>0.8333872413131239</v>
      </c>
      <c r="V312" s="109">
        <f t="shared" si="147"/>
        <v>0.9438104757919114</v>
      </c>
      <c r="W312" s="109">
        <f t="shared" si="147"/>
        <v>1.1064591043394258</v>
      </c>
    </row>
    <row r="313" spans="1:23" s="96" customFormat="1" ht="25.5">
      <c r="A313" s="115" t="s">
        <v>237</v>
      </c>
      <c r="B313" s="98" t="s">
        <v>40</v>
      </c>
      <c r="C313" s="103"/>
      <c r="D313" s="103"/>
      <c r="E313" s="103">
        <f>E311+E312</f>
        <v>0</v>
      </c>
      <c r="F313" s="103">
        <f>E313+F311+F312</f>
        <v>0.32299999999999995</v>
      </c>
      <c r="G313" s="103">
        <f aca="true" t="shared" si="148" ref="G313:W313">F313+G311+G312</f>
        <v>0.7793799999999999</v>
      </c>
      <c r="H313" s="103">
        <f t="shared" si="148"/>
        <v>1.2631427999999998</v>
      </c>
      <c r="I313" s="103">
        <f t="shared" si="148"/>
        <v>1.7759313679999995</v>
      </c>
      <c r="J313" s="103">
        <f t="shared" si="148"/>
        <v>2.3194872500799995</v>
      </c>
      <c r="K313" s="103">
        <f t="shared" si="148"/>
        <v>2.8956564850847992</v>
      </c>
      <c r="L313" s="103">
        <f t="shared" si="148"/>
        <v>3.506395874189887</v>
      </c>
      <c r="M313" s="103">
        <f t="shared" si="148"/>
        <v>4.15377962664128</v>
      </c>
      <c r="N313" s="103">
        <f t="shared" si="148"/>
        <v>4.840006404239757</v>
      </c>
      <c r="O313" s="103">
        <f t="shared" si="148"/>
        <v>6.137406788494142</v>
      </c>
      <c r="P313" s="103">
        <f t="shared" si="148"/>
        <v>7.512651195803791</v>
      </c>
      <c r="Q313" s="103">
        <f t="shared" si="148"/>
        <v>8.970410267552017</v>
      </c>
      <c r="R313" s="103">
        <f t="shared" si="148"/>
        <v>10.515634883605138</v>
      </c>
      <c r="S313" s="103">
        <f t="shared" si="148"/>
        <v>12.153572976621446</v>
      </c>
      <c r="T313" s="103">
        <f t="shared" si="148"/>
        <v>13.889787355218733</v>
      </c>
      <c r="U313" s="103">
        <f t="shared" si="148"/>
        <v>15.730174596531857</v>
      </c>
      <c r="V313" s="103">
        <f t="shared" si="148"/>
        <v>18.440985072323766</v>
      </c>
      <c r="W313" s="103">
        <f t="shared" si="148"/>
        <v>21.31444417666319</v>
      </c>
    </row>
    <row r="314" spans="1:23" ht="12.75">
      <c r="A314" s="112" t="s">
        <v>232</v>
      </c>
      <c r="B314" s="12"/>
      <c r="C314" s="28"/>
      <c r="D314" s="28"/>
      <c r="E314" s="28"/>
      <c r="F314" s="28">
        <f>F310-F311</f>
        <v>0.17213031714157412</v>
      </c>
      <c r="G314" s="28">
        <f aca="true" t="shared" si="149" ref="G314:W314">G310-G311</f>
        <v>0.2328821937797767</v>
      </c>
      <c r="H314" s="28">
        <f t="shared" si="149"/>
        <v>0.2328821937797767</v>
      </c>
      <c r="I314" s="28">
        <f t="shared" si="149"/>
        <v>0.2328821937797767</v>
      </c>
      <c r="J314" s="28">
        <f t="shared" si="149"/>
        <v>0.2328821937797767</v>
      </c>
      <c r="K314" s="28">
        <f t="shared" si="149"/>
        <v>0.2328821937797767</v>
      </c>
      <c r="L314" s="28">
        <f t="shared" si="149"/>
        <v>0.2328821937797767</v>
      </c>
      <c r="M314" s="28">
        <f t="shared" si="149"/>
        <v>0.2328821937797767</v>
      </c>
      <c r="N314" s="28">
        <f t="shared" si="149"/>
        <v>0.2328821937797767</v>
      </c>
      <c r="O314" s="28">
        <f t="shared" si="149"/>
        <v>1.6758266581767336</v>
      </c>
      <c r="P314" s="28">
        <f t="shared" si="149"/>
        <v>1.6758266581767336</v>
      </c>
      <c r="Q314" s="28">
        <f t="shared" si="149"/>
        <v>1.6758266581767336</v>
      </c>
      <c r="R314" s="28">
        <f t="shared" si="149"/>
        <v>1.6758266581767336</v>
      </c>
      <c r="S314" s="28">
        <f t="shared" si="149"/>
        <v>1.6758266581767336</v>
      </c>
      <c r="T314" s="28">
        <f t="shared" si="149"/>
        <v>1.6758266581767336</v>
      </c>
      <c r="U314" s="28">
        <f t="shared" si="149"/>
        <v>1.6758266581767336</v>
      </c>
      <c r="V314" s="28">
        <f t="shared" si="149"/>
        <v>2.940601494536532</v>
      </c>
      <c r="W314" s="28">
        <f t="shared" si="149"/>
        <v>2.940601494536532</v>
      </c>
    </row>
    <row r="315" spans="1:23" s="110" customFormat="1" ht="25.5">
      <c r="A315" s="106" t="s">
        <v>199</v>
      </c>
      <c r="B315" s="108" t="s">
        <v>40</v>
      </c>
      <c r="C315" s="109"/>
      <c r="D315" s="109">
        <v>0</v>
      </c>
      <c r="E315" s="109">
        <f>E311*0.05</f>
        <v>0</v>
      </c>
      <c r="F315" s="109">
        <f aca="true" t="shared" si="150" ref="F315:W315">F311*0.05</f>
        <v>0.016149999999999998</v>
      </c>
      <c r="G315" s="109">
        <f t="shared" si="150"/>
        <v>0.021849999999999998</v>
      </c>
      <c r="H315" s="109">
        <f t="shared" si="150"/>
        <v>0.021849999999999998</v>
      </c>
      <c r="I315" s="109">
        <f t="shared" si="150"/>
        <v>0.021849999999999998</v>
      </c>
      <c r="J315" s="109">
        <f t="shared" si="150"/>
        <v>0.021849999999999998</v>
      </c>
      <c r="K315" s="109">
        <f t="shared" si="150"/>
        <v>0.021849999999999998</v>
      </c>
      <c r="L315" s="109">
        <f t="shared" si="150"/>
        <v>0.021849999999999998</v>
      </c>
      <c r="M315" s="109">
        <f t="shared" si="150"/>
        <v>0.021849999999999998</v>
      </c>
      <c r="N315" s="109">
        <f t="shared" si="150"/>
        <v>0.021849999999999998</v>
      </c>
      <c r="O315" s="109">
        <f t="shared" si="150"/>
        <v>0.05035</v>
      </c>
      <c r="P315" s="109">
        <f t="shared" si="150"/>
        <v>0.05035</v>
      </c>
      <c r="Q315" s="109">
        <f t="shared" si="150"/>
        <v>0.05035</v>
      </c>
      <c r="R315" s="109">
        <f t="shared" si="150"/>
        <v>0.05035</v>
      </c>
      <c r="S315" s="109">
        <f t="shared" si="150"/>
        <v>0.05035</v>
      </c>
      <c r="T315" s="109">
        <f t="shared" si="150"/>
        <v>0.05035</v>
      </c>
      <c r="U315" s="109">
        <f t="shared" si="150"/>
        <v>0.05035</v>
      </c>
      <c r="V315" s="109">
        <f t="shared" si="150"/>
        <v>0.08835</v>
      </c>
      <c r="W315" s="109">
        <f t="shared" si="150"/>
        <v>0.08835</v>
      </c>
    </row>
    <row r="316" spans="1:23" ht="12.75">
      <c r="A316" s="24" t="s">
        <v>98</v>
      </c>
      <c r="B316" s="12" t="s">
        <v>99</v>
      </c>
      <c r="C316" s="28"/>
      <c r="D316" s="28">
        <v>0</v>
      </c>
      <c r="E316" s="28">
        <v>0</v>
      </c>
      <c r="F316" s="28">
        <v>0.4</v>
      </c>
      <c r="G316" s="28">
        <v>0.5</v>
      </c>
      <c r="H316" s="28">
        <v>0.75</v>
      </c>
      <c r="I316" s="28">
        <v>1</v>
      </c>
      <c r="J316" s="28">
        <v>1.5</v>
      </c>
      <c r="K316" s="28">
        <v>2</v>
      </c>
      <c r="L316" s="28">
        <v>2.5</v>
      </c>
      <c r="M316" s="28">
        <v>3</v>
      </c>
      <c r="N316" s="28">
        <v>4</v>
      </c>
      <c r="O316" s="28">
        <v>5</v>
      </c>
      <c r="P316" s="28">
        <v>6</v>
      </c>
      <c r="Q316" s="28">
        <v>7</v>
      </c>
      <c r="R316" s="28">
        <v>8</v>
      </c>
      <c r="S316" s="28">
        <v>9</v>
      </c>
      <c r="T316" s="28">
        <v>10</v>
      </c>
      <c r="U316" s="28">
        <v>10</v>
      </c>
      <c r="V316" s="28">
        <v>10</v>
      </c>
      <c r="W316" s="28">
        <v>10</v>
      </c>
    </row>
    <row r="317" spans="1:23" ht="12.75">
      <c r="A317" s="24" t="s">
        <v>100</v>
      </c>
      <c r="B317" s="61">
        <v>0.7</v>
      </c>
      <c r="C317" s="394"/>
      <c r="D317" s="394"/>
      <c r="E317" s="394"/>
      <c r="F317" s="394"/>
      <c r="G317" s="394"/>
      <c r="H317" s="394"/>
      <c r="I317" s="394"/>
      <c r="J317" s="394"/>
      <c r="K317" s="394"/>
      <c r="L317" s="394"/>
      <c r="M317" s="394"/>
      <c r="N317" s="394"/>
      <c r="O317" s="394"/>
      <c r="P317" s="394"/>
      <c r="Q317" s="394"/>
      <c r="R317" s="394"/>
      <c r="S317" s="394"/>
      <c r="T317" s="394"/>
      <c r="U317" s="394"/>
      <c r="V317" s="394"/>
      <c r="W317" s="394"/>
    </row>
    <row r="318" spans="1:23" ht="12.75">
      <c r="A318" s="24" t="s">
        <v>101</v>
      </c>
      <c r="B318" s="61">
        <v>0.3</v>
      </c>
      <c r="C318" s="394"/>
      <c r="D318" s="394"/>
      <c r="E318" s="394"/>
      <c r="F318" s="394"/>
      <c r="G318" s="394"/>
      <c r="H318" s="394"/>
      <c r="I318" s="394"/>
      <c r="J318" s="394"/>
      <c r="K318" s="394"/>
      <c r="L318" s="394"/>
      <c r="M318" s="394"/>
      <c r="N318" s="394"/>
      <c r="O318" s="394"/>
      <c r="P318" s="394"/>
      <c r="Q318" s="394"/>
      <c r="R318" s="394"/>
      <c r="S318" s="394"/>
      <c r="T318" s="394"/>
      <c r="U318" s="394"/>
      <c r="V318" s="394"/>
      <c r="W318" s="394"/>
    </row>
    <row r="319" spans="1:23" ht="12.75">
      <c r="A319" s="24" t="s">
        <v>74</v>
      </c>
      <c r="B319" s="12" t="s">
        <v>40</v>
      </c>
      <c r="C319" s="28"/>
      <c r="D319" s="28">
        <f aca="true" t="shared" si="151" ref="D319:W319">D316*($B317+$B318)+D314+D312+D315</f>
        <v>0</v>
      </c>
      <c r="E319" s="28">
        <f t="shared" si="151"/>
        <v>0</v>
      </c>
      <c r="F319" s="28">
        <f t="shared" si="151"/>
        <v>0.5882803171415741</v>
      </c>
      <c r="G319" s="28">
        <f t="shared" si="151"/>
        <v>0.7741121937797767</v>
      </c>
      <c r="H319" s="28">
        <f t="shared" si="151"/>
        <v>1.0514949937797766</v>
      </c>
      <c r="I319" s="28">
        <f t="shared" si="151"/>
        <v>1.3305207617797765</v>
      </c>
      <c r="J319" s="28">
        <f t="shared" si="151"/>
        <v>1.8612880758597765</v>
      </c>
      <c r="K319" s="28">
        <f t="shared" si="151"/>
        <v>2.393901428784577</v>
      </c>
      <c r="L319" s="28">
        <f t="shared" si="151"/>
        <v>2.928471582884865</v>
      </c>
      <c r="M319" s="28">
        <f t="shared" si="151"/>
        <v>3.4651159462311703</v>
      </c>
      <c r="N319" s="28">
        <f t="shared" si="151"/>
        <v>4.503958971378252</v>
      </c>
      <c r="O319" s="28">
        <f t="shared" si="151"/>
        <v>7.016577042431119</v>
      </c>
      <c r="P319" s="28">
        <f t="shared" si="151"/>
        <v>8.094421065486381</v>
      </c>
      <c r="Q319" s="28">
        <f t="shared" si="151"/>
        <v>9.17693572992496</v>
      </c>
      <c r="R319" s="28">
        <f t="shared" si="151"/>
        <v>10.264401274229854</v>
      </c>
      <c r="S319" s="28">
        <f t="shared" si="151"/>
        <v>11.357114751193041</v>
      </c>
      <c r="T319" s="28">
        <f t="shared" si="151"/>
        <v>12.455391036774019</v>
      </c>
      <c r="U319" s="28">
        <f t="shared" si="151"/>
        <v>12.559563899489858</v>
      </c>
      <c r="V319" s="28">
        <f t="shared" si="151"/>
        <v>13.972761970328444</v>
      </c>
      <c r="W319" s="28">
        <f t="shared" si="151"/>
        <v>14.135410598875957</v>
      </c>
    </row>
    <row r="320" spans="1:23" ht="12.75">
      <c r="A320" s="54" t="s">
        <v>75</v>
      </c>
      <c r="B320" s="12" t="s">
        <v>40</v>
      </c>
      <c r="C320" s="12"/>
      <c r="D320" s="12"/>
      <c r="E320" s="28">
        <f aca="true" t="shared" si="152" ref="E320:W320">D304*(1-$J154)/$J153</f>
        <v>0.056999999999999995</v>
      </c>
      <c r="F320" s="28">
        <f t="shared" si="152"/>
        <v>0.32299999999999995</v>
      </c>
      <c r="G320" s="28">
        <f t="shared" si="152"/>
        <v>0.43699999999999994</v>
      </c>
      <c r="H320" s="28">
        <f t="shared" si="152"/>
        <v>0.43699999999999994</v>
      </c>
      <c r="I320" s="28">
        <f t="shared" si="152"/>
        <v>0.43699999999999994</v>
      </c>
      <c r="J320" s="28">
        <f t="shared" si="152"/>
        <v>0.43699999999999994</v>
      </c>
      <c r="K320" s="28">
        <f t="shared" si="152"/>
        <v>0.43699999999999994</v>
      </c>
      <c r="L320" s="28">
        <f t="shared" si="152"/>
        <v>0.43699999999999994</v>
      </c>
      <c r="M320" s="28">
        <f t="shared" si="152"/>
        <v>0.43699999999999994</v>
      </c>
      <c r="N320" s="28">
        <f t="shared" si="152"/>
        <v>0.43699999999999994</v>
      </c>
      <c r="O320" s="28">
        <f t="shared" si="152"/>
        <v>1.007</v>
      </c>
      <c r="P320" s="28">
        <f t="shared" si="152"/>
        <v>1.007</v>
      </c>
      <c r="Q320" s="28">
        <f t="shared" si="152"/>
        <v>1.007</v>
      </c>
      <c r="R320" s="28">
        <f t="shared" si="152"/>
        <v>1.007</v>
      </c>
      <c r="S320" s="28">
        <f t="shared" si="152"/>
        <v>1.007</v>
      </c>
      <c r="T320" s="28">
        <f t="shared" si="152"/>
        <v>1.007</v>
      </c>
      <c r="U320" s="28">
        <f t="shared" si="152"/>
        <v>1.007</v>
      </c>
      <c r="V320" s="28">
        <f t="shared" si="152"/>
        <v>1.767</v>
      </c>
      <c r="W320" s="28">
        <f t="shared" si="152"/>
        <v>1.767</v>
      </c>
    </row>
    <row r="321" spans="1:23" ht="12.75">
      <c r="A321" s="24" t="s">
        <v>239</v>
      </c>
      <c r="B321" s="12" t="s">
        <v>40</v>
      </c>
      <c r="C321" s="12"/>
      <c r="D321" s="28">
        <v>0</v>
      </c>
      <c r="E321" s="28">
        <f>E319*0.2</f>
        <v>0</v>
      </c>
      <c r="F321" s="28">
        <f>F319*0.2</f>
        <v>0.11765606342831483</v>
      </c>
      <c r="G321" s="28">
        <f aca="true" t="shared" si="153" ref="G321:V321">G319*0.2</f>
        <v>0.15482243875595536</v>
      </c>
      <c r="H321" s="28">
        <f t="shared" si="153"/>
        <v>0.21029899875595534</v>
      </c>
      <c r="I321" s="28">
        <f t="shared" si="153"/>
        <v>0.2661041523559553</v>
      </c>
      <c r="J321" s="28">
        <f t="shared" si="153"/>
        <v>0.3722576151719553</v>
      </c>
      <c r="K321" s="28">
        <f t="shared" si="153"/>
        <v>0.4787802857569154</v>
      </c>
      <c r="L321" s="28">
        <f t="shared" si="153"/>
        <v>0.585694316576973</v>
      </c>
      <c r="M321" s="28">
        <f t="shared" si="153"/>
        <v>0.6930231892462341</v>
      </c>
      <c r="N321" s="28">
        <f t="shared" si="153"/>
        <v>0.9007917942756505</v>
      </c>
      <c r="O321" s="28">
        <f t="shared" si="153"/>
        <v>1.4033154084862238</v>
      </c>
      <c r="P321" s="28">
        <f t="shared" si="153"/>
        <v>1.6188842130972763</v>
      </c>
      <c r="Q321" s="28">
        <f t="shared" si="153"/>
        <v>1.835387145984992</v>
      </c>
      <c r="R321" s="28">
        <f t="shared" si="153"/>
        <v>2.052880254845971</v>
      </c>
      <c r="S321" s="28">
        <f t="shared" si="153"/>
        <v>2.2714229502386085</v>
      </c>
      <c r="T321" s="28">
        <f t="shared" si="153"/>
        <v>2.491078207354804</v>
      </c>
      <c r="U321" s="28">
        <f t="shared" si="153"/>
        <v>2.5119127798979717</v>
      </c>
      <c r="V321" s="28">
        <f t="shared" si="153"/>
        <v>2.794552394065689</v>
      </c>
      <c r="W321" s="28">
        <f>W319*0.2</f>
        <v>2.8270821197751914</v>
      </c>
    </row>
    <row r="322" spans="1:23" s="113" customFormat="1" ht="12.75">
      <c r="A322" s="112" t="s">
        <v>77</v>
      </c>
      <c r="B322" s="28" t="s">
        <v>40</v>
      </c>
      <c r="C322" s="28"/>
      <c r="D322" s="28">
        <v>0</v>
      </c>
      <c r="E322" s="28">
        <f aca="true" t="shared" si="154" ref="E322:W322">E309+E315+E320+E321</f>
        <v>0.056999999999999995</v>
      </c>
      <c r="F322" s="28">
        <f t="shared" si="154"/>
        <v>0.7118060634283148</v>
      </c>
      <c r="G322" s="28">
        <f t="shared" si="154"/>
        <v>0.9586724387559553</v>
      </c>
      <c r="H322" s="28">
        <f t="shared" si="154"/>
        <v>1.0141489987559553</v>
      </c>
      <c r="I322" s="28">
        <f t="shared" si="154"/>
        <v>1.0699541523559553</v>
      </c>
      <c r="J322" s="28">
        <f t="shared" si="154"/>
        <v>1.1761076151719552</v>
      </c>
      <c r="K322" s="28">
        <f t="shared" si="154"/>
        <v>1.2826302857569154</v>
      </c>
      <c r="L322" s="28">
        <f t="shared" si="154"/>
        <v>1.389544316576973</v>
      </c>
      <c r="M322" s="28">
        <f t="shared" si="154"/>
        <v>1.4968731892462341</v>
      </c>
      <c r="N322" s="28">
        <f t="shared" si="154"/>
        <v>1.7046417942756504</v>
      </c>
      <c r="O322" s="28">
        <f t="shared" si="154"/>
        <v>3.255665408486224</v>
      </c>
      <c r="P322" s="28">
        <f t="shared" si="154"/>
        <v>3.471234213097276</v>
      </c>
      <c r="Q322" s="28">
        <f t="shared" si="154"/>
        <v>3.687737145984992</v>
      </c>
      <c r="R322" s="28">
        <f t="shared" si="154"/>
        <v>3.905230254845971</v>
      </c>
      <c r="S322" s="28">
        <f t="shared" si="154"/>
        <v>4.1237729502386085</v>
      </c>
      <c r="T322" s="28">
        <f t="shared" si="154"/>
        <v>4.343428207354804</v>
      </c>
      <c r="U322" s="28">
        <f t="shared" si="154"/>
        <v>4.364262779897972</v>
      </c>
      <c r="V322" s="28">
        <f t="shared" si="154"/>
        <v>6.044902394065689</v>
      </c>
      <c r="W322" s="28">
        <f t="shared" si="154"/>
        <v>6.0774321197751915</v>
      </c>
    </row>
    <row r="323" spans="1:23" s="113" customFormat="1" ht="12" customHeight="1">
      <c r="A323" s="112" t="s">
        <v>78</v>
      </c>
      <c r="B323" s="28" t="s">
        <v>40</v>
      </c>
      <c r="C323" s="28"/>
      <c r="D323" s="28"/>
      <c r="E323" s="28">
        <f>E319-E322</f>
        <v>-0.056999999999999995</v>
      </c>
      <c r="F323" s="28">
        <f aca="true" t="shared" si="155" ref="F323:W323">F319-F322</f>
        <v>-0.12352574628674062</v>
      </c>
      <c r="G323" s="28">
        <f t="shared" si="155"/>
        <v>-0.18456024497617862</v>
      </c>
      <c r="H323" s="28">
        <f t="shared" si="155"/>
        <v>0.0373459950238213</v>
      </c>
      <c r="I323" s="28">
        <f t="shared" si="155"/>
        <v>0.26056660942382126</v>
      </c>
      <c r="J323" s="28">
        <f t="shared" si="155"/>
        <v>0.6851804606878213</v>
      </c>
      <c r="K323" s="28">
        <f t="shared" si="155"/>
        <v>1.1112711430276614</v>
      </c>
      <c r="L323" s="28">
        <f t="shared" si="155"/>
        <v>1.538927266307892</v>
      </c>
      <c r="M323" s="28">
        <f t="shared" si="155"/>
        <v>1.9682427569849361</v>
      </c>
      <c r="N323" s="28">
        <f t="shared" si="155"/>
        <v>2.799317177102602</v>
      </c>
      <c r="O323" s="28">
        <f t="shared" si="155"/>
        <v>3.760911633944895</v>
      </c>
      <c r="P323" s="28">
        <f t="shared" si="155"/>
        <v>4.6231868523891055</v>
      </c>
      <c r="Q323" s="28">
        <f t="shared" si="155"/>
        <v>5.489198583939968</v>
      </c>
      <c r="R323" s="28">
        <f t="shared" si="155"/>
        <v>6.359171019383883</v>
      </c>
      <c r="S323" s="28">
        <f t="shared" si="155"/>
        <v>7.233341800954433</v>
      </c>
      <c r="T323" s="28">
        <f t="shared" si="155"/>
        <v>8.111962829419216</v>
      </c>
      <c r="U323" s="28">
        <f t="shared" si="155"/>
        <v>8.195301119591885</v>
      </c>
      <c r="V323" s="28">
        <f t="shared" si="155"/>
        <v>7.927859576262755</v>
      </c>
      <c r="W323" s="28">
        <f t="shared" si="155"/>
        <v>8.057978479100765</v>
      </c>
    </row>
    <row r="324" spans="1:23" s="113" customFormat="1" ht="12.75">
      <c r="A324" s="112" t="s">
        <v>95</v>
      </c>
      <c r="B324" s="28" t="s">
        <v>40</v>
      </c>
      <c r="C324" s="111"/>
      <c r="D324" s="28">
        <f>D319-D309-D315-D321-D302-D303</f>
        <v>-1.5</v>
      </c>
      <c r="E324" s="28">
        <f aca="true" t="shared" si="156" ref="E324:W324">E319-E309-E315-E321-E302-E303</f>
        <v>-7</v>
      </c>
      <c r="F324" s="28">
        <f t="shared" si="156"/>
        <v>-2.800525746286741</v>
      </c>
      <c r="G324" s="28">
        <f t="shared" si="156"/>
        <v>0.2524397550238214</v>
      </c>
      <c r="H324" s="28">
        <f t="shared" si="156"/>
        <v>0.47434599502382124</v>
      </c>
      <c r="I324" s="28">
        <f t="shared" si="156"/>
        <v>0.6975666094238212</v>
      </c>
      <c r="J324" s="28">
        <f t="shared" si="156"/>
        <v>1.1221804606878214</v>
      </c>
      <c r="K324" s="28">
        <f t="shared" si="156"/>
        <v>1.548271143027661</v>
      </c>
      <c r="L324" s="28">
        <f t="shared" si="156"/>
        <v>1.975927266307892</v>
      </c>
      <c r="M324" s="28">
        <f t="shared" si="156"/>
        <v>2.405242756984936</v>
      </c>
      <c r="N324" s="28">
        <f t="shared" si="156"/>
        <v>-11.763682822897398</v>
      </c>
      <c r="O324" s="28">
        <f t="shared" si="156"/>
        <v>4.7679116339448955</v>
      </c>
      <c r="P324" s="28">
        <f t="shared" si="156"/>
        <v>5.630186852389105</v>
      </c>
      <c r="Q324" s="28">
        <f t="shared" si="156"/>
        <v>6.496198583939968</v>
      </c>
      <c r="R324" s="28">
        <f t="shared" si="156"/>
        <v>7.366171019383883</v>
      </c>
      <c r="S324" s="28">
        <f t="shared" si="156"/>
        <v>8.240341800954432</v>
      </c>
      <c r="T324" s="28">
        <f t="shared" si="156"/>
        <v>9.118962829419216</v>
      </c>
      <c r="U324" s="28">
        <f t="shared" si="156"/>
        <v>-10.797698880408113</v>
      </c>
      <c r="V324" s="28">
        <f t="shared" si="156"/>
        <v>9.694859576262754</v>
      </c>
      <c r="W324" s="28">
        <f t="shared" si="156"/>
        <v>9.824978479100766</v>
      </c>
    </row>
    <row r="325" spans="1:23" ht="12.75">
      <c r="A325" s="57" t="s">
        <v>97</v>
      </c>
      <c r="B325" s="12" t="s">
        <v>61</v>
      </c>
      <c r="C325" s="56">
        <f>IRR(D324:W324)</f>
        <v>0.11689243557473437</v>
      </c>
      <c r="D325" s="370"/>
      <c r="E325" s="370"/>
      <c r="F325" s="370"/>
      <c r="G325" s="370"/>
      <c r="H325" s="370"/>
      <c r="I325" s="370"/>
      <c r="J325" s="370"/>
      <c r="K325" s="370"/>
      <c r="L325" s="370"/>
      <c r="M325" s="370"/>
      <c r="N325" s="370"/>
      <c r="O325" s="370"/>
      <c r="P325" s="370"/>
      <c r="Q325" s="370"/>
      <c r="R325" s="370"/>
      <c r="S325" s="370"/>
      <c r="T325" s="370"/>
      <c r="U325" s="370"/>
      <c r="V325" s="370"/>
      <c r="W325" s="370"/>
    </row>
    <row r="326" spans="1:23" ht="12.75">
      <c r="A326" s="55" t="s">
        <v>96</v>
      </c>
      <c r="B326" s="12" t="s">
        <v>40</v>
      </c>
      <c r="C326" s="58">
        <f>NPV(D308,D324:W324)</f>
        <v>19.01997038723335</v>
      </c>
      <c r="D326" s="370"/>
      <c r="E326" s="370"/>
      <c r="F326" s="370"/>
      <c r="G326" s="370"/>
      <c r="H326" s="370"/>
      <c r="I326" s="370"/>
      <c r="J326" s="370"/>
      <c r="K326" s="370"/>
      <c r="L326" s="370"/>
      <c r="M326" s="370"/>
      <c r="N326" s="370"/>
      <c r="O326" s="370"/>
      <c r="P326" s="370"/>
      <c r="Q326" s="370"/>
      <c r="R326" s="370"/>
      <c r="S326" s="370"/>
      <c r="T326" s="370"/>
      <c r="U326" s="370"/>
      <c r="V326" s="370"/>
      <c r="W326" s="370"/>
    </row>
    <row r="327" spans="1:23" ht="12.75">
      <c r="A327" s="404" t="s">
        <v>102</v>
      </c>
      <c r="B327" s="404"/>
      <c r="C327" s="404"/>
      <c r="D327" s="404"/>
      <c r="E327" s="404"/>
      <c r="F327" s="404"/>
      <c r="G327" s="404"/>
      <c r="H327" s="404"/>
      <c r="I327" s="404"/>
      <c r="J327" s="404"/>
      <c r="K327" s="404"/>
      <c r="L327" s="404"/>
      <c r="M327" s="404"/>
      <c r="N327" s="404"/>
      <c r="O327" s="404"/>
      <c r="P327" s="404"/>
      <c r="Q327" s="404"/>
      <c r="R327" s="404"/>
      <c r="S327" s="404"/>
      <c r="T327" s="404"/>
      <c r="U327" s="404"/>
      <c r="V327" s="404"/>
      <c r="W327" s="404"/>
    </row>
    <row r="328" spans="1:23" ht="13.5" thickBot="1">
      <c r="A328" s="293"/>
      <c r="B328" s="293"/>
      <c r="C328" s="293"/>
      <c r="D328" s="293"/>
      <c r="E328" s="293"/>
      <c r="F328" s="293"/>
      <c r="G328" s="293"/>
      <c r="H328" s="293"/>
      <c r="I328" s="293"/>
      <c r="J328" s="293"/>
      <c r="K328" s="293"/>
      <c r="L328" s="293"/>
      <c r="M328" s="293"/>
      <c r="N328" s="293"/>
      <c r="O328" s="293"/>
      <c r="P328" s="293"/>
      <c r="Q328" s="293"/>
      <c r="R328" s="293"/>
      <c r="S328" s="293"/>
      <c r="T328" s="293"/>
      <c r="U328" s="293"/>
      <c r="V328" s="293"/>
      <c r="W328" s="293"/>
    </row>
    <row r="329" spans="1:23" s="78" customFormat="1" ht="12.75">
      <c r="A329" s="432" t="s">
        <v>347</v>
      </c>
      <c r="B329" s="433"/>
      <c r="C329" s="156"/>
      <c r="D329" s="156"/>
      <c r="E329" s="156"/>
      <c r="F329" s="156"/>
      <c r="G329" s="156"/>
      <c r="H329" s="156"/>
      <c r="I329" s="156"/>
      <c r="J329" s="156"/>
      <c r="K329" s="156"/>
      <c r="L329" s="156"/>
      <c r="M329" s="156"/>
      <c r="N329" s="156"/>
      <c r="O329" s="156"/>
      <c r="P329" s="156"/>
      <c r="Q329" s="156"/>
      <c r="R329" s="156"/>
      <c r="S329" s="156"/>
      <c r="T329" s="156"/>
      <c r="U329" s="156"/>
      <c r="V329" s="156"/>
      <c r="W329" s="156"/>
    </row>
    <row r="330" spans="1:23" s="78" customFormat="1" ht="26.25" thickBot="1">
      <c r="A330" s="295" t="s">
        <v>343</v>
      </c>
      <c r="B330" s="294">
        <f>'ERR &amp; Sensitivity Analysis'!G9</f>
        <v>1</v>
      </c>
      <c r="C330" s="156"/>
      <c r="D330" s="156"/>
      <c r="E330" s="156"/>
      <c r="F330" s="156"/>
      <c r="G330" s="156"/>
      <c r="H330" s="156"/>
      <c r="I330" s="156"/>
      <c r="J330" s="156"/>
      <c r="K330" s="156"/>
      <c r="L330" s="156"/>
      <c r="M330" s="156"/>
      <c r="N330" s="156"/>
      <c r="O330" s="156"/>
      <c r="P330" s="156"/>
      <c r="Q330" s="156"/>
      <c r="R330" s="156"/>
      <c r="S330" s="156"/>
      <c r="T330" s="156"/>
      <c r="U330" s="156"/>
      <c r="V330" s="156"/>
      <c r="W330" s="156"/>
    </row>
    <row r="331" ht="12.75"/>
    <row r="332" spans="1:23" ht="13.5" thickBot="1">
      <c r="A332" s="405" t="s">
        <v>111</v>
      </c>
      <c r="B332" s="405"/>
      <c r="C332" s="405"/>
      <c r="D332" s="405"/>
      <c r="E332" s="405"/>
      <c r="F332" s="405"/>
      <c r="G332" s="405"/>
      <c r="H332" s="405"/>
      <c r="I332" s="405"/>
      <c r="J332" s="405"/>
      <c r="K332" s="405"/>
      <c r="L332" s="405"/>
      <c r="M332" s="405"/>
      <c r="N332" s="405"/>
      <c r="O332" s="405"/>
      <c r="P332" s="405"/>
      <c r="Q332" s="405"/>
      <c r="R332" s="405"/>
      <c r="S332" s="405"/>
      <c r="T332" s="405"/>
      <c r="U332" s="405"/>
      <c r="V332" s="405"/>
      <c r="W332" s="405"/>
    </row>
    <row r="333" spans="1:23" ht="12.75">
      <c r="A333" s="91"/>
      <c r="B333" s="19" t="s">
        <v>203</v>
      </c>
      <c r="C333" s="19">
        <v>2007</v>
      </c>
      <c r="D333" s="19">
        <f>C333+1</f>
        <v>2008</v>
      </c>
      <c r="E333" s="19">
        <f aca="true" t="shared" si="157" ref="E333:S333">D333+1</f>
        <v>2009</v>
      </c>
      <c r="F333" s="19">
        <f t="shared" si="157"/>
        <v>2010</v>
      </c>
      <c r="G333" s="19">
        <f t="shared" si="157"/>
        <v>2011</v>
      </c>
      <c r="H333" s="19">
        <f t="shared" si="157"/>
        <v>2012</v>
      </c>
      <c r="I333" s="19">
        <f t="shared" si="157"/>
        <v>2013</v>
      </c>
      <c r="J333" s="19">
        <f t="shared" si="157"/>
        <v>2014</v>
      </c>
      <c r="K333" s="19">
        <f t="shared" si="157"/>
        <v>2015</v>
      </c>
      <c r="L333" s="19">
        <f t="shared" si="157"/>
        <v>2016</v>
      </c>
      <c r="M333" s="19">
        <f t="shared" si="157"/>
        <v>2017</v>
      </c>
      <c r="N333" s="19">
        <f t="shared" si="157"/>
        <v>2018</v>
      </c>
      <c r="O333" s="19">
        <f t="shared" si="157"/>
        <v>2019</v>
      </c>
      <c r="P333" s="19">
        <f t="shared" si="157"/>
        <v>2020</v>
      </c>
      <c r="Q333" s="19">
        <f t="shared" si="157"/>
        <v>2021</v>
      </c>
      <c r="R333" s="19">
        <f t="shared" si="157"/>
        <v>2022</v>
      </c>
      <c r="S333" s="19">
        <f t="shared" si="157"/>
        <v>2023</v>
      </c>
      <c r="T333" s="19">
        <f>S333+1</f>
        <v>2024</v>
      </c>
      <c r="U333" s="19">
        <f>T333+1</f>
        <v>2025</v>
      </c>
      <c r="V333" s="19">
        <f>U333+1</f>
        <v>2026</v>
      </c>
      <c r="W333" s="20">
        <f>V333+1</f>
        <v>2027</v>
      </c>
    </row>
    <row r="334" spans="1:23" ht="12.75">
      <c r="A334" s="406" t="s">
        <v>164</v>
      </c>
      <c r="B334" s="368"/>
      <c r="C334" s="368"/>
      <c r="D334" s="368"/>
      <c r="E334" s="368"/>
      <c r="F334" s="368"/>
      <c r="G334" s="368"/>
      <c r="H334" s="368"/>
      <c r="I334" s="368"/>
      <c r="J334" s="368"/>
      <c r="K334" s="368"/>
      <c r="L334" s="368"/>
      <c r="M334" s="368"/>
      <c r="N334" s="368"/>
      <c r="O334" s="368"/>
      <c r="P334" s="368"/>
      <c r="Q334" s="368"/>
      <c r="R334" s="368"/>
      <c r="S334" s="368"/>
      <c r="T334" s="368"/>
      <c r="U334" s="368"/>
      <c r="V334" s="368"/>
      <c r="W334" s="407"/>
    </row>
    <row r="335" spans="1:23" s="1" customFormat="1" ht="25.5">
      <c r="A335" s="118" t="s">
        <v>112</v>
      </c>
      <c r="B335" s="138">
        <f>SUM(C335:W335)</f>
        <v>210202.34600000002</v>
      </c>
      <c r="C335" s="138">
        <v>0</v>
      </c>
      <c r="D335" s="138">
        <f>D336+D339+D342</f>
        <v>16563.81877116451</v>
      </c>
      <c r="E335" s="138">
        <f>E336+E339+E342</f>
        <v>22518.544113123848</v>
      </c>
      <c r="F335" s="138">
        <f>F336+F339+F342</f>
        <v>89379.98311571164</v>
      </c>
      <c r="G335" s="138">
        <f>G336+G339+G342</f>
        <v>78490</v>
      </c>
      <c r="H335" s="138">
        <f>H336+H339+H342</f>
        <v>3250</v>
      </c>
      <c r="I335" s="148"/>
      <c r="J335" s="148"/>
      <c r="K335" s="148"/>
      <c r="L335" s="148"/>
      <c r="M335" s="148"/>
      <c r="N335" s="148"/>
      <c r="O335" s="148"/>
      <c r="P335" s="148"/>
      <c r="Q335" s="148"/>
      <c r="R335" s="148"/>
      <c r="S335" s="148"/>
      <c r="T335" s="148"/>
      <c r="U335" s="148"/>
      <c r="V335" s="148"/>
      <c r="W335" s="149"/>
    </row>
    <row r="336" spans="1:23" ht="12.75">
      <c r="A336" s="118" t="s">
        <v>200</v>
      </c>
      <c r="B336" s="138">
        <f>SUM(C336:W336)</f>
        <v>2</v>
      </c>
      <c r="C336" s="150"/>
      <c r="D336" s="138">
        <f>D337+D338</f>
        <v>2</v>
      </c>
      <c r="E336" s="138">
        <f>E337+E338</f>
        <v>0</v>
      </c>
      <c r="F336" s="138">
        <f>F337+F338</f>
        <v>0</v>
      </c>
      <c r="G336" s="138">
        <f>G337+G338</f>
        <v>0</v>
      </c>
      <c r="H336" s="138">
        <f>H337+H338</f>
        <v>0</v>
      </c>
      <c r="I336" s="150"/>
      <c r="J336" s="150"/>
      <c r="K336" s="150"/>
      <c r="L336" s="150"/>
      <c r="M336" s="150"/>
      <c r="N336" s="150"/>
      <c r="O336" s="150"/>
      <c r="P336" s="150"/>
      <c r="Q336" s="150"/>
      <c r="R336" s="150"/>
      <c r="S336" s="150"/>
      <c r="T336" s="150"/>
      <c r="U336" s="150"/>
      <c r="V336" s="150"/>
      <c r="W336" s="151"/>
    </row>
    <row r="337" spans="1:23" ht="12.75">
      <c r="A337" s="120" t="s">
        <v>113</v>
      </c>
      <c r="B337" s="150"/>
      <c r="C337" s="104" t="s">
        <v>35</v>
      </c>
      <c r="D337" s="104">
        <v>1</v>
      </c>
      <c r="E337" s="104"/>
      <c r="F337" s="104"/>
      <c r="G337" s="104"/>
      <c r="H337" s="104"/>
      <c r="I337" s="104"/>
      <c r="J337" s="104"/>
      <c r="K337" s="104"/>
      <c r="L337" s="104"/>
      <c r="M337" s="104"/>
      <c r="N337" s="104"/>
      <c r="O337" s="104"/>
      <c r="P337" s="104"/>
      <c r="Q337" s="104"/>
      <c r="R337" s="104"/>
      <c r="S337" s="104"/>
      <c r="T337" s="104"/>
      <c r="U337" s="104"/>
      <c r="V337" s="104"/>
      <c r="W337" s="139"/>
    </row>
    <row r="338" spans="1:23" ht="12.75">
      <c r="A338" s="121" t="s">
        <v>114</v>
      </c>
      <c r="B338" s="150"/>
      <c r="C338" s="104"/>
      <c r="D338" s="104">
        <v>1</v>
      </c>
      <c r="E338" s="104"/>
      <c r="F338" s="104"/>
      <c r="G338" s="104"/>
      <c r="H338" s="104"/>
      <c r="I338" s="104"/>
      <c r="J338" s="104"/>
      <c r="K338" s="104"/>
      <c r="L338" s="104"/>
      <c r="M338" s="104"/>
      <c r="N338" s="104"/>
      <c r="O338" s="104"/>
      <c r="P338" s="104"/>
      <c r="Q338" s="104"/>
      <c r="R338" s="104"/>
      <c r="S338" s="104"/>
      <c r="T338" s="104"/>
      <c r="U338" s="104"/>
      <c r="V338" s="104"/>
      <c r="W338" s="139"/>
    </row>
    <row r="339" spans="1:23" ht="25.5">
      <c r="A339" s="122" t="s">
        <v>202</v>
      </c>
      <c r="B339" s="138">
        <f>SUM(C339:W339)</f>
        <v>775</v>
      </c>
      <c r="C339" s="104"/>
      <c r="D339" s="138">
        <f>D340+D341</f>
        <v>110.65157116451016</v>
      </c>
      <c r="E339" s="138">
        <f>E340+E341</f>
        <v>316.8669131238447</v>
      </c>
      <c r="F339" s="138">
        <f>F340+F341</f>
        <v>247.4815157116451</v>
      </c>
      <c r="G339" s="138">
        <f>G340+G341</f>
        <v>50</v>
      </c>
      <c r="H339" s="138">
        <f>H340+H341</f>
        <v>50</v>
      </c>
      <c r="I339" s="104" t="s">
        <v>35</v>
      </c>
      <c r="J339" s="104"/>
      <c r="K339" s="104"/>
      <c r="L339" s="104"/>
      <c r="M339" s="104"/>
      <c r="N339" s="104"/>
      <c r="O339" s="104"/>
      <c r="P339" s="104"/>
      <c r="Q339" s="104"/>
      <c r="R339" s="104"/>
      <c r="S339" s="104"/>
      <c r="T339" s="104"/>
      <c r="U339" s="104"/>
      <c r="V339" s="104"/>
      <c r="W339" s="139"/>
    </row>
    <row r="340" spans="1:23" ht="25.5">
      <c r="A340" s="121" t="s">
        <v>115</v>
      </c>
      <c r="B340" s="150" t="s">
        <v>314</v>
      </c>
      <c r="C340" s="104">
        <v>525</v>
      </c>
      <c r="D340" s="104">
        <v>60.651571164510166</v>
      </c>
      <c r="E340" s="104">
        <v>266.8669131238447</v>
      </c>
      <c r="F340" s="104">
        <v>197.4815157116451</v>
      </c>
      <c r="G340" s="104">
        <v>0</v>
      </c>
      <c r="H340" s="104">
        <v>0</v>
      </c>
      <c r="I340" s="104" t="s">
        <v>35</v>
      </c>
      <c r="J340" s="104"/>
      <c r="K340" s="104"/>
      <c r="L340" s="104"/>
      <c r="M340" s="104"/>
      <c r="N340" s="104"/>
      <c r="O340" s="104"/>
      <c r="P340" s="104"/>
      <c r="Q340" s="104"/>
      <c r="R340" s="104"/>
      <c r="S340" s="104"/>
      <c r="T340" s="104"/>
      <c r="U340" s="104"/>
      <c r="V340" s="104"/>
      <c r="W340" s="139"/>
    </row>
    <row r="341" spans="1:23" ht="12.75">
      <c r="A341" s="121" t="s">
        <v>116</v>
      </c>
      <c r="B341" s="150"/>
      <c r="C341" s="104"/>
      <c r="D341" s="104">
        <v>50</v>
      </c>
      <c r="E341" s="104">
        <v>50</v>
      </c>
      <c r="F341" s="104">
        <v>50</v>
      </c>
      <c r="G341" s="104">
        <v>50</v>
      </c>
      <c r="H341" s="104">
        <v>50</v>
      </c>
      <c r="I341" s="104"/>
      <c r="J341" s="104"/>
      <c r="K341" s="104"/>
      <c r="L341" s="104"/>
      <c r="M341" s="104"/>
      <c r="N341" s="104"/>
      <c r="O341" s="104"/>
      <c r="P341" s="104"/>
      <c r="Q341" s="104"/>
      <c r="R341" s="104"/>
      <c r="S341" s="104"/>
      <c r="T341" s="104"/>
      <c r="U341" s="104"/>
      <c r="V341" s="104"/>
      <c r="W341" s="139"/>
    </row>
    <row r="342" spans="1:23" s="1" customFormat="1" ht="25.5">
      <c r="A342" s="123" t="s">
        <v>117</v>
      </c>
      <c r="B342" s="138">
        <f>SUM(C342:W342)</f>
        <v>209425.34600000002</v>
      </c>
      <c r="C342" s="138"/>
      <c r="D342" s="138">
        <f>D161*1000+D196*1000+D226*1000+(D251*1000-900)+D274/2*1000+D303*1000+(2258)*(0.2+0.2*0.805+0.2*0.941+0.4*0.898)</f>
        <v>16451.1672</v>
      </c>
      <c r="E342" s="138">
        <f>E161*1000+E196*1000+E226*1000+(E251*1000-960)+E274/2*1000+E303*1000+(6783)*(0.2+0.2*0.805+0.2*0.941+0.4*0.898)</f>
        <v>22201.677200000002</v>
      </c>
      <c r="F342" s="138">
        <f>F161*1000+F196*1000+F226*1000+(F251*1000-0)+F274/2*1000+F303*1000+(4274)*(0.2+0.2*0.805+0.2*0.941+0.4*0.898)</f>
        <v>89132.5016</v>
      </c>
      <c r="G342" s="138">
        <f>G161*1000+G196*1000+G226*1000+(G251*1000-0)+G274/2*1000+G303*1000+(0)*(0.2+0.2*0.805+0.2*0.941+0.4*0.898)</f>
        <v>78440</v>
      </c>
      <c r="H342" s="138">
        <v>3200</v>
      </c>
      <c r="I342" s="138"/>
      <c r="J342" s="138"/>
      <c r="K342" s="138"/>
      <c r="L342" s="138"/>
      <c r="M342" s="138"/>
      <c r="N342" s="138"/>
      <c r="O342" s="138"/>
      <c r="P342" s="138"/>
      <c r="Q342" s="138"/>
      <c r="R342" s="138"/>
      <c r="S342" s="138"/>
      <c r="T342" s="138"/>
      <c r="U342" s="138"/>
      <c r="V342" s="138"/>
      <c r="W342" s="140"/>
    </row>
    <row r="343" spans="1:23" s="1" customFormat="1" ht="25.5">
      <c r="A343" s="118" t="s">
        <v>156</v>
      </c>
      <c r="B343" s="138">
        <f>SUM(C343:W343)</f>
        <v>604154.4984000002</v>
      </c>
      <c r="C343" s="138">
        <v>0</v>
      </c>
      <c r="D343" s="138">
        <f>SUM(D344:D349)</f>
        <v>12853.859999999999</v>
      </c>
      <c r="E343" s="138">
        <f>SUM(E344:E349)</f>
        <v>26525.28</v>
      </c>
      <c r="F343" s="138">
        <f aca="true" t="shared" si="158" ref="F343:W343">SUM(F344:F349)</f>
        <v>42858.312</v>
      </c>
      <c r="G343" s="138">
        <f t="shared" si="158"/>
        <v>41441.208</v>
      </c>
      <c r="H343" s="138">
        <f t="shared" si="158"/>
        <v>40502.436</v>
      </c>
      <c r="I343" s="138">
        <f t="shared" si="158"/>
        <v>33819.26693333333</v>
      </c>
      <c r="J343" s="138">
        <f t="shared" si="158"/>
        <v>33819.26693333333</v>
      </c>
      <c r="K343" s="138">
        <f t="shared" si="158"/>
        <v>52419.26693333333</v>
      </c>
      <c r="L343" s="138">
        <f t="shared" si="158"/>
        <v>45819.26693333333</v>
      </c>
      <c r="M343" s="138">
        <f t="shared" si="158"/>
        <v>59019.26693333333</v>
      </c>
      <c r="N343" s="138">
        <f t="shared" si="158"/>
        <v>63819.26693333333</v>
      </c>
      <c r="O343" s="138">
        <f t="shared" si="158"/>
        <v>33819.26693333333</v>
      </c>
      <c r="P343" s="138">
        <f t="shared" si="158"/>
        <v>63619.26693333333</v>
      </c>
      <c r="Q343" s="138">
        <f t="shared" si="158"/>
        <v>33819.26693333333</v>
      </c>
      <c r="R343" s="138">
        <f t="shared" si="158"/>
        <v>0</v>
      </c>
      <c r="S343" s="138">
        <f t="shared" si="158"/>
        <v>0</v>
      </c>
      <c r="T343" s="138">
        <f t="shared" si="158"/>
        <v>0</v>
      </c>
      <c r="U343" s="138">
        <f t="shared" si="158"/>
        <v>20000</v>
      </c>
      <c r="V343" s="138">
        <f t="shared" si="158"/>
        <v>0</v>
      </c>
      <c r="W343" s="140">
        <f t="shared" si="158"/>
        <v>0</v>
      </c>
    </row>
    <row r="344" spans="1:23" ht="12.75">
      <c r="A344" s="124" t="s">
        <v>157</v>
      </c>
      <c r="B344" s="104"/>
      <c r="C344" s="104"/>
      <c r="D344" s="104">
        <v>10900.8</v>
      </c>
      <c r="E344" s="104">
        <v>18349.68</v>
      </c>
      <c r="F344" s="104">
        <v>28796.28</v>
      </c>
      <c r="G344" s="104">
        <v>28796.28</v>
      </c>
      <c r="H344" s="104">
        <v>20075.64</v>
      </c>
      <c r="I344" s="104">
        <v>12467.285333333335</v>
      </c>
      <c r="J344" s="104">
        <v>12467.285333333335</v>
      </c>
      <c r="K344" s="104">
        <v>12467.285333333335</v>
      </c>
      <c r="L344" s="104">
        <v>12467.285333333335</v>
      </c>
      <c r="M344" s="104">
        <v>12467.285333333335</v>
      </c>
      <c r="N344" s="104">
        <v>12467.285333333335</v>
      </c>
      <c r="O344" s="104">
        <v>12467.285333333335</v>
      </c>
      <c r="P344" s="104">
        <v>12467.285333333335</v>
      </c>
      <c r="Q344" s="104">
        <v>12467.285333333335</v>
      </c>
      <c r="R344" s="104">
        <v>0</v>
      </c>
      <c r="S344" s="104">
        <v>0</v>
      </c>
      <c r="T344" s="104">
        <v>0</v>
      </c>
      <c r="U344" s="104">
        <v>0</v>
      </c>
      <c r="V344" s="104">
        <v>0</v>
      </c>
      <c r="W344" s="139">
        <v>0</v>
      </c>
    </row>
    <row r="345" spans="1:23" ht="12.75">
      <c r="A345" s="124" t="s">
        <v>158</v>
      </c>
      <c r="B345" s="104"/>
      <c r="C345" s="104"/>
      <c r="D345" s="104">
        <v>1953.06</v>
      </c>
      <c r="E345" s="104">
        <v>8175.6</v>
      </c>
      <c r="F345" s="104">
        <v>14062.032000000001</v>
      </c>
      <c r="G345" s="104">
        <v>12644.928000000002</v>
      </c>
      <c r="H345" s="104">
        <v>626.796</v>
      </c>
      <c r="I345" s="104">
        <v>8151.981600000001</v>
      </c>
      <c r="J345" s="104">
        <v>8151.981600000001</v>
      </c>
      <c r="K345" s="104">
        <v>8151.981600000001</v>
      </c>
      <c r="L345" s="104">
        <v>8151.981600000001</v>
      </c>
      <c r="M345" s="104">
        <v>8151.981600000001</v>
      </c>
      <c r="N345" s="104">
        <v>8151.981600000001</v>
      </c>
      <c r="O345" s="104">
        <v>8151.981600000001</v>
      </c>
      <c r="P345" s="104">
        <v>8151.981600000001</v>
      </c>
      <c r="Q345" s="104">
        <v>8151.981600000001</v>
      </c>
      <c r="R345" s="104">
        <v>0</v>
      </c>
      <c r="S345" s="104">
        <v>0</v>
      </c>
      <c r="T345" s="104">
        <v>0</v>
      </c>
      <c r="U345" s="104">
        <v>0</v>
      </c>
      <c r="V345" s="104">
        <v>0</v>
      </c>
      <c r="W345" s="139">
        <v>0</v>
      </c>
    </row>
    <row r="346" spans="1:23" ht="12.75">
      <c r="A346" s="124" t="s">
        <v>359</v>
      </c>
      <c r="B346" s="104"/>
      <c r="C346" s="104"/>
      <c r="D346" s="104"/>
      <c r="E346" s="104"/>
      <c r="F346" s="104"/>
      <c r="G346" s="104"/>
      <c r="H346" s="104">
        <f>H161*1000-3200</f>
        <v>19800</v>
      </c>
      <c r="I346" s="104">
        <f aca="true" t="shared" si="159" ref="I346:W346">I161*1000</f>
        <v>13200</v>
      </c>
      <c r="J346" s="104">
        <f t="shared" si="159"/>
        <v>13200</v>
      </c>
      <c r="K346" s="104">
        <f t="shared" si="159"/>
        <v>19800</v>
      </c>
      <c r="L346" s="104">
        <f t="shared" si="159"/>
        <v>13200</v>
      </c>
      <c r="M346" s="104">
        <f t="shared" si="159"/>
        <v>26400</v>
      </c>
      <c r="N346" s="104">
        <f t="shared" si="159"/>
        <v>13200</v>
      </c>
      <c r="O346" s="104">
        <f t="shared" si="159"/>
        <v>13200</v>
      </c>
      <c r="P346" s="104">
        <f t="shared" si="159"/>
        <v>33000</v>
      </c>
      <c r="Q346" s="104">
        <f t="shared" si="159"/>
        <v>13200</v>
      </c>
      <c r="R346" s="104">
        <f t="shared" si="159"/>
        <v>0</v>
      </c>
      <c r="S346" s="104">
        <f t="shared" si="159"/>
        <v>0</v>
      </c>
      <c r="T346" s="104">
        <f t="shared" si="159"/>
        <v>0</v>
      </c>
      <c r="U346" s="104">
        <f t="shared" si="159"/>
        <v>0</v>
      </c>
      <c r="V346" s="104">
        <f t="shared" si="159"/>
        <v>0</v>
      </c>
      <c r="W346" s="104">
        <f t="shared" si="159"/>
        <v>0</v>
      </c>
    </row>
    <row r="347" spans="1:23" ht="12.75">
      <c r="A347" s="124" t="s">
        <v>159</v>
      </c>
      <c r="B347" s="104"/>
      <c r="C347" s="104"/>
      <c r="D347" s="104"/>
      <c r="E347" s="104"/>
      <c r="F347" s="104"/>
      <c r="G347" s="104"/>
      <c r="H347" s="104"/>
      <c r="I347" s="104">
        <f aca="true" t="shared" si="160" ref="I347:W347">I196*1000</f>
        <v>0</v>
      </c>
      <c r="J347" s="104">
        <f t="shared" si="160"/>
        <v>0</v>
      </c>
      <c r="K347" s="104">
        <f t="shared" si="160"/>
        <v>12000</v>
      </c>
      <c r="L347" s="104">
        <f t="shared" si="160"/>
        <v>12000</v>
      </c>
      <c r="M347" s="104">
        <f t="shared" si="160"/>
        <v>12000</v>
      </c>
      <c r="N347" s="104">
        <f t="shared" si="160"/>
        <v>15000</v>
      </c>
      <c r="O347" s="104">
        <f t="shared" si="160"/>
        <v>0</v>
      </c>
      <c r="P347" s="104">
        <f t="shared" si="160"/>
        <v>0</v>
      </c>
      <c r="Q347" s="104">
        <f t="shared" si="160"/>
        <v>0</v>
      </c>
      <c r="R347" s="104">
        <f t="shared" si="160"/>
        <v>0</v>
      </c>
      <c r="S347" s="104">
        <f t="shared" si="160"/>
        <v>0</v>
      </c>
      <c r="T347" s="104">
        <f t="shared" si="160"/>
        <v>0</v>
      </c>
      <c r="U347" s="104">
        <f t="shared" si="160"/>
        <v>0</v>
      </c>
      <c r="V347" s="104">
        <f t="shared" si="160"/>
        <v>0</v>
      </c>
      <c r="W347" s="139">
        <f t="shared" si="160"/>
        <v>0</v>
      </c>
    </row>
    <row r="348" spans="1:23" ht="12.75">
      <c r="A348" s="124" t="s">
        <v>160</v>
      </c>
      <c r="B348" s="104"/>
      <c r="C348" s="104"/>
      <c r="D348" s="104"/>
      <c r="E348" s="104"/>
      <c r="F348" s="104"/>
      <c r="G348" s="104"/>
      <c r="H348" s="104"/>
      <c r="I348" s="104">
        <f>I274*1000</f>
        <v>0</v>
      </c>
      <c r="J348" s="104">
        <f>J274*1000</f>
        <v>0</v>
      </c>
      <c r="K348" s="104">
        <f aca="true" t="shared" si="161" ref="K348:W348">K274*1000</f>
        <v>0</v>
      </c>
      <c r="L348" s="104">
        <f t="shared" si="161"/>
        <v>0</v>
      </c>
      <c r="M348" s="104">
        <f t="shared" si="161"/>
        <v>0</v>
      </c>
      <c r="N348" s="104">
        <f t="shared" si="161"/>
        <v>0</v>
      </c>
      <c r="O348" s="104">
        <f t="shared" si="161"/>
        <v>0</v>
      </c>
      <c r="P348" s="104">
        <f t="shared" si="161"/>
        <v>10000</v>
      </c>
      <c r="Q348" s="104">
        <f t="shared" si="161"/>
        <v>0</v>
      </c>
      <c r="R348" s="104">
        <f t="shared" si="161"/>
        <v>0</v>
      </c>
      <c r="S348" s="104">
        <f>S274*1000</f>
        <v>0</v>
      </c>
      <c r="T348" s="104">
        <f t="shared" si="161"/>
        <v>0</v>
      </c>
      <c r="U348" s="104">
        <f t="shared" si="161"/>
        <v>0</v>
      </c>
      <c r="V348" s="104">
        <f t="shared" si="161"/>
        <v>0</v>
      </c>
      <c r="W348" s="139">
        <f t="shared" si="161"/>
        <v>0</v>
      </c>
    </row>
    <row r="349" spans="1:23" ht="12.75">
      <c r="A349" s="124" t="s">
        <v>161</v>
      </c>
      <c r="B349" s="104"/>
      <c r="C349" s="104"/>
      <c r="D349" s="104"/>
      <c r="E349" s="104"/>
      <c r="F349" s="104"/>
      <c r="G349" s="104"/>
      <c r="H349" s="104"/>
      <c r="I349" s="104">
        <f>(I302+I303)*1000</f>
        <v>0</v>
      </c>
      <c r="J349" s="104">
        <f aca="true" t="shared" si="162" ref="J349:W349">(J302+J303)*1000</f>
        <v>0</v>
      </c>
      <c r="K349" s="104">
        <f t="shared" si="162"/>
        <v>0</v>
      </c>
      <c r="L349" s="104">
        <f t="shared" si="162"/>
        <v>0</v>
      </c>
      <c r="M349" s="104">
        <f t="shared" si="162"/>
        <v>0</v>
      </c>
      <c r="N349" s="104">
        <f t="shared" si="162"/>
        <v>15000</v>
      </c>
      <c r="O349" s="104">
        <f t="shared" si="162"/>
        <v>0</v>
      </c>
      <c r="P349" s="104">
        <f t="shared" si="162"/>
        <v>0</v>
      </c>
      <c r="Q349" s="104">
        <f t="shared" si="162"/>
        <v>0</v>
      </c>
      <c r="R349" s="104">
        <f t="shared" si="162"/>
        <v>0</v>
      </c>
      <c r="S349" s="104">
        <f t="shared" si="162"/>
        <v>0</v>
      </c>
      <c r="T349" s="104">
        <f t="shared" si="162"/>
        <v>0</v>
      </c>
      <c r="U349" s="104">
        <f t="shared" si="162"/>
        <v>20000</v>
      </c>
      <c r="V349" s="104">
        <f t="shared" si="162"/>
        <v>0</v>
      </c>
      <c r="W349" s="139">
        <f t="shared" si="162"/>
        <v>0</v>
      </c>
    </row>
    <row r="350" spans="1:23" s="1" customFormat="1" ht="12.75">
      <c r="A350" s="118" t="s">
        <v>162</v>
      </c>
      <c r="B350" s="138">
        <f>SUM(C350:W350)</f>
        <v>1733831.9109730164</v>
      </c>
      <c r="C350" s="138">
        <v>0</v>
      </c>
      <c r="D350" s="138">
        <f>D351+D354</f>
        <v>0</v>
      </c>
      <c r="E350" s="138">
        <f>E351+E354</f>
        <v>258.1063907478652</v>
      </c>
      <c r="F350" s="138">
        <f aca="true" t="shared" si="163" ref="F350:W350">F351+F354</f>
        <v>3801.058844924045</v>
      </c>
      <c r="G350" s="138">
        <f t="shared" si="163"/>
        <v>26235.073563464342</v>
      </c>
      <c r="H350" s="138">
        <f t="shared" si="163"/>
        <v>47007.11076787718</v>
      </c>
      <c r="I350" s="138">
        <f t="shared" si="163"/>
        <v>60807.289787324466</v>
      </c>
      <c r="J350" s="138">
        <f t="shared" si="163"/>
        <v>66525.08108073976</v>
      </c>
      <c r="K350" s="138">
        <f t="shared" si="163"/>
        <v>75334.6320656542</v>
      </c>
      <c r="L350" s="138">
        <f t="shared" si="163"/>
        <v>82714.08799880809</v>
      </c>
      <c r="M350" s="138">
        <f t="shared" si="163"/>
        <v>95246.9027417182</v>
      </c>
      <c r="N350" s="138">
        <f t="shared" si="163"/>
        <v>103437.97646561748</v>
      </c>
      <c r="O350" s="138">
        <f t="shared" si="163"/>
        <v>111748.71868210133</v>
      </c>
      <c r="P350" s="138">
        <f t="shared" si="163"/>
        <v>125400.722470577</v>
      </c>
      <c r="Q350" s="138">
        <f t="shared" si="163"/>
        <v>133497.32941514417</v>
      </c>
      <c r="R350" s="138">
        <f t="shared" si="163"/>
        <v>133460.47813703454</v>
      </c>
      <c r="S350" s="138">
        <f t="shared" si="163"/>
        <v>133357.1204666317</v>
      </c>
      <c r="T350" s="138">
        <f t="shared" si="163"/>
        <v>133222.81558695674</v>
      </c>
      <c r="U350" s="138">
        <f t="shared" si="163"/>
        <v>132854.6214339591</v>
      </c>
      <c r="V350" s="138">
        <f t="shared" si="163"/>
        <v>134396.66642196834</v>
      </c>
      <c r="W350" s="140">
        <f t="shared" si="163"/>
        <v>134526.1186517682</v>
      </c>
    </row>
    <row r="351" spans="1:23" s="1" customFormat="1" ht="12.75">
      <c r="A351" s="124" t="s">
        <v>320</v>
      </c>
      <c r="B351" s="138"/>
      <c r="C351" s="138"/>
      <c r="D351" s="104">
        <f>D352+D353</f>
        <v>0</v>
      </c>
      <c r="E351" s="104">
        <f aca="true" t="shared" si="164" ref="E351:W351">E352+E353</f>
        <v>13.106390747865195</v>
      </c>
      <c r="F351" s="104">
        <f t="shared" si="164"/>
        <v>292.36278149573036</v>
      </c>
      <c r="G351" s="104">
        <f t="shared" si="164"/>
        <v>838.4520747773489</v>
      </c>
      <c r="H351" s="104">
        <f t="shared" si="164"/>
        <v>1052.5231236591471</v>
      </c>
      <c r="I351" s="104">
        <f t="shared" si="164"/>
        <v>1110.1912429497538</v>
      </c>
      <c r="J351" s="104">
        <f t="shared" si="164"/>
        <v>1214.4158617686192</v>
      </c>
      <c r="K351" s="104">
        <f t="shared" si="164"/>
        <v>1680.0098229255636</v>
      </c>
      <c r="L351" s="104">
        <f t="shared" si="164"/>
        <v>3039.541903179018</v>
      </c>
      <c r="M351" s="104">
        <f t="shared" si="164"/>
        <v>4094.418844005332</v>
      </c>
      <c r="N351" s="104">
        <f t="shared" si="164"/>
        <v>6158.526333621808</v>
      </c>
      <c r="O351" s="104">
        <f t="shared" si="164"/>
        <v>6924.224577525403</v>
      </c>
      <c r="P351" s="104">
        <f t="shared" si="164"/>
        <v>6652.749614184646</v>
      </c>
      <c r="Q351" s="104">
        <f t="shared" si="164"/>
        <v>8346.286525396015</v>
      </c>
      <c r="R351" s="104">
        <f t="shared" si="164"/>
        <v>8016.481595216453</v>
      </c>
      <c r="S351" s="104">
        <f t="shared" si="164"/>
        <v>7615.232893619463</v>
      </c>
      <c r="T351" s="104">
        <f t="shared" si="164"/>
        <v>7177.871808878745</v>
      </c>
      <c r="U351" s="104">
        <f t="shared" si="164"/>
        <v>6701.14822651136</v>
      </c>
      <c r="V351" s="104">
        <f t="shared" si="164"/>
        <v>6508.377136116742</v>
      </c>
      <c r="W351" s="139">
        <f t="shared" si="164"/>
        <v>6508.377136116742</v>
      </c>
    </row>
    <row r="352" spans="1:23" s="1" customFormat="1" ht="12.75">
      <c r="A352" s="120" t="s">
        <v>214</v>
      </c>
      <c r="B352" s="138"/>
      <c r="C352" s="138"/>
      <c r="D352" s="104">
        <f>D388*1000</f>
        <v>0</v>
      </c>
      <c r="E352" s="104">
        <f aca="true" t="shared" si="165" ref="E352:N353">E388*1000</f>
        <v>13.106390747865195</v>
      </c>
      <c r="F352" s="104">
        <f t="shared" si="165"/>
        <v>292.36278149573036</v>
      </c>
      <c r="G352" s="104">
        <f t="shared" si="165"/>
        <v>838.4520747773489</v>
      </c>
      <c r="H352" s="104">
        <f t="shared" si="165"/>
        <v>1052.5231236591471</v>
      </c>
      <c r="I352" s="104">
        <f t="shared" si="165"/>
        <v>1110.1912429497538</v>
      </c>
      <c r="J352" s="104">
        <f t="shared" si="165"/>
        <v>1148.6366558101586</v>
      </c>
      <c r="K352" s="104">
        <f t="shared" si="165"/>
        <v>1189.7421608206341</v>
      </c>
      <c r="L352" s="104">
        <f t="shared" si="165"/>
        <v>1317.4632093912778</v>
      </c>
      <c r="M352" s="104">
        <f t="shared" si="165"/>
        <v>1416.69924419306</v>
      </c>
      <c r="N352" s="104">
        <f t="shared" si="165"/>
        <v>1575.708418339693</v>
      </c>
      <c r="O352" s="104">
        <f>O388*1000</f>
        <v>1709.180362254126</v>
      </c>
      <c r="P352" s="104">
        <f aca="true" t="shared" si="166" ref="P352:W353">P388*1000</f>
        <v>1747.5430176825148</v>
      </c>
      <c r="Q352" s="104">
        <f t="shared" si="166"/>
        <v>2373.450683323459</v>
      </c>
      <c r="R352" s="104">
        <f t="shared" si="166"/>
        <v>2411.76382800352</v>
      </c>
      <c r="S352" s="104">
        <f t="shared" si="166"/>
        <v>2411.76382800352</v>
      </c>
      <c r="T352" s="104">
        <f t="shared" si="166"/>
        <v>2411.76382800352</v>
      </c>
      <c r="U352" s="104">
        <f t="shared" si="166"/>
        <v>2411.76382800352</v>
      </c>
      <c r="V352" s="104">
        <f t="shared" si="166"/>
        <v>2449.76382800352</v>
      </c>
      <c r="W352" s="139">
        <f t="shared" si="166"/>
        <v>2449.76382800352</v>
      </c>
    </row>
    <row r="353" spans="1:23" s="1" customFormat="1" ht="12.75">
      <c r="A353" s="120" t="s">
        <v>215</v>
      </c>
      <c r="B353" s="138"/>
      <c r="C353" s="138"/>
      <c r="D353" s="104">
        <f>D389*1000</f>
        <v>0</v>
      </c>
      <c r="E353" s="104">
        <f t="shared" si="165"/>
        <v>0</v>
      </c>
      <c r="F353" s="104">
        <f t="shared" si="165"/>
        <v>0</v>
      </c>
      <c r="G353" s="104">
        <f t="shared" si="165"/>
        <v>0</v>
      </c>
      <c r="H353" s="104">
        <f t="shared" si="165"/>
        <v>0</v>
      </c>
      <c r="I353" s="104">
        <f t="shared" si="165"/>
        <v>0</v>
      </c>
      <c r="J353" s="104">
        <f t="shared" si="165"/>
        <v>65.77920595846052</v>
      </c>
      <c r="K353" s="104">
        <f t="shared" si="165"/>
        <v>490.26766210492946</v>
      </c>
      <c r="L353" s="104">
        <f t="shared" si="165"/>
        <v>1722.0786937877401</v>
      </c>
      <c r="M353" s="104">
        <f t="shared" si="165"/>
        <v>2677.719599812272</v>
      </c>
      <c r="N353" s="104">
        <f t="shared" si="165"/>
        <v>4582.817915282115</v>
      </c>
      <c r="O353" s="104">
        <f>O389*1000</f>
        <v>5215.044215271277</v>
      </c>
      <c r="P353" s="104">
        <f t="shared" si="166"/>
        <v>4905.206596502131</v>
      </c>
      <c r="Q353" s="104">
        <f t="shared" si="166"/>
        <v>5972.835842072556</v>
      </c>
      <c r="R353" s="104">
        <f t="shared" si="166"/>
        <v>5604.717767212933</v>
      </c>
      <c r="S353" s="104">
        <f t="shared" si="166"/>
        <v>5203.469065615943</v>
      </c>
      <c r="T353" s="104">
        <f t="shared" si="166"/>
        <v>4766.107980875225</v>
      </c>
      <c r="U353" s="104">
        <f t="shared" si="166"/>
        <v>4289.38439850784</v>
      </c>
      <c r="V353" s="104">
        <f t="shared" si="166"/>
        <v>4058.6133081132216</v>
      </c>
      <c r="W353" s="139">
        <f t="shared" si="166"/>
        <v>4058.6133081132216</v>
      </c>
    </row>
    <row r="354" spans="1:23" s="1" customFormat="1" ht="12.75">
      <c r="A354" s="136" t="s">
        <v>216</v>
      </c>
      <c r="B354" s="138"/>
      <c r="C354" s="138"/>
      <c r="D354" s="104">
        <f aca="true" t="shared" si="167" ref="D354:W354">SUM(D355:D360)</f>
        <v>0</v>
      </c>
      <c r="E354" s="104">
        <f t="shared" si="167"/>
        <v>245</v>
      </c>
      <c r="F354" s="104">
        <f t="shared" si="167"/>
        <v>3508.6960634283146</v>
      </c>
      <c r="G354" s="104">
        <f t="shared" si="167"/>
        <v>25396.621488686993</v>
      </c>
      <c r="H354" s="104">
        <f t="shared" si="167"/>
        <v>45954.58764421803</v>
      </c>
      <c r="I354" s="104">
        <f t="shared" si="167"/>
        <v>59697.09854437471</v>
      </c>
      <c r="J354" s="104">
        <f t="shared" si="167"/>
        <v>65310.665218971146</v>
      </c>
      <c r="K354" s="104">
        <f t="shared" si="167"/>
        <v>73654.62224272863</v>
      </c>
      <c r="L354" s="104">
        <f t="shared" si="167"/>
        <v>79674.54609562906</v>
      </c>
      <c r="M354" s="104">
        <f t="shared" si="167"/>
        <v>91152.48389771287</v>
      </c>
      <c r="N354" s="104">
        <f t="shared" si="167"/>
        <v>97279.45013199568</v>
      </c>
      <c r="O354" s="104">
        <f t="shared" si="167"/>
        <v>104824.49410457593</v>
      </c>
      <c r="P354" s="104">
        <f t="shared" si="167"/>
        <v>118747.97285639236</v>
      </c>
      <c r="Q354" s="104">
        <f t="shared" si="167"/>
        <v>125151.04288974815</v>
      </c>
      <c r="R354" s="104">
        <f t="shared" si="167"/>
        <v>125443.99654181808</v>
      </c>
      <c r="S354" s="104">
        <f t="shared" si="167"/>
        <v>125741.88757301222</v>
      </c>
      <c r="T354" s="104">
        <f t="shared" si="167"/>
        <v>126044.943778078</v>
      </c>
      <c r="U354" s="104">
        <f t="shared" si="167"/>
        <v>126153.47320744774</v>
      </c>
      <c r="V354" s="104">
        <f t="shared" si="167"/>
        <v>127888.28928585161</v>
      </c>
      <c r="W354" s="139">
        <f t="shared" si="167"/>
        <v>128017.74151565145</v>
      </c>
    </row>
    <row r="355" spans="1:23" s="146" customFormat="1" ht="12.75" customHeight="1">
      <c r="A355" s="120" t="s">
        <v>217</v>
      </c>
      <c r="B355" s="147"/>
      <c r="C355" s="147"/>
      <c r="D355" s="104">
        <v>0</v>
      </c>
      <c r="E355" s="104">
        <v>0</v>
      </c>
      <c r="F355" s="104">
        <v>0</v>
      </c>
      <c r="G355" s="104">
        <v>20454.701289931036</v>
      </c>
      <c r="H355" s="104">
        <v>40909.40257986207</v>
      </c>
      <c r="I355" s="104">
        <v>54545.870106482755</v>
      </c>
      <c r="J355" s="104">
        <v>60000.45711713103</v>
      </c>
      <c r="K355" s="104">
        <v>68182.33763310345</v>
      </c>
      <c r="L355" s="104">
        <v>73636.92464375174</v>
      </c>
      <c r="M355" s="104">
        <v>84546.09866504827</v>
      </c>
      <c r="N355" s="104">
        <v>90000.68567569656</v>
      </c>
      <c r="O355" s="104">
        <v>95455.27268634483</v>
      </c>
      <c r="P355" s="104">
        <v>109091.74021296551</v>
      </c>
      <c r="Q355" s="104">
        <v>114546.32722361381</v>
      </c>
      <c r="R355" s="104">
        <v>114546.32722361381</v>
      </c>
      <c r="S355" s="104">
        <v>114546.32722361381</v>
      </c>
      <c r="T355" s="104">
        <v>114546.32722361381</v>
      </c>
      <c r="U355" s="104">
        <v>114546.32722361381</v>
      </c>
      <c r="V355" s="104">
        <v>114546.32722361381</v>
      </c>
      <c r="W355" s="139">
        <v>114546.32722361381</v>
      </c>
    </row>
    <row r="356" spans="1:23" s="1" customFormat="1" ht="12.75">
      <c r="A356" s="120" t="s">
        <v>218</v>
      </c>
      <c r="B356" s="138"/>
      <c r="C356" s="138"/>
      <c r="D356" s="104" t="s">
        <v>35</v>
      </c>
      <c r="E356" s="104">
        <f aca="true" t="shared" si="168" ref="E356:W356">D202*$N154/1000</f>
        <v>150</v>
      </c>
      <c r="F356" s="104">
        <f t="shared" si="168"/>
        <v>300</v>
      </c>
      <c r="G356" s="104">
        <f t="shared" si="168"/>
        <v>300</v>
      </c>
      <c r="H356" s="104">
        <f t="shared" si="168"/>
        <v>300</v>
      </c>
      <c r="I356" s="104">
        <f t="shared" si="168"/>
        <v>300</v>
      </c>
      <c r="J356" s="104">
        <f t="shared" si="168"/>
        <v>300</v>
      </c>
      <c r="K356" s="104">
        <f t="shared" si="168"/>
        <v>300</v>
      </c>
      <c r="L356" s="104">
        <f t="shared" si="168"/>
        <v>700</v>
      </c>
      <c r="M356" s="104">
        <f t="shared" si="168"/>
        <v>1100</v>
      </c>
      <c r="N356" s="104">
        <f t="shared" si="168"/>
        <v>1500</v>
      </c>
      <c r="O356" s="104">
        <f t="shared" si="168"/>
        <v>2000</v>
      </c>
      <c r="P356" s="104">
        <f t="shared" si="168"/>
        <v>2000</v>
      </c>
      <c r="Q356" s="104">
        <f t="shared" si="168"/>
        <v>2000</v>
      </c>
      <c r="R356" s="104">
        <f t="shared" si="168"/>
        <v>2000</v>
      </c>
      <c r="S356" s="104">
        <f t="shared" si="168"/>
        <v>2000</v>
      </c>
      <c r="T356" s="104">
        <f t="shared" si="168"/>
        <v>2000</v>
      </c>
      <c r="U356" s="104">
        <f t="shared" si="168"/>
        <v>2000</v>
      </c>
      <c r="V356" s="104">
        <f t="shared" si="168"/>
        <v>2000</v>
      </c>
      <c r="W356" s="139">
        <f t="shared" si="168"/>
        <v>2000</v>
      </c>
    </row>
    <row r="357" spans="1:23" s="1" customFormat="1" ht="25.5">
      <c r="A357" s="120" t="s">
        <v>219</v>
      </c>
      <c r="B357" s="104" t="s">
        <v>224</v>
      </c>
      <c r="C357" s="138" t="s">
        <v>35</v>
      </c>
      <c r="D357" s="104" t="s">
        <v>35</v>
      </c>
      <c r="E357" s="104">
        <f>E227*0.08*1000</f>
        <v>0</v>
      </c>
      <c r="F357" s="104">
        <f>F227*0.08*1000</f>
        <v>848</v>
      </c>
      <c r="G357" s="104">
        <f>G227*0.08*1000</f>
        <v>848</v>
      </c>
      <c r="H357" s="104">
        <f aca="true" t="shared" si="169" ref="H357:W357">H227*0.08*1000</f>
        <v>848</v>
      </c>
      <c r="I357" s="104">
        <f t="shared" si="169"/>
        <v>848</v>
      </c>
      <c r="J357" s="104">
        <f t="shared" si="169"/>
        <v>848</v>
      </c>
      <c r="K357" s="104">
        <f t="shared" si="169"/>
        <v>848</v>
      </c>
      <c r="L357" s="104">
        <f t="shared" si="169"/>
        <v>848</v>
      </c>
      <c r="M357" s="104">
        <f t="shared" si="169"/>
        <v>848</v>
      </c>
      <c r="N357" s="104">
        <f t="shared" si="169"/>
        <v>848</v>
      </c>
      <c r="O357" s="104">
        <f t="shared" si="169"/>
        <v>848</v>
      </c>
      <c r="P357" s="104">
        <f t="shared" si="169"/>
        <v>848</v>
      </c>
      <c r="Q357" s="104">
        <f t="shared" si="169"/>
        <v>848</v>
      </c>
      <c r="R357" s="104">
        <f t="shared" si="169"/>
        <v>848</v>
      </c>
      <c r="S357" s="104">
        <f t="shared" si="169"/>
        <v>848</v>
      </c>
      <c r="T357" s="104">
        <f t="shared" si="169"/>
        <v>848</v>
      </c>
      <c r="U357" s="104">
        <f t="shared" si="169"/>
        <v>848</v>
      </c>
      <c r="V357" s="104">
        <f t="shared" si="169"/>
        <v>848</v>
      </c>
      <c r="W357" s="139">
        <f t="shared" si="169"/>
        <v>848</v>
      </c>
    </row>
    <row r="358" spans="1:23" s="1" customFormat="1" ht="25.5">
      <c r="A358" s="120" t="s">
        <v>220</v>
      </c>
      <c r="B358" s="104" t="s">
        <v>225</v>
      </c>
      <c r="C358" s="138"/>
      <c r="D358" s="104"/>
      <c r="E358" s="104">
        <f>E252*0.03*1000</f>
        <v>0</v>
      </c>
      <c r="F358" s="104">
        <f>F252*0.03*1000</f>
        <v>480</v>
      </c>
      <c r="G358" s="104">
        <f aca="true" t="shared" si="170" ref="G358:W358">G252*0.03*1000</f>
        <v>1200</v>
      </c>
      <c r="H358" s="104">
        <f t="shared" si="170"/>
        <v>1200</v>
      </c>
      <c r="I358" s="104">
        <f t="shared" si="170"/>
        <v>1200</v>
      </c>
      <c r="J358" s="104">
        <f t="shared" si="170"/>
        <v>1200</v>
      </c>
      <c r="K358" s="104">
        <f t="shared" si="170"/>
        <v>1200</v>
      </c>
      <c r="L358" s="104">
        <f t="shared" si="170"/>
        <v>1200</v>
      </c>
      <c r="M358" s="104">
        <f t="shared" si="170"/>
        <v>1200</v>
      </c>
      <c r="N358" s="104">
        <f t="shared" si="170"/>
        <v>1200</v>
      </c>
      <c r="O358" s="104">
        <f t="shared" si="170"/>
        <v>1200</v>
      </c>
      <c r="P358" s="104">
        <f t="shared" si="170"/>
        <v>1200</v>
      </c>
      <c r="Q358" s="104">
        <f t="shared" si="170"/>
        <v>1200</v>
      </c>
      <c r="R358" s="104">
        <f t="shared" si="170"/>
        <v>1200</v>
      </c>
      <c r="S358" s="104">
        <f t="shared" si="170"/>
        <v>1200</v>
      </c>
      <c r="T358" s="104">
        <f t="shared" si="170"/>
        <v>1200</v>
      </c>
      <c r="U358" s="104">
        <f t="shared" si="170"/>
        <v>1200</v>
      </c>
      <c r="V358" s="104">
        <f t="shared" si="170"/>
        <v>1200</v>
      </c>
      <c r="W358" s="139">
        <f t="shared" si="170"/>
        <v>1200</v>
      </c>
    </row>
    <row r="359" spans="1:23" s="1" customFormat="1" ht="25.5" customHeight="1">
      <c r="A359" s="120" t="s">
        <v>221</v>
      </c>
      <c r="B359" s="138"/>
      <c r="C359" s="138"/>
      <c r="D359" s="104"/>
      <c r="E359" s="104">
        <f aca="true" t="shared" si="171" ref="E359:W359">(E280+E290+E291)*1000</f>
        <v>38</v>
      </c>
      <c r="F359" s="104">
        <f t="shared" si="171"/>
        <v>1185.04</v>
      </c>
      <c r="G359" s="104">
        <f t="shared" si="171"/>
        <v>1657.09776</v>
      </c>
      <c r="H359" s="104">
        <f t="shared" si="171"/>
        <v>1704.8860656</v>
      </c>
      <c r="I359" s="104">
        <f t="shared" si="171"/>
        <v>1755.1242855360001</v>
      </c>
      <c r="J359" s="104">
        <f t="shared" si="171"/>
        <v>1807.9504866681602</v>
      </c>
      <c r="K359" s="104">
        <f t="shared" si="171"/>
        <v>1863.50432386825</v>
      </c>
      <c r="L359" s="104">
        <f t="shared" si="171"/>
        <v>1921.9271353003446</v>
      </c>
      <c r="M359" s="104">
        <f t="shared" si="171"/>
        <v>1983.3620434183654</v>
      </c>
      <c r="N359" s="104">
        <f t="shared" si="171"/>
        <v>2047.9726620234674</v>
      </c>
      <c r="O359" s="104">
        <f t="shared" si="171"/>
        <v>2115.906009744875</v>
      </c>
      <c r="P359" s="104">
        <f t="shared" si="171"/>
        <v>2187.3484303295677</v>
      </c>
      <c r="Q359" s="104">
        <f t="shared" si="171"/>
        <v>2919.3285201493422</v>
      </c>
      <c r="R359" s="104">
        <f t="shared" si="171"/>
        <v>2994.7890633583024</v>
      </c>
      <c r="S359" s="104">
        <f t="shared" si="171"/>
        <v>3074.1373991598007</v>
      </c>
      <c r="T359" s="104">
        <f t="shared" si="171"/>
        <v>3157.5383471093883</v>
      </c>
      <c r="U359" s="104">
        <f t="shared" si="171"/>
        <v>3245.233203935952</v>
      </c>
      <c r="V359" s="104">
        <f t="shared" si="171"/>
        <v>3337.409668172109</v>
      </c>
      <c r="W359" s="139">
        <f t="shared" si="171"/>
        <v>3434.332172262436</v>
      </c>
    </row>
    <row r="360" spans="1:23" s="1" customFormat="1" ht="13.5" customHeight="1">
      <c r="A360" s="120" t="s">
        <v>222</v>
      </c>
      <c r="B360" s="138"/>
      <c r="C360" s="138"/>
      <c r="D360" s="104"/>
      <c r="E360" s="104">
        <f>(E309+E320+E321)*1000</f>
        <v>56.99999999999999</v>
      </c>
      <c r="F360" s="104">
        <f aca="true" t="shared" si="172" ref="F360:W360">(F309+F320+F321)*1000</f>
        <v>695.6560634283147</v>
      </c>
      <c r="G360" s="104">
        <f t="shared" si="172"/>
        <v>936.8224387559553</v>
      </c>
      <c r="H360" s="104">
        <f t="shared" si="172"/>
        <v>992.2989987559553</v>
      </c>
      <c r="I360" s="104">
        <f t="shared" si="172"/>
        <v>1048.1041523559554</v>
      </c>
      <c r="J360" s="104">
        <f t="shared" si="172"/>
        <v>1154.2576151719552</v>
      </c>
      <c r="K360" s="104">
        <f t="shared" si="172"/>
        <v>1260.7802857569152</v>
      </c>
      <c r="L360" s="104">
        <f t="shared" si="172"/>
        <v>1367.6943165769728</v>
      </c>
      <c r="M360" s="104">
        <f t="shared" si="172"/>
        <v>1475.023189246234</v>
      </c>
      <c r="N360" s="104">
        <f t="shared" si="172"/>
        <v>1682.7917942756505</v>
      </c>
      <c r="O360" s="104">
        <f t="shared" si="172"/>
        <v>3205.3154084862235</v>
      </c>
      <c r="P360" s="104">
        <f>(P309+P320+P321)*1000</f>
        <v>3420.8842130972757</v>
      </c>
      <c r="Q360" s="104">
        <f t="shared" si="172"/>
        <v>3637.3871459849915</v>
      </c>
      <c r="R360" s="104">
        <f t="shared" si="172"/>
        <v>3854.8802548459707</v>
      </c>
      <c r="S360" s="104">
        <f t="shared" si="172"/>
        <v>4073.422950238609</v>
      </c>
      <c r="T360" s="104">
        <f t="shared" si="172"/>
        <v>4293.078207354804</v>
      </c>
      <c r="U360" s="104">
        <f t="shared" si="172"/>
        <v>4313.912779897972</v>
      </c>
      <c r="V360" s="104">
        <f t="shared" si="172"/>
        <v>5956.5523940656885</v>
      </c>
      <c r="W360" s="139">
        <f t="shared" si="172"/>
        <v>5989.082119775191</v>
      </c>
    </row>
    <row r="361" spans="1:23" s="78" customFormat="1" ht="12.75">
      <c r="A361" s="125" t="s">
        <v>163</v>
      </c>
      <c r="B361" s="138">
        <f>SUM(C361:W361)</f>
        <v>2548188.755373017</v>
      </c>
      <c r="C361" s="138">
        <f aca="true" t="shared" si="173" ref="C361:W361">(C335+C343+C350)*$B$330</f>
        <v>0</v>
      </c>
      <c r="D361" s="138">
        <f t="shared" si="173"/>
        <v>29417.67877116451</v>
      </c>
      <c r="E361" s="138">
        <f t="shared" si="173"/>
        <v>49301.930503871714</v>
      </c>
      <c r="F361" s="138">
        <f t="shared" si="173"/>
        <v>136039.35396063566</v>
      </c>
      <c r="G361" s="138">
        <f t="shared" si="173"/>
        <v>146166.28156346435</v>
      </c>
      <c r="H361" s="138">
        <f t="shared" si="173"/>
        <v>90759.54676787718</v>
      </c>
      <c r="I361" s="138">
        <f t="shared" si="173"/>
        <v>94626.5567206578</v>
      </c>
      <c r="J361" s="138">
        <f t="shared" si="173"/>
        <v>100344.3480140731</v>
      </c>
      <c r="K361" s="138">
        <f t="shared" si="173"/>
        <v>127753.89899898753</v>
      </c>
      <c r="L361" s="138">
        <f t="shared" si="173"/>
        <v>128533.35493214142</v>
      </c>
      <c r="M361" s="138">
        <f t="shared" si="173"/>
        <v>154266.16967505153</v>
      </c>
      <c r="N361" s="138">
        <f t="shared" si="173"/>
        <v>167257.2433989508</v>
      </c>
      <c r="O361" s="138">
        <f t="shared" si="173"/>
        <v>145567.98561543465</v>
      </c>
      <c r="P361" s="138">
        <f t="shared" si="173"/>
        <v>189019.98940391035</v>
      </c>
      <c r="Q361" s="138">
        <f t="shared" si="173"/>
        <v>167316.5963484775</v>
      </c>
      <c r="R361" s="138">
        <f t="shared" si="173"/>
        <v>133460.47813703454</v>
      </c>
      <c r="S361" s="138">
        <f t="shared" si="173"/>
        <v>133357.1204666317</v>
      </c>
      <c r="T361" s="138">
        <f t="shared" si="173"/>
        <v>133222.81558695674</v>
      </c>
      <c r="U361" s="138">
        <f t="shared" si="173"/>
        <v>152854.6214339591</v>
      </c>
      <c r="V361" s="138">
        <f t="shared" si="173"/>
        <v>134396.66642196834</v>
      </c>
      <c r="W361" s="140">
        <f t="shared" si="173"/>
        <v>134526.1186517682</v>
      </c>
    </row>
    <row r="362" spans="1:23" s="78" customFormat="1" ht="13.5" thickBot="1">
      <c r="A362" s="300"/>
      <c r="B362" s="301"/>
      <c r="C362" s="301"/>
      <c r="D362" s="301"/>
      <c r="E362" s="301"/>
      <c r="F362" s="301"/>
      <c r="G362" s="301"/>
      <c r="H362" s="301"/>
      <c r="I362" s="301"/>
      <c r="J362" s="301"/>
      <c r="K362" s="301"/>
      <c r="L362" s="301"/>
      <c r="M362" s="301"/>
      <c r="N362" s="301"/>
      <c r="O362" s="301"/>
      <c r="P362" s="301"/>
      <c r="Q362" s="301"/>
      <c r="R362" s="301"/>
      <c r="S362" s="301"/>
      <c r="T362" s="301"/>
      <c r="U362" s="301"/>
      <c r="V362" s="301"/>
      <c r="W362" s="302"/>
    </row>
    <row r="363" spans="1:23" s="78" customFormat="1" ht="13.5" thickBot="1">
      <c r="A363" s="296"/>
      <c r="B363" s="297"/>
      <c r="C363" s="156"/>
      <c r="D363" s="156"/>
      <c r="E363" s="156"/>
      <c r="F363" s="156"/>
      <c r="G363" s="156"/>
      <c r="H363" s="156"/>
      <c r="I363" s="156"/>
      <c r="J363" s="156"/>
      <c r="K363" s="156"/>
      <c r="L363" s="156"/>
      <c r="M363" s="156"/>
      <c r="N363" s="156"/>
      <c r="O363" s="156"/>
      <c r="P363" s="156"/>
      <c r="Q363" s="156"/>
      <c r="R363" s="156"/>
      <c r="S363" s="156"/>
      <c r="T363" s="156"/>
      <c r="U363" s="156"/>
      <c r="V363" s="156"/>
      <c r="W363" s="156"/>
    </row>
    <row r="364" spans="1:23" s="78" customFormat="1" ht="12.75">
      <c r="A364" s="432" t="s">
        <v>346</v>
      </c>
      <c r="B364" s="433"/>
      <c r="C364" s="156"/>
      <c r="D364" s="156"/>
      <c r="E364" s="156"/>
      <c r="F364" s="156"/>
      <c r="G364" s="156"/>
      <c r="H364" s="156"/>
      <c r="I364" s="156"/>
      <c r="J364" s="156"/>
      <c r="K364" s="156"/>
      <c r="L364" s="156"/>
      <c r="M364" s="156"/>
      <c r="N364" s="156"/>
      <c r="O364" s="156"/>
      <c r="P364" s="156"/>
      <c r="Q364" s="156"/>
      <c r="R364" s="156"/>
      <c r="S364" s="156"/>
      <c r="T364" s="156"/>
      <c r="U364" s="156"/>
      <c r="V364" s="156"/>
      <c r="W364" s="156"/>
    </row>
    <row r="365" spans="1:23" s="78" customFormat="1" ht="26.25" thickBot="1">
      <c r="A365" s="295" t="s">
        <v>348</v>
      </c>
      <c r="B365" s="294">
        <f>'ERR &amp; Sensitivity Analysis'!G10</f>
        <v>1</v>
      </c>
      <c r="C365" s="156"/>
      <c r="D365" s="156"/>
      <c r="E365" s="156"/>
      <c r="F365" s="156"/>
      <c r="G365" s="156"/>
      <c r="H365" s="156"/>
      <c r="I365" s="156"/>
      <c r="J365" s="156"/>
      <c r="K365" s="156"/>
      <c r="L365" s="156"/>
      <c r="M365" s="156"/>
      <c r="N365" s="156"/>
      <c r="O365" s="156"/>
      <c r="P365" s="156"/>
      <c r="Q365" s="156"/>
      <c r="R365" s="156"/>
      <c r="S365" s="156"/>
      <c r="T365" s="156"/>
      <c r="U365" s="156"/>
      <c r="V365" s="156"/>
      <c r="W365" s="156"/>
    </row>
    <row r="366" spans="1:23" s="78" customFormat="1" ht="13.5" thickBot="1">
      <c r="A366" s="298"/>
      <c r="B366" s="156"/>
      <c r="C366" s="156"/>
      <c r="D366" s="156"/>
      <c r="E366" s="156"/>
      <c r="F366" s="156"/>
      <c r="G366" s="156"/>
      <c r="H366" s="156"/>
      <c r="I366" s="156"/>
      <c r="J366" s="156"/>
      <c r="K366" s="156"/>
      <c r="L366" s="156"/>
      <c r="M366" s="156"/>
      <c r="N366" s="156"/>
      <c r="O366" s="156"/>
      <c r="P366" s="156"/>
      <c r="Q366" s="156"/>
      <c r="R366" s="156"/>
      <c r="S366" s="156"/>
      <c r="T366" s="156"/>
      <c r="U366" s="156"/>
      <c r="V366" s="156"/>
      <c r="W366" s="156"/>
    </row>
    <row r="367" spans="1:23" s="63" customFormat="1" ht="12.75">
      <c r="A367" s="299" t="s">
        <v>165</v>
      </c>
      <c r="B367" s="398"/>
      <c r="C367" s="398"/>
      <c r="D367" s="398"/>
      <c r="E367" s="398"/>
      <c r="F367" s="398"/>
      <c r="G367" s="398"/>
      <c r="H367" s="398"/>
      <c r="I367" s="398"/>
      <c r="J367" s="398"/>
      <c r="K367" s="398"/>
      <c r="L367" s="398"/>
      <c r="M367" s="398"/>
      <c r="N367" s="398"/>
      <c r="O367" s="398"/>
      <c r="P367" s="398"/>
      <c r="Q367" s="398"/>
      <c r="R367" s="398"/>
      <c r="S367" s="398"/>
      <c r="T367" s="398"/>
      <c r="U367" s="398"/>
      <c r="V367" s="398"/>
      <c r="W367" s="399"/>
    </row>
    <row r="368" spans="1:23" s="63" customFormat="1" ht="25.5">
      <c r="A368" s="125" t="s">
        <v>166</v>
      </c>
      <c r="B368" s="150"/>
      <c r="C368" s="138">
        <f>(C369+C374)*$B$365</f>
        <v>0</v>
      </c>
      <c r="D368" s="138">
        <f>(D369+D374)*$B$365</f>
        <v>0</v>
      </c>
      <c r="E368" s="138">
        <f aca="true" t="shared" si="174" ref="E368:W368">(E369+E374)*$B$365</f>
        <v>15200.238614662188</v>
      </c>
      <c r="F368" s="138">
        <f t="shared" si="174"/>
        <v>26294.31456883579</v>
      </c>
      <c r="G368" s="138">
        <f t="shared" si="174"/>
        <v>124865.07491856736</v>
      </c>
      <c r="H368" s="138">
        <f t="shared" si="174"/>
        <v>159101.6708303705</v>
      </c>
      <c r="I368" s="138">
        <f t="shared" si="174"/>
        <v>178743.41021049974</v>
      </c>
      <c r="J368" s="138">
        <f t="shared" si="174"/>
        <v>197858.67580753326</v>
      </c>
      <c r="K368" s="138">
        <f t="shared" si="174"/>
        <v>216383.89385304035</v>
      </c>
      <c r="L368" s="138">
        <f t="shared" si="174"/>
        <v>234251.60972595811</v>
      </c>
      <c r="M368" s="138">
        <f t="shared" si="174"/>
        <v>251390.2987413897</v>
      </c>
      <c r="N368" s="138">
        <f t="shared" si="174"/>
        <v>267724.16887789953</v>
      </c>
      <c r="O368" s="138">
        <f t="shared" si="174"/>
        <v>283172.955067953</v>
      </c>
      <c r="P368" s="138">
        <f t="shared" si="174"/>
        <v>297651.7046424103</v>
      </c>
      <c r="Q368" s="138">
        <f t="shared" si="174"/>
        <v>311070.55348109885</v>
      </c>
      <c r="R368" s="138">
        <f t="shared" si="174"/>
        <v>323334.4923766656</v>
      </c>
      <c r="S368" s="138">
        <f t="shared" si="174"/>
        <v>334343.1230672233</v>
      </c>
      <c r="T368" s="138">
        <f t="shared" si="174"/>
        <v>343990.40333372814</v>
      </c>
      <c r="U368" s="138">
        <f t="shared" si="174"/>
        <v>352164.380489365</v>
      </c>
      <c r="V368" s="138">
        <f t="shared" si="174"/>
        <v>358746.91250911856</v>
      </c>
      <c r="W368" s="140">
        <f t="shared" si="174"/>
        <v>363613.37595665973</v>
      </c>
    </row>
    <row r="369" spans="1:23" s="78" customFormat="1" ht="25.5">
      <c r="A369" s="125" t="s">
        <v>176</v>
      </c>
      <c r="B369" s="104" t="s">
        <v>226</v>
      </c>
      <c r="C369" s="138">
        <f aca="true" t="shared" si="175" ref="C369:W369">SUM(C370:C372)</f>
        <v>0</v>
      </c>
      <c r="D369" s="138">
        <f>SUM(D370:D372)</f>
        <v>0</v>
      </c>
      <c r="E369" s="138">
        <f t="shared" si="175"/>
        <v>6934.092061026293</v>
      </c>
      <c r="F369" s="138">
        <f t="shared" si="175"/>
        <v>6615.1709590944865</v>
      </c>
      <c r="G369" s="138">
        <f t="shared" si="175"/>
        <v>6299.104702435545</v>
      </c>
      <c r="H369" s="138">
        <f t="shared" si="175"/>
        <v>6162.061191761401</v>
      </c>
      <c r="I369" s="138">
        <f t="shared" si="175"/>
        <v>6285.302415596629</v>
      </c>
      <c r="J369" s="138">
        <f t="shared" si="175"/>
        <v>6411.008463908562</v>
      </c>
      <c r="K369" s="138">
        <f t="shared" si="175"/>
        <v>6539.228633186733</v>
      </c>
      <c r="L369" s="138">
        <f t="shared" si="175"/>
        <v>6670.013205850468</v>
      </c>
      <c r="M369" s="138">
        <f t="shared" si="175"/>
        <v>6803.413469967477</v>
      </c>
      <c r="N369" s="138">
        <f t="shared" si="175"/>
        <v>6939.481739366827</v>
      </c>
      <c r="O369" s="138">
        <f t="shared" si="175"/>
        <v>7078.271374154163</v>
      </c>
      <c r="P369" s="138">
        <f t="shared" si="175"/>
        <v>7219.836801637248</v>
      </c>
      <c r="Q369" s="138">
        <f t="shared" si="175"/>
        <v>7364.233537669992</v>
      </c>
      <c r="R369" s="138">
        <f t="shared" si="175"/>
        <v>7511.518208423392</v>
      </c>
      <c r="S369" s="138">
        <f t="shared" si="175"/>
        <v>7661.74857259186</v>
      </c>
      <c r="T369" s="138">
        <f t="shared" si="175"/>
        <v>7814.983544043696</v>
      </c>
      <c r="U369" s="138">
        <f t="shared" si="175"/>
        <v>7971.2832149245705</v>
      </c>
      <c r="V369" s="138">
        <f t="shared" si="175"/>
        <v>8130.7088792230625</v>
      </c>
      <c r="W369" s="140">
        <f t="shared" si="175"/>
        <v>8293.323056807523</v>
      </c>
    </row>
    <row r="370" spans="1:23" s="63" customFormat="1" ht="12.75">
      <c r="A370" s="126" t="s">
        <v>5</v>
      </c>
      <c r="B370" s="153">
        <v>0.05</v>
      </c>
      <c r="C370" s="150"/>
      <c r="D370" s="104">
        <v>0</v>
      </c>
      <c r="E370" s="104">
        <f aca="true" t="shared" si="176" ref="E370:W370">E129*$B370*1000</f>
        <v>2431.1270877712604</v>
      </c>
      <c r="F370" s="104">
        <f t="shared" si="176"/>
        <v>2407.057543653958</v>
      </c>
      <c r="G370" s="104">
        <f t="shared" si="176"/>
        <v>2407.057543653958</v>
      </c>
      <c r="H370" s="104">
        <f t="shared" si="176"/>
        <v>2407.057543653958</v>
      </c>
      <c r="I370" s="104">
        <f t="shared" si="176"/>
        <v>2455.1986945270373</v>
      </c>
      <c r="J370" s="104">
        <f t="shared" si="176"/>
        <v>2504.3026684175784</v>
      </c>
      <c r="K370" s="104">
        <f t="shared" si="176"/>
        <v>2554.3887217859296</v>
      </c>
      <c r="L370" s="104">
        <f t="shared" si="176"/>
        <v>2605.476496221648</v>
      </c>
      <c r="M370" s="104">
        <f t="shared" si="176"/>
        <v>2657.586026146081</v>
      </c>
      <c r="N370" s="104">
        <f t="shared" si="176"/>
        <v>2710.737746669003</v>
      </c>
      <c r="O370" s="104">
        <f t="shared" si="176"/>
        <v>2764.9525016023827</v>
      </c>
      <c r="P370" s="104">
        <f t="shared" si="176"/>
        <v>2820.251551634431</v>
      </c>
      <c r="Q370" s="104">
        <f t="shared" si="176"/>
        <v>2876.656582667119</v>
      </c>
      <c r="R370" s="104">
        <f t="shared" si="176"/>
        <v>2934.1897143204615</v>
      </c>
      <c r="S370" s="104">
        <f t="shared" si="176"/>
        <v>2992.873508606871</v>
      </c>
      <c r="T370" s="104">
        <f t="shared" si="176"/>
        <v>3052.7309787790086</v>
      </c>
      <c r="U370" s="104">
        <f t="shared" si="176"/>
        <v>3113.7855983545887</v>
      </c>
      <c r="V370" s="104">
        <f t="shared" si="176"/>
        <v>3176.06131032168</v>
      </c>
      <c r="W370" s="139">
        <f t="shared" si="176"/>
        <v>3239.5825365281135</v>
      </c>
    </row>
    <row r="371" spans="1:23" s="63" customFormat="1" ht="12.75">
      <c r="A371" s="126" t="s">
        <v>8</v>
      </c>
      <c r="B371" s="153">
        <v>0.05</v>
      </c>
      <c r="C371" s="150"/>
      <c r="D371" s="104">
        <v>0</v>
      </c>
      <c r="E371" s="104">
        <f aca="true" t="shared" si="177" ref="E371:W371">E130*$B371*1000</f>
        <v>682.4156459265045</v>
      </c>
      <c r="F371" s="104">
        <f t="shared" si="177"/>
        <v>614.174081333854</v>
      </c>
      <c r="G371" s="104">
        <f t="shared" si="177"/>
        <v>560.7641996571201</v>
      </c>
      <c r="H371" s="104">
        <f t="shared" si="177"/>
        <v>532.7259896742642</v>
      </c>
      <c r="I371" s="104">
        <f t="shared" si="177"/>
        <v>543.3805094677496</v>
      </c>
      <c r="J371" s="104">
        <f t="shared" si="177"/>
        <v>554.2481196571046</v>
      </c>
      <c r="K371" s="104">
        <f t="shared" si="177"/>
        <v>565.3330820502466</v>
      </c>
      <c r="L371" s="104">
        <f t="shared" si="177"/>
        <v>576.6397436912516</v>
      </c>
      <c r="M371" s="104">
        <f t="shared" si="177"/>
        <v>588.1725385650766</v>
      </c>
      <c r="N371" s="104">
        <f t="shared" si="177"/>
        <v>599.9359893363782</v>
      </c>
      <c r="O371" s="104">
        <f t="shared" si="177"/>
        <v>611.9347091231058</v>
      </c>
      <c r="P371" s="104">
        <f t="shared" si="177"/>
        <v>624.173403305568</v>
      </c>
      <c r="Q371" s="104">
        <f t="shared" si="177"/>
        <v>636.6568713716792</v>
      </c>
      <c r="R371" s="104">
        <f t="shared" si="177"/>
        <v>649.3900087991129</v>
      </c>
      <c r="S371" s="104">
        <f t="shared" si="177"/>
        <v>662.3778089750951</v>
      </c>
      <c r="T371" s="104">
        <f t="shared" si="177"/>
        <v>675.625365154597</v>
      </c>
      <c r="U371" s="104">
        <f t="shared" si="177"/>
        <v>689.137872457689</v>
      </c>
      <c r="V371" s="104">
        <f t="shared" si="177"/>
        <v>702.9206299068429</v>
      </c>
      <c r="W371" s="139">
        <f t="shared" si="177"/>
        <v>716.9790425049798</v>
      </c>
    </row>
    <row r="372" spans="1:23" s="63" customFormat="1" ht="12.75">
      <c r="A372" s="126" t="s">
        <v>12</v>
      </c>
      <c r="B372" s="153">
        <v>0.05</v>
      </c>
      <c r="C372" s="150"/>
      <c r="D372" s="104">
        <v>0</v>
      </c>
      <c r="E372" s="104">
        <f aca="true" t="shared" si="178" ref="E372:W372">E131*$B372*1000</f>
        <v>3820.549327328528</v>
      </c>
      <c r="F372" s="104">
        <f t="shared" si="178"/>
        <v>3593.939334106675</v>
      </c>
      <c r="G372" s="104">
        <f t="shared" si="178"/>
        <v>3331.282959124467</v>
      </c>
      <c r="H372" s="104">
        <f t="shared" si="178"/>
        <v>3222.277658433178</v>
      </c>
      <c r="I372" s="104">
        <f t="shared" si="178"/>
        <v>3286.723211601842</v>
      </c>
      <c r="J372" s="104">
        <f t="shared" si="178"/>
        <v>3352.457675833879</v>
      </c>
      <c r="K372" s="104">
        <f t="shared" si="178"/>
        <v>3419.5068293505565</v>
      </c>
      <c r="L372" s="104">
        <f t="shared" si="178"/>
        <v>3487.896965937568</v>
      </c>
      <c r="M372" s="104">
        <f t="shared" si="178"/>
        <v>3557.654905256319</v>
      </c>
      <c r="N372" s="104">
        <f t="shared" si="178"/>
        <v>3628.8080033614456</v>
      </c>
      <c r="O372" s="104">
        <f t="shared" si="178"/>
        <v>3701.384163428675</v>
      </c>
      <c r="P372" s="104">
        <f t="shared" si="178"/>
        <v>3775.4118466972486</v>
      </c>
      <c r="Q372" s="104">
        <f t="shared" si="178"/>
        <v>3850.9200836311934</v>
      </c>
      <c r="R372" s="104">
        <f t="shared" si="178"/>
        <v>3927.9384853038177</v>
      </c>
      <c r="S372" s="104">
        <f t="shared" si="178"/>
        <v>4006.4972550098937</v>
      </c>
      <c r="T372" s="104">
        <f t="shared" si="178"/>
        <v>4086.627200110091</v>
      </c>
      <c r="U372" s="104">
        <f t="shared" si="178"/>
        <v>4168.359744112293</v>
      </c>
      <c r="V372" s="104">
        <f t="shared" si="178"/>
        <v>4251.7269389945395</v>
      </c>
      <c r="W372" s="139">
        <f t="shared" si="178"/>
        <v>4336.76147777443</v>
      </c>
    </row>
    <row r="373" spans="1:23" s="78" customFormat="1" ht="12.75">
      <c r="A373" s="135" t="s">
        <v>177</v>
      </c>
      <c r="B373" s="400"/>
      <c r="C373" s="400"/>
      <c r="D373" s="400"/>
      <c r="E373" s="400"/>
      <c r="F373" s="400"/>
      <c r="G373" s="400"/>
      <c r="H373" s="400"/>
      <c r="I373" s="400"/>
      <c r="J373" s="400"/>
      <c r="K373" s="400"/>
      <c r="L373" s="400"/>
      <c r="M373" s="400"/>
      <c r="N373" s="400"/>
      <c r="O373" s="400"/>
      <c r="P373" s="400"/>
      <c r="Q373" s="400"/>
      <c r="R373" s="400"/>
      <c r="S373" s="400"/>
      <c r="T373" s="400"/>
      <c r="U373" s="400"/>
      <c r="V373" s="400"/>
      <c r="W373" s="401"/>
    </row>
    <row r="374" spans="1:23" s="78" customFormat="1" ht="38.25">
      <c r="A374" s="127" t="s">
        <v>227</v>
      </c>
      <c r="B374" s="119" t="s">
        <v>212</v>
      </c>
      <c r="C374" s="138">
        <f aca="true" t="shared" si="179" ref="C374:W374">SUM(C379:C381)</f>
        <v>0</v>
      </c>
      <c r="D374" s="138">
        <f>SUM(D379:D381)</f>
        <v>0</v>
      </c>
      <c r="E374" s="138">
        <f t="shared" si="179"/>
        <v>8266.146553635896</v>
      </c>
      <c r="F374" s="138">
        <f t="shared" si="179"/>
        <v>19679.143609741306</v>
      </c>
      <c r="G374" s="138">
        <f t="shared" si="179"/>
        <v>118565.97021613181</v>
      </c>
      <c r="H374" s="138">
        <f t="shared" si="179"/>
        <v>152939.6096386091</v>
      </c>
      <c r="I374" s="138">
        <f t="shared" si="179"/>
        <v>172458.1077949031</v>
      </c>
      <c r="J374" s="138">
        <f t="shared" si="179"/>
        <v>191447.6673436247</v>
      </c>
      <c r="K374" s="138">
        <f t="shared" si="179"/>
        <v>209844.66521985363</v>
      </c>
      <c r="L374" s="138">
        <f t="shared" si="179"/>
        <v>227581.59652010765</v>
      </c>
      <c r="M374" s="138">
        <f t="shared" si="179"/>
        <v>244586.88527142222</v>
      </c>
      <c r="N374" s="138">
        <f t="shared" si="179"/>
        <v>260784.6871385327</v>
      </c>
      <c r="O374" s="138">
        <f t="shared" si="179"/>
        <v>276094.68369379884</v>
      </c>
      <c r="P374" s="138">
        <f t="shared" si="179"/>
        <v>290431.867840773</v>
      </c>
      <c r="Q374" s="138">
        <f t="shared" si="179"/>
        <v>303706.31994342885</v>
      </c>
      <c r="R374" s="138">
        <f t="shared" si="179"/>
        <v>315822.9741682422</v>
      </c>
      <c r="S374" s="138">
        <f t="shared" si="179"/>
        <v>326681.3744946314</v>
      </c>
      <c r="T374" s="138">
        <f t="shared" si="179"/>
        <v>336175.41978968447</v>
      </c>
      <c r="U374" s="138">
        <f t="shared" si="179"/>
        <v>344193.09727444046</v>
      </c>
      <c r="V374" s="138">
        <f t="shared" si="179"/>
        <v>350616.2036298955</v>
      </c>
      <c r="W374" s="140">
        <f t="shared" si="179"/>
        <v>355320.0528998522</v>
      </c>
    </row>
    <row r="375" spans="1:23" s="63" customFormat="1" ht="12.75">
      <c r="A375" s="126" t="s">
        <v>5</v>
      </c>
      <c r="B375" s="153">
        <v>0.39100000278837266</v>
      </c>
      <c r="C375" s="150"/>
      <c r="D375" s="152">
        <f aca="true" t="shared" si="180" ref="D375:W375">(0.058-D109*(1-0.05)*(1+$B375))/2</f>
        <v>0.013274744968477449</v>
      </c>
      <c r="E375" s="152">
        <f t="shared" si="180"/>
        <v>0.013274744968477449</v>
      </c>
      <c r="F375" s="152">
        <f t="shared" si="180"/>
        <v>0.013274744968477449</v>
      </c>
      <c r="G375" s="152">
        <f t="shared" si="180"/>
        <v>0.013274744968477449</v>
      </c>
      <c r="H375" s="152">
        <f t="shared" si="180"/>
        <v>0.013274744968477449</v>
      </c>
      <c r="I375" s="152">
        <f t="shared" si="180"/>
        <v>0.012960239867846998</v>
      </c>
      <c r="J375" s="152">
        <f t="shared" si="180"/>
        <v>0.012639444665203937</v>
      </c>
      <c r="K375" s="152">
        <f t="shared" si="180"/>
        <v>0.012312233558508013</v>
      </c>
      <c r="L375" s="152">
        <f t="shared" si="180"/>
        <v>0.011978478229678173</v>
      </c>
      <c r="M375" s="152">
        <f t="shared" si="180"/>
        <v>0.011638047794271737</v>
      </c>
      <c r="N375" s="152">
        <f t="shared" si="180"/>
        <v>0.011290808750157172</v>
      </c>
      <c r="O375" s="152">
        <f t="shared" si="180"/>
        <v>0.010936624925160315</v>
      </c>
      <c r="P375" s="152">
        <f t="shared" si="180"/>
        <v>0.010575357423663521</v>
      </c>
      <c r="Q375" s="152">
        <f t="shared" si="180"/>
        <v>0.010206864572136792</v>
      </c>
      <c r="R375" s="152">
        <f t="shared" si="180"/>
        <v>0.00983100186357953</v>
      </c>
      <c r="S375" s="152">
        <f t="shared" si="180"/>
        <v>0.00944762190085112</v>
      </c>
      <c r="T375" s="152">
        <f t="shared" si="180"/>
        <v>0.00905657433886814</v>
      </c>
      <c r="U375" s="152">
        <f t="shared" si="180"/>
        <v>0.008657705825645502</v>
      </c>
      <c r="V375" s="152">
        <f t="shared" si="180"/>
        <v>0.008250859942158413</v>
      </c>
      <c r="W375" s="154">
        <f t="shared" si="180"/>
        <v>0.007835877141001583</v>
      </c>
    </row>
    <row r="376" spans="1:23" s="63" customFormat="1" ht="12.75">
      <c r="A376" s="126" t="s">
        <v>8</v>
      </c>
      <c r="B376" s="153">
        <v>0.1719607034803691</v>
      </c>
      <c r="C376" s="150"/>
      <c r="D376" s="152">
        <f aca="true" t="shared" si="181" ref="D376:W376">(0.058-D110*(1-0.05)*(1+$B376))/2</f>
        <v>0.016029324914231015</v>
      </c>
      <c r="E376" s="152">
        <f t="shared" si="181"/>
        <v>0.016029324914231015</v>
      </c>
      <c r="F376" s="152">
        <f t="shared" si="181"/>
        <v>0.016029324914231015</v>
      </c>
      <c r="G376" s="152">
        <f t="shared" si="181"/>
        <v>0.016029324914231015</v>
      </c>
      <c r="H376" s="152">
        <f t="shared" si="181"/>
        <v>0.016029324914231015</v>
      </c>
      <c r="I376" s="152">
        <f t="shared" si="181"/>
        <v>0.015769911412515634</v>
      </c>
      <c r="J376" s="152">
        <f t="shared" si="181"/>
        <v>0.015505309640765947</v>
      </c>
      <c r="K376" s="152">
        <f t="shared" si="181"/>
        <v>0.015235415833581267</v>
      </c>
      <c r="L376" s="152">
        <f t="shared" si="181"/>
        <v>0.014960124150252892</v>
      </c>
      <c r="M376" s="152">
        <f t="shared" si="181"/>
        <v>0.014679326633257949</v>
      </c>
      <c r="N376" s="152">
        <f t="shared" si="181"/>
        <v>0.014392913165923105</v>
      </c>
      <c r="O376" s="152">
        <f t="shared" si="181"/>
        <v>0.01410077142924157</v>
      </c>
      <c r="P376" s="152">
        <f t="shared" si="181"/>
        <v>0.0138027868578264</v>
      </c>
      <c r="Q376" s="152">
        <f t="shared" si="181"/>
        <v>0.013498842594982926</v>
      </c>
      <c r="R376" s="152">
        <f t="shared" si="181"/>
        <v>0.013188819446882584</v>
      </c>
      <c r="S376" s="152">
        <f t="shared" si="181"/>
        <v>0.012872595835820237</v>
      </c>
      <c r="T376" s="152">
        <f t="shared" si="181"/>
        <v>0.012550047752536642</v>
      </c>
      <c r="U376" s="152">
        <f t="shared" si="181"/>
        <v>0.012221048707587372</v>
      </c>
      <c r="V376" s="152">
        <f t="shared" si="181"/>
        <v>0.01188546968173912</v>
      </c>
      <c r="W376" s="154">
        <f t="shared" si="181"/>
        <v>0.011543179075373899</v>
      </c>
    </row>
    <row r="377" spans="1:23" s="63" customFormat="1" ht="12.75">
      <c r="A377" s="126" t="s">
        <v>12</v>
      </c>
      <c r="B377" s="153">
        <v>0.42986506977228134</v>
      </c>
      <c r="C377" s="150"/>
      <c r="D377" s="152">
        <f aca="true" t="shared" si="182" ref="D377:W377">(0.058-D111*(1-0.05)*(1+$B377))/2</f>
        <v>0.013650398475994566</v>
      </c>
      <c r="E377" s="152">
        <f t="shared" si="182"/>
        <v>0.013650398475994566</v>
      </c>
      <c r="F377" s="152">
        <f t="shared" si="182"/>
        <v>0.013650398475994566</v>
      </c>
      <c r="G377" s="152">
        <f t="shared" si="182"/>
        <v>0.013650398475994566</v>
      </c>
      <c r="H377" s="152">
        <f t="shared" si="182"/>
        <v>0.013650398475994566</v>
      </c>
      <c r="I377" s="152">
        <f t="shared" si="182"/>
        <v>0.013343406445514454</v>
      </c>
      <c r="J377" s="152">
        <f t="shared" si="182"/>
        <v>0.013030274574424745</v>
      </c>
      <c r="K377" s="152">
        <f t="shared" si="182"/>
        <v>0.012710880065913241</v>
      </c>
      <c r="L377" s="152">
        <f t="shared" si="182"/>
        <v>0.012385097667231504</v>
      </c>
      <c r="M377" s="152">
        <f t="shared" si="182"/>
        <v>0.012052799620576132</v>
      </c>
      <c r="N377" s="152">
        <f t="shared" si="182"/>
        <v>0.011713855612987652</v>
      </c>
      <c r="O377" s="152">
        <f t="shared" si="182"/>
        <v>0.011368132725247407</v>
      </c>
      <c r="P377" s="152">
        <f t="shared" si="182"/>
        <v>0.011015495379752355</v>
      </c>
      <c r="Q377" s="152">
        <f t="shared" si="182"/>
        <v>0.0106558052873474</v>
      </c>
      <c r="R377" s="152">
        <f t="shared" si="182"/>
        <v>0.010288921393094348</v>
      </c>
      <c r="S377" s="152">
        <f t="shared" si="182"/>
        <v>0.009914699820956236</v>
      </c>
      <c r="T377" s="152">
        <f t="shared" si="182"/>
        <v>0.009532993817375362</v>
      </c>
      <c r="U377" s="152">
        <f t="shared" si="182"/>
        <v>0.009143653693722869</v>
      </c>
      <c r="V377" s="152">
        <f t="shared" si="182"/>
        <v>0.008746526767597324</v>
      </c>
      <c r="W377" s="154">
        <f t="shared" si="182"/>
        <v>0.00834145730294927</v>
      </c>
    </row>
    <row r="378" spans="1:23" s="63" customFormat="1" ht="12.75">
      <c r="A378" s="137" t="s">
        <v>178</v>
      </c>
      <c r="B378" s="402"/>
      <c r="C378" s="402"/>
      <c r="D378" s="402"/>
      <c r="E378" s="402"/>
      <c r="F378" s="402"/>
      <c r="G378" s="402"/>
      <c r="H378" s="402"/>
      <c r="I378" s="402"/>
      <c r="J378" s="402"/>
      <c r="K378" s="402"/>
      <c r="L378" s="402"/>
      <c r="M378" s="402"/>
      <c r="N378" s="402"/>
      <c r="O378" s="402"/>
      <c r="P378" s="402"/>
      <c r="Q378" s="402"/>
      <c r="R378" s="402"/>
      <c r="S378" s="402"/>
      <c r="T378" s="402"/>
      <c r="U378" s="402"/>
      <c r="V378" s="402"/>
      <c r="W378" s="403"/>
    </row>
    <row r="379" spans="1:23" s="63" customFormat="1" ht="12.75">
      <c r="A379" s="126" t="s">
        <v>5</v>
      </c>
      <c r="B379" s="150"/>
      <c r="C379" s="150"/>
      <c r="D379" s="104">
        <f aca="true" t="shared" si="183" ref="D379:W379">D86*D375*1000</f>
        <v>0</v>
      </c>
      <c r="E379" s="104">
        <f t="shared" si="183"/>
        <v>2711.9825274051113</v>
      </c>
      <c r="F379" s="104">
        <f t="shared" si="183"/>
        <v>6712.830885810099</v>
      </c>
      <c r="G379" s="104">
        <f t="shared" si="183"/>
        <v>5869.737902173176</v>
      </c>
      <c r="H379" s="104">
        <f t="shared" si="183"/>
        <v>7831.085731615605</v>
      </c>
      <c r="I379" s="104">
        <f t="shared" si="183"/>
        <v>9682.942485187203</v>
      </c>
      <c r="J379" s="104">
        <f t="shared" si="183"/>
        <v>11557.517325777704</v>
      </c>
      <c r="K379" s="104">
        <f t="shared" si="183"/>
        <v>13449.933000958572</v>
      </c>
      <c r="L379" s="104">
        <f t="shared" si="183"/>
        <v>15354.474637669166</v>
      </c>
      <c r="M379" s="104">
        <f t="shared" si="183"/>
        <v>17264.490039890272</v>
      </c>
      <c r="N379" s="104">
        <f t="shared" si="183"/>
        <v>19172.279531121094</v>
      </c>
      <c r="O379" s="104">
        <f t="shared" si="183"/>
        <v>21068.974313002647</v>
      </c>
      <c r="P379" s="104">
        <f t="shared" si="183"/>
        <v>22944.40221395248</v>
      </c>
      <c r="Q379" s="104">
        <f t="shared" si="183"/>
        <v>24786.939595179145</v>
      </c>
      <c r="R379" s="104">
        <f t="shared" si="183"/>
        <v>26583.348065110342</v>
      </c>
      <c r="S379" s="104">
        <f t="shared" si="183"/>
        <v>28318.59452619938</v>
      </c>
      <c r="T379" s="104">
        <f t="shared" si="183"/>
        <v>29975.652939297077</v>
      </c>
      <c r="U379" s="104">
        <f t="shared" si="183"/>
        <v>31535.2860392266</v>
      </c>
      <c r="V379" s="104">
        <f t="shared" si="183"/>
        <v>32975.805069718444</v>
      </c>
      <c r="W379" s="139">
        <f t="shared" si="183"/>
        <v>34272.80542518998</v>
      </c>
    </row>
    <row r="380" spans="1:23" s="63" customFormat="1" ht="12.75">
      <c r="A380" s="126" t="s">
        <v>8</v>
      </c>
      <c r="B380" s="150"/>
      <c r="C380" s="150"/>
      <c r="D380" s="104">
        <f aca="true" t="shared" si="184" ref="D380:W380">D87*D376*1000</f>
        <v>0</v>
      </c>
      <c r="E380" s="104">
        <f t="shared" si="184"/>
        <v>938.9409540867621</v>
      </c>
      <c r="F380" s="104">
        <f t="shared" si="184"/>
        <v>2112.617146695213</v>
      </c>
      <c r="G380" s="104">
        <f t="shared" si="184"/>
        <v>18387.16964235631</v>
      </c>
      <c r="H380" s="104">
        <f t="shared" si="184"/>
        <v>19556.032563838</v>
      </c>
      <c r="I380" s="104">
        <f t="shared" si="184"/>
        <v>20033.066101225013</v>
      </c>
      <c r="J380" s="104">
        <f t="shared" si="184"/>
        <v>20500.54723973853</v>
      </c>
      <c r="K380" s="104">
        <f t="shared" si="184"/>
        <v>20957.01821789401</v>
      </c>
      <c r="L380" s="104">
        <f t="shared" si="184"/>
        <v>21400.919005148273</v>
      </c>
      <c r="M380" s="104">
        <f t="shared" si="184"/>
        <v>21830.58128641475</v>
      </c>
      <c r="N380" s="104">
        <f t="shared" si="184"/>
        <v>22244.2221172656</v>
      </c>
      <c r="O380" s="104">
        <f t="shared" si="184"/>
        <v>22639.937232415185</v>
      </c>
      <c r="P380" s="104">
        <f t="shared" si="184"/>
        <v>23015.69398917678</v>
      </c>
      <c r="Q380" s="104">
        <f t="shared" si="184"/>
        <v>23369.32392663514</v>
      </c>
      <c r="R380" s="104">
        <f t="shared" si="184"/>
        <v>23698.514920279624</v>
      </c>
      <c r="S380" s="104">
        <f t="shared" si="184"/>
        <v>24000.802910793358</v>
      </c>
      <c r="T380" s="104">
        <f t="shared" si="184"/>
        <v>24273.56318459122</v>
      </c>
      <c r="U380" s="104">
        <f t="shared" si="184"/>
        <v>24514.001182539803</v>
      </c>
      <c r="V380" s="104">
        <f t="shared" si="184"/>
        <v>24719.142812073587</v>
      </c>
      <c r="W380" s="139">
        <f t="shared" si="184"/>
        <v>24885.824236640296</v>
      </c>
    </row>
    <row r="381" spans="1:23" s="63" customFormat="1" ht="12.75">
      <c r="A381" s="126" t="s">
        <v>12</v>
      </c>
      <c r="B381" s="150"/>
      <c r="C381" s="150"/>
      <c r="D381" s="104">
        <f aca="true" t="shared" si="185" ref="D381:W381">D88*D377*1000</f>
        <v>0</v>
      </c>
      <c r="E381" s="104">
        <f t="shared" si="185"/>
        <v>4615.223072144023</v>
      </c>
      <c r="F381" s="104">
        <f t="shared" si="185"/>
        <v>10853.695577235994</v>
      </c>
      <c r="G381" s="104">
        <f t="shared" si="185"/>
        <v>94309.06267160233</v>
      </c>
      <c r="H381" s="104">
        <f t="shared" si="185"/>
        <v>125552.49134315552</v>
      </c>
      <c r="I381" s="104">
        <f t="shared" si="185"/>
        <v>142742.0992084909</v>
      </c>
      <c r="J381" s="104">
        <f t="shared" si="185"/>
        <v>159389.60277810847</v>
      </c>
      <c r="K381" s="104">
        <f t="shared" si="185"/>
        <v>175437.71400100106</v>
      </c>
      <c r="L381" s="104">
        <f t="shared" si="185"/>
        <v>190826.20287729023</v>
      </c>
      <c r="M381" s="104">
        <f t="shared" si="185"/>
        <v>205491.8139451172</v>
      </c>
      <c r="N381" s="104">
        <f t="shared" si="185"/>
        <v>219368.18549014602</v>
      </c>
      <c r="O381" s="104">
        <f t="shared" si="185"/>
        <v>232385.77214838102</v>
      </c>
      <c r="P381" s="104">
        <f t="shared" si="185"/>
        <v>244471.77163764377</v>
      </c>
      <c r="Q381" s="104">
        <f t="shared" si="185"/>
        <v>255550.0564216146</v>
      </c>
      <c r="R381" s="104">
        <f t="shared" si="185"/>
        <v>265541.11118285224</v>
      </c>
      <c r="S381" s="104">
        <f t="shared" si="185"/>
        <v>274361.9770576387</v>
      </c>
      <c r="T381" s="104">
        <f t="shared" si="185"/>
        <v>281926.20366579614</v>
      </c>
      <c r="U381" s="104">
        <f t="shared" si="185"/>
        <v>288143.81005267403</v>
      </c>
      <c r="V381" s="104">
        <f t="shared" si="185"/>
        <v>292921.2557481035</v>
      </c>
      <c r="W381" s="139">
        <f t="shared" si="185"/>
        <v>296161.42323802196</v>
      </c>
    </row>
    <row r="382" spans="1:23" s="89" customFormat="1" ht="12.75">
      <c r="A382" s="128" t="s">
        <v>201</v>
      </c>
      <c r="B382" s="148"/>
      <c r="C382" s="138">
        <f aca="true" t="shared" si="186" ref="C382:W382">-C361+C368</f>
        <v>0</v>
      </c>
      <c r="D382" s="138">
        <f>-D361+D368</f>
        <v>-29417.67877116451</v>
      </c>
      <c r="E382" s="138">
        <f t="shared" si="186"/>
        <v>-34101.69188920953</v>
      </c>
      <c r="F382" s="138">
        <f t="shared" si="186"/>
        <v>-109745.03939179987</v>
      </c>
      <c r="G382" s="138">
        <f t="shared" si="186"/>
        <v>-21301.206644896985</v>
      </c>
      <c r="H382" s="138">
        <f t="shared" si="186"/>
        <v>68342.12406249333</v>
      </c>
      <c r="I382" s="138">
        <f t="shared" si="186"/>
        <v>84116.85348984195</v>
      </c>
      <c r="J382" s="138">
        <f t="shared" si="186"/>
        <v>97514.32779346016</v>
      </c>
      <c r="K382" s="138">
        <f t="shared" si="186"/>
        <v>88629.99485405283</v>
      </c>
      <c r="L382" s="138">
        <f t="shared" si="186"/>
        <v>105718.2547938167</v>
      </c>
      <c r="M382" s="138">
        <f t="shared" si="186"/>
        <v>97124.12906633818</v>
      </c>
      <c r="N382" s="138">
        <f t="shared" si="186"/>
        <v>100466.92547894872</v>
      </c>
      <c r="O382" s="138">
        <f t="shared" si="186"/>
        <v>137604.96945251833</v>
      </c>
      <c r="P382" s="138">
        <f t="shared" si="186"/>
        <v>108631.71523849992</v>
      </c>
      <c r="Q382" s="138">
        <f t="shared" si="186"/>
        <v>143753.95713262135</v>
      </c>
      <c r="R382" s="138">
        <f t="shared" si="186"/>
        <v>189874.01423963104</v>
      </c>
      <c r="S382" s="138">
        <f t="shared" si="186"/>
        <v>200986.0026005916</v>
      </c>
      <c r="T382" s="138">
        <f t="shared" si="186"/>
        <v>210767.5877467714</v>
      </c>
      <c r="U382" s="138">
        <f t="shared" si="186"/>
        <v>199309.7590554059</v>
      </c>
      <c r="V382" s="138">
        <f t="shared" si="186"/>
        <v>224350.2460871502</v>
      </c>
      <c r="W382" s="140">
        <f t="shared" si="186"/>
        <v>229087.25730489154</v>
      </c>
    </row>
    <row r="383" spans="1:23" s="63" customFormat="1" ht="12.75">
      <c r="A383" s="129" t="s">
        <v>325</v>
      </c>
      <c r="B383" s="287">
        <f>IRR(C382:W382)</f>
        <v>0.32170898125345265</v>
      </c>
      <c r="C383" s="365"/>
      <c r="D383" s="358"/>
      <c r="E383" s="358"/>
      <c r="F383" s="358"/>
      <c r="G383" s="358"/>
      <c r="H383" s="358"/>
      <c r="I383" s="358"/>
      <c r="J383" s="358"/>
      <c r="K383" s="358"/>
      <c r="L383" s="358"/>
      <c r="M383" s="358"/>
      <c r="N383" s="358"/>
      <c r="O383" s="358"/>
      <c r="P383" s="358"/>
      <c r="Q383" s="358"/>
      <c r="R383" s="358"/>
      <c r="S383" s="358"/>
      <c r="T383" s="358"/>
      <c r="U383" s="358"/>
      <c r="V383" s="358"/>
      <c r="W383" s="359"/>
    </row>
    <row r="384" spans="1:23" s="63" customFormat="1" ht="13.5" thickBot="1">
      <c r="A384" s="130" t="s">
        <v>179</v>
      </c>
      <c r="B384" s="155">
        <f>NPV(0.12,C382:W382)</f>
        <v>337493.3347860004</v>
      </c>
      <c r="C384" s="361"/>
      <c r="D384" s="362"/>
      <c r="E384" s="362"/>
      <c r="F384" s="362"/>
      <c r="G384" s="362"/>
      <c r="H384" s="362"/>
      <c r="I384" s="362"/>
      <c r="J384" s="362"/>
      <c r="K384" s="362"/>
      <c r="L384" s="362"/>
      <c r="M384" s="362"/>
      <c r="N384" s="362"/>
      <c r="O384" s="362"/>
      <c r="P384" s="362"/>
      <c r="Q384" s="362"/>
      <c r="R384" s="362"/>
      <c r="S384" s="362"/>
      <c r="T384" s="362"/>
      <c r="U384" s="362"/>
      <c r="V384" s="362"/>
      <c r="W384" s="363"/>
    </row>
    <row r="385" spans="1:23" s="63" customFormat="1" ht="12.75">
      <c r="A385" s="360" t="s">
        <v>180</v>
      </c>
      <c r="B385" s="360"/>
      <c r="C385" s="360"/>
      <c r="D385" s="360"/>
      <c r="E385" s="360"/>
      <c r="F385" s="360"/>
      <c r="G385" s="360"/>
      <c r="H385" s="360"/>
      <c r="I385" s="360"/>
      <c r="J385" s="360"/>
      <c r="K385" s="360"/>
      <c r="L385" s="360"/>
      <c r="M385" s="360"/>
      <c r="N385" s="360"/>
      <c r="O385" s="360"/>
      <c r="P385" s="360"/>
      <c r="Q385" s="360"/>
      <c r="R385" s="360"/>
      <c r="S385" s="360"/>
      <c r="T385" s="360"/>
      <c r="U385" s="360"/>
      <c r="V385" s="360"/>
      <c r="W385" s="360"/>
    </row>
    <row r="386" spans="1:23" s="63" customFormat="1" ht="12.75">
      <c r="A386" s="157"/>
      <c r="B386" s="157"/>
      <c r="C386" s="157"/>
      <c r="D386" s="157"/>
      <c r="E386" s="157"/>
      <c r="F386" s="157"/>
      <c r="G386" s="157"/>
      <c r="H386" s="157"/>
      <c r="I386" s="157"/>
      <c r="J386" s="157"/>
      <c r="K386" s="157"/>
      <c r="L386" s="157"/>
      <c r="M386" s="157"/>
      <c r="N386" s="157"/>
      <c r="O386" s="157"/>
      <c r="P386" s="157"/>
      <c r="Q386" s="157"/>
      <c r="R386" s="157"/>
      <c r="S386" s="157"/>
      <c r="T386" s="157"/>
      <c r="U386" s="157"/>
      <c r="V386" s="157"/>
      <c r="W386" s="157"/>
    </row>
    <row r="387" spans="1:23" s="63" customFormat="1" ht="12.75">
      <c r="A387" s="131"/>
      <c r="B387" s="131"/>
      <c r="C387" s="131"/>
      <c r="D387" s="131"/>
      <c r="E387" s="131"/>
      <c r="F387" s="131"/>
      <c r="G387" s="131"/>
      <c r="H387" s="131"/>
      <c r="I387" s="131"/>
      <c r="J387" s="131"/>
      <c r="K387" s="131"/>
      <c r="L387" s="131"/>
      <c r="M387" s="131"/>
      <c r="N387" s="131"/>
      <c r="O387" s="131"/>
      <c r="P387" s="131"/>
      <c r="Q387" s="131"/>
      <c r="R387" s="131"/>
      <c r="S387" s="131"/>
      <c r="T387" s="131"/>
      <c r="U387" s="131"/>
      <c r="V387" s="131"/>
      <c r="W387" s="131"/>
    </row>
    <row r="388" spans="1:23" s="63" customFormat="1" ht="12.75">
      <c r="A388" s="131" t="s">
        <v>228</v>
      </c>
      <c r="B388" s="131"/>
      <c r="C388" s="131"/>
      <c r="D388" s="145">
        <f aca="true" t="shared" si="187" ref="D388:W388">D182+D215+D238+D263+D284+D315</f>
        <v>0</v>
      </c>
      <c r="E388" s="145">
        <f t="shared" si="187"/>
        <v>0.013106390747865194</v>
      </c>
      <c r="F388" s="145">
        <f t="shared" si="187"/>
        <v>0.29236278149573036</v>
      </c>
      <c r="G388" s="145">
        <f t="shared" si="187"/>
        <v>0.838452074777349</v>
      </c>
      <c r="H388" s="145">
        <f t="shared" si="187"/>
        <v>1.052523123659147</v>
      </c>
      <c r="I388" s="145">
        <f t="shared" si="187"/>
        <v>1.1101912429497538</v>
      </c>
      <c r="J388" s="145">
        <f t="shared" si="187"/>
        <v>1.1486366558101586</v>
      </c>
      <c r="K388" s="145">
        <f t="shared" si="187"/>
        <v>1.1897421608206342</v>
      </c>
      <c r="L388" s="145">
        <f t="shared" si="187"/>
        <v>1.317463209391278</v>
      </c>
      <c r="M388" s="145">
        <f t="shared" si="187"/>
        <v>1.41669924419306</v>
      </c>
      <c r="N388" s="145">
        <f t="shared" si="187"/>
        <v>1.575708418339693</v>
      </c>
      <c r="O388" s="145">
        <f t="shared" si="187"/>
        <v>1.7091803622541262</v>
      </c>
      <c r="P388" s="145">
        <f t="shared" si="187"/>
        <v>1.7475430176825149</v>
      </c>
      <c r="Q388" s="145">
        <f t="shared" si="187"/>
        <v>2.373450683323459</v>
      </c>
      <c r="R388" s="145">
        <f t="shared" si="187"/>
        <v>2.4117638280035196</v>
      </c>
      <c r="S388" s="145">
        <f t="shared" si="187"/>
        <v>2.4117638280035196</v>
      </c>
      <c r="T388" s="145">
        <f t="shared" si="187"/>
        <v>2.4117638280035196</v>
      </c>
      <c r="U388" s="145">
        <f t="shared" si="187"/>
        <v>2.4117638280035196</v>
      </c>
      <c r="V388" s="145">
        <f t="shared" si="187"/>
        <v>2.44976382800352</v>
      </c>
      <c r="W388" s="145">
        <f t="shared" si="187"/>
        <v>2.44976382800352</v>
      </c>
    </row>
    <row r="389" spans="1:23" s="63" customFormat="1" ht="12.75">
      <c r="A389" s="131" t="s">
        <v>213</v>
      </c>
      <c r="B389" s="131"/>
      <c r="C389" s="131"/>
      <c r="D389" s="145">
        <f aca="true" t="shared" si="188" ref="D389:W389">D178+D211</f>
        <v>0</v>
      </c>
      <c r="E389" s="145">
        <f t="shared" si="188"/>
        <v>0</v>
      </c>
      <c r="F389" s="145">
        <f t="shared" si="188"/>
        <v>0</v>
      </c>
      <c r="G389" s="145">
        <f t="shared" si="188"/>
        <v>0</v>
      </c>
      <c r="H389" s="145">
        <f t="shared" si="188"/>
        <v>0</v>
      </c>
      <c r="I389" s="145">
        <f t="shared" si="188"/>
        <v>0</v>
      </c>
      <c r="J389" s="145">
        <f t="shared" si="188"/>
        <v>0.06577920595846053</v>
      </c>
      <c r="K389" s="145">
        <f t="shared" si="188"/>
        <v>0.49026766210492945</v>
      </c>
      <c r="L389" s="145">
        <f t="shared" si="188"/>
        <v>1.7220786937877401</v>
      </c>
      <c r="M389" s="145">
        <f t="shared" si="188"/>
        <v>2.677719599812272</v>
      </c>
      <c r="N389" s="145">
        <f t="shared" si="188"/>
        <v>4.5828179152821145</v>
      </c>
      <c r="O389" s="145">
        <f t="shared" si="188"/>
        <v>5.215044215271277</v>
      </c>
      <c r="P389" s="145">
        <f t="shared" si="188"/>
        <v>4.905206596502131</v>
      </c>
      <c r="Q389" s="145">
        <f t="shared" si="188"/>
        <v>5.9728358420725565</v>
      </c>
      <c r="R389" s="145">
        <f t="shared" si="188"/>
        <v>5.604717767212933</v>
      </c>
      <c r="S389" s="145">
        <f t="shared" si="188"/>
        <v>5.203469065615943</v>
      </c>
      <c r="T389" s="145">
        <f t="shared" si="188"/>
        <v>4.7661079808752245</v>
      </c>
      <c r="U389" s="145">
        <f t="shared" si="188"/>
        <v>4.28938439850784</v>
      </c>
      <c r="V389" s="145">
        <f t="shared" si="188"/>
        <v>4.058613308113221</v>
      </c>
      <c r="W389" s="145">
        <f t="shared" si="188"/>
        <v>4.058613308113221</v>
      </c>
    </row>
    <row r="390" spans="1:23" ht="12.75">
      <c r="A390" s="96"/>
      <c r="B390" s="96"/>
      <c r="C390" s="96"/>
      <c r="D390" s="96"/>
      <c r="E390" s="96"/>
      <c r="F390" s="96"/>
      <c r="G390" s="96"/>
      <c r="H390" s="96"/>
      <c r="I390" s="96"/>
      <c r="J390" s="96"/>
      <c r="K390" s="96"/>
      <c r="L390" s="96"/>
      <c r="M390" s="96"/>
      <c r="N390" s="96"/>
      <c r="O390" s="96"/>
      <c r="P390" s="96"/>
      <c r="Q390" s="96"/>
      <c r="R390" s="96"/>
      <c r="S390" s="96"/>
      <c r="T390" s="96"/>
      <c r="U390" s="96"/>
      <c r="V390" s="96"/>
      <c r="W390" s="96"/>
    </row>
    <row r="391" spans="2:23" ht="12.75">
      <c r="B391" s="96"/>
      <c r="C391" s="96"/>
      <c r="D391" s="96"/>
      <c r="E391" s="96"/>
      <c r="F391" s="96"/>
      <c r="G391" s="96"/>
      <c r="H391" s="96"/>
      <c r="I391" s="96"/>
      <c r="J391" s="96"/>
      <c r="K391" s="96"/>
      <c r="L391" s="96"/>
      <c r="M391" s="96"/>
      <c r="N391" s="96"/>
      <c r="O391" s="96"/>
      <c r="P391" s="96"/>
      <c r="Q391" s="96"/>
      <c r="R391" s="96"/>
      <c r="S391" s="96"/>
      <c r="T391" s="96"/>
      <c r="U391" s="96"/>
      <c r="V391" s="96"/>
      <c r="W391" s="96"/>
    </row>
    <row r="392" spans="1:23" ht="12.75">
      <c r="A392" s="143"/>
      <c r="B392" s="168" t="s">
        <v>240</v>
      </c>
      <c r="C392" s="14">
        <v>2007</v>
      </c>
      <c r="D392" s="14">
        <f>C392+1</f>
        <v>2008</v>
      </c>
      <c r="E392" s="14">
        <f aca="true" t="shared" si="189" ref="E392:S392">D392+1</f>
        <v>2009</v>
      </c>
      <c r="F392" s="14">
        <f t="shared" si="189"/>
        <v>2010</v>
      </c>
      <c r="G392" s="14">
        <f t="shared" si="189"/>
        <v>2011</v>
      </c>
      <c r="H392" s="14">
        <f t="shared" si="189"/>
        <v>2012</v>
      </c>
      <c r="I392" s="14">
        <f t="shared" si="189"/>
        <v>2013</v>
      </c>
      <c r="J392" s="14">
        <f t="shared" si="189"/>
        <v>2014</v>
      </c>
      <c r="K392" s="14">
        <f t="shared" si="189"/>
        <v>2015</v>
      </c>
      <c r="L392" s="14">
        <f t="shared" si="189"/>
        <v>2016</v>
      </c>
      <c r="M392" s="14">
        <f t="shared" si="189"/>
        <v>2017</v>
      </c>
      <c r="N392" s="14">
        <f t="shared" si="189"/>
        <v>2018</v>
      </c>
      <c r="O392" s="14">
        <f t="shared" si="189"/>
        <v>2019</v>
      </c>
      <c r="P392" s="14">
        <f t="shared" si="189"/>
        <v>2020</v>
      </c>
      <c r="Q392" s="14">
        <f t="shared" si="189"/>
        <v>2021</v>
      </c>
      <c r="R392" s="14">
        <f t="shared" si="189"/>
        <v>2022</v>
      </c>
      <c r="S392" s="14">
        <f t="shared" si="189"/>
        <v>2023</v>
      </c>
      <c r="T392" s="14">
        <f>S392+1</f>
        <v>2024</v>
      </c>
      <c r="U392" s="14">
        <f>T392+1</f>
        <v>2025</v>
      </c>
      <c r="V392" s="14">
        <f>U392+1</f>
        <v>2026</v>
      </c>
      <c r="W392" s="14">
        <f>V392+1</f>
        <v>2027</v>
      </c>
    </row>
    <row r="393" spans="1:10" s="170" customFormat="1" ht="12.75">
      <c r="A393" s="169" t="s">
        <v>243</v>
      </c>
      <c r="E393" s="229"/>
      <c r="J393" s="229"/>
    </row>
    <row r="394" spans="1:23" s="170" customFormat="1" ht="12.75">
      <c r="A394" s="171" t="s">
        <v>5</v>
      </c>
      <c r="B394" s="172" t="str">
        <f>B129</f>
        <v>$ Million</v>
      </c>
      <c r="C394" s="173">
        <f>C129</f>
        <v>49.12926900000001</v>
      </c>
      <c r="D394" s="173">
        <f aca="true" t="shared" si="190" ref="D394:W394">D129</f>
        <v>49.12926900000001</v>
      </c>
      <c r="E394" s="230">
        <f t="shared" si="190"/>
        <v>48.62254175542521</v>
      </c>
      <c r="F394" s="173">
        <f t="shared" si="190"/>
        <v>48.141150873079155</v>
      </c>
      <c r="G394" s="173">
        <f t="shared" si="190"/>
        <v>48.141150873079155</v>
      </c>
      <c r="H394" s="173">
        <f t="shared" si="190"/>
        <v>48.141150873079155</v>
      </c>
      <c r="I394" s="173">
        <f t="shared" si="190"/>
        <v>49.10397389054074</v>
      </c>
      <c r="J394" s="230">
        <f t="shared" si="190"/>
        <v>50.08605336835156</v>
      </c>
      <c r="K394" s="173">
        <f t="shared" si="190"/>
        <v>51.087774435718586</v>
      </c>
      <c r="L394" s="173">
        <f t="shared" si="190"/>
        <v>52.10952992443296</v>
      </c>
      <c r="M394" s="173">
        <f t="shared" si="190"/>
        <v>53.15172052292162</v>
      </c>
      <c r="N394" s="173">
        <f t="shared" si="190"/>
        <v>54.21475493338006</v>
      </c>
      <c r="O394" s="173">
        <f t="shared" si="190"/>
        <v>55.29905003204765</v>
      </c>
      <c r="P394" s="173">
        <f t="shared" si="190"/>
        <v>56.40503103268861</v>
      </c>
      <c r="Q394" s="173">
        <f t="shared" si="190"/>
        <v>57.53313165334238</v>
      </c>
      <c r="R394" s="173">
        <f t="shared" si="190"/>
        <v>58.683794286409224</v>
      </c>
      <c r="S394" s="173">
        <f t="shared" si="190"/>
        <v>59.85747017213741</v>
      </c>
      <c r="T394" s="173">
        <f t="shared" si="190"/>
        <v>61.05461957558016</v>
      </c>
      <c r="U394" s="173">
        <f t="shared" si="190"/>
        <v>62.275711967091766</v>
      </c>
      <c r="V394" s="173">
        <f t="shared" si="190"/>
        <v>63.5212262064336</v>
      </c>
      <c r="W394" s="173">
        <f t="shared" si="190"/>
        <v>64.79165073056227</v>
      </c>
    </row>
    <row r="395" spans="1:23" s="170" customFormat="1" ht="12.75">
      <c r="A395" s="171" t="s">
        <v>8</v>
      </c>
      <c r="B395" s="172" t="str">
        <f>B130</f>
        <v>$ Million</v>
      </c>
      <c r="C395" s="173">
        <f aca="true" t="shared" si="191" ref="C395:W395">C130</f>
        <v>13.849054</v>
      </c>
      <c r="D395" s="173">
        <f t="shared" si="191"/>
        <v>14.366645177400097</v>
      </c>
      <c r="E395" s="230">
        <f t="shared" si="191"/>
        <v>13.648312918530088</v>
      </c>
      <c r="F395" s="173">
        <f t="shared" si="191"/>
        <v>12.283481626677078</v>
      </c>
      <c r="G395" s="173">
        <f t="shared" si="191"/>
        <v>11.215283993142402</v>
      </c>
      <c r="H395" s="173">
        <f t="shared" si="191"/>
        <v>10.654519793485283</v>
      </c>
      <c r="I395" s="173">
        <f t="shared" si="191"/>
        <v>10.86761018935499</v>
      </c>
      <c r="J395" s="230">
        <f t="shared" si="191"/>
        <v>11.08496239314209</v>
      </c>
      <c r="K395" s="173">
        <f t="shared" si="191"/>
        <v>11.306661641004931</v>
      </c>
      <c r="L395" s="173">
        <f t="shared" si="191"/>
        <v>11.532794873825031</v>
      </c>
      <c r="M395" s="173">
        <f t="shared" si="191"/>
        <v>11.763450771301532</v>
      </c>
      <c r="N395" s="173">
        <f t="shared" si="191"/>
        <v>11.998719786727563</v>
      </c>
      <c r="O395" s="173">
        <f t="shared" si="191"/>
        <v>12.238694182462114</v>
      </c>
      <c r="P395" s="173">
        <f t="shared" si="191"/>
        <v>12.483468066111357</v>
      </c>
      <c r="Q395" s="173">
        <f t="shared" si="191"/>
        <v>12.733137427433585</v>
      </c>
      <c r="R395" s="173">
        <f t="shared" si="191"/>
        <v>12.987800175982256</v>
      </c>
      <c r="S395" s="173">
        <f t="shared" si="191"/>
        <v>13.247556179501903</v>
      </c>
      <c r="T395" s="173">
        <f t="shared" si="191"/>
        <v>13.51250730309194</v>
      </c>
      <c r="U395" s="173">
        <f t="shared" si="191"/>
        <v>13.78275744915378</v>
      </c>
      <c r="V395" s="173">
        <f t="shared" si="191"/>
        <v>14.058412598136856</v>
      </c>
      <c r="W395" s="173">
        <f t="shared" si="191"/>
        <v>14.339580850099594</v>
      </c>
    </row>
    <row r="396" spans="1:23" s="170" customFormat="1" ht="12.75">
      <c r="A396" s="171" t="s">
        <v>12</v>
      </c>
      <c r="B396" s="172" t="str">
        <f>B131</f>
        <v>$ Million</v>
      </c>
      <c r="C396" s="173">
        <f aca="true" t="shared" si="192" ref="C396:W396">C131</f>
        <v>58.353764999999996</v>
      </c>
      <c r="D396" s="173">
        <f t="shared" si="192"/>
        <v>79.29074399999999</v>
      </c>
      <c r="E396" s="230">
        <f t="shared" si="192"/>
        <v>76.41098654657056</v>
      </c>
      <c r="F396" s="173">
        <f t="shared" si="192"/>
        <v>71.8787866821335</v>
      </c>
      <c r="G396" s="173">
        <f t="shared" si="192"/>
        <v>66.62565918248934</v>
      </c>
      <c r="H396" s="173">
        <f t="shared" si="192"/>
        <v>64.44555316866357</v>
      </c>
      <c r="I396" s="173">
        <f t="shared" si="192"/>
        <v>65.73446423203684</v>
      </c>
      <c r="J396" s="230">
        <f t="shared" si="192"/>
        <v>67.04915351667758</v>
      </c>
      <c r="K396" s="173">
        <f t="shared" si="192"/>
        <v>68.39013658701113</v>
      </c>
      <c r="L396" s="173">
        <f t="shared" si="192"/>
        <v>69.75793931875135</v>
      </c>
      <c r="M396" s="173">
        <f t="shared" si="192"/>
        <v>71.15309810512638</v>
      </c>
      <c r="N396" s="173">
        <f t="shared" si="192"/>
        <v>72.57616006722891</v>
      </c>
      <c r="O396" s="173">
        <f t="shared" si="192"/>
        <v>74.0276832685735</v>
      </c>
      <c r="P396" s="173">
        <f t="shared" si="192"/>
        <v>75.50823693394497</v>
      </c>
      <c r="Q396" s="173">
        <f t="shared" si="192"/>
        <v>77.01840167262387</v>
      </c>
      <c r="R396" s="173">
        <f t="shared" si="192"/>
        <v>78.55876970607635</v>
      </c>
      <c r="S396" s="173">
        <f t="shared" si="192"/>
        <v>80.12994510019787</v>
      </c>
      <c r="T396" s="173">
        <f t="shared" si="192"/>
        <v>81.73254400220182</v>
      </c>
      <c r="U396" s="173">
        <f t="shared" si="192"/>
        <v>83.36719488224585</v>
      </c>
      <c r="V396" s="173">
        <f t="shared" si="192"/>
        <v>85.03453877989078</v>
      </c>
      <c r="W396" s="173">
        <f t="shared" si="192"/>
        <v>86.7352295554886</v>
      </c>
    </row>
    <row r="397" spans="1:23" s="170" customFormat="1" ht="12.75">
      <c r="A397" s="174" t="s">
        <v>251</v>
      </c>
      <c r="B397" s="172"/>
      <c r="C397" s="173"/>
      <c r="D397" s="173"/>
      <c r="E397" s="230"/>
      <c r="F397" s="173"/>
      <c r="G397" s="173"/>
      <c r="H397" s="173"/>
      <c r="I397" s="173"/>
      <c r="J397" s="230"/>
      <c r="K397" s="173"/>
      <c r="L397" s="173"/>
      <c r="M397" s="173"/>
      <c r="N397" s="173"/>
      <c r="O397" s="173"/>
      <c r="P397" s="173"/>
      <c r="Q397" s="173"/>
      <c r="R397" s="173"/>
      <c r="S397" s="173"/>
      <c r="T397" s="173"/>
      <c r="U397" s="173"/>
      <c r="V397" s="173"/>
      <c r="W397" s="173"/>
    </row>
    <row r="398" spans="1:23" s="170" customFormat="1" ht="12.75">
      <c r="A398" s="171" t="s">
        <v>5</v>
      </c>
      <c r="B398" s="172" t="s">
        <v>61</v>
      </c>
      <c r="C398" s="175">
        <v>0</v>
      </c>
      <c r="D398" s="176">
        <f>1.4%+0.8%</f>
        <v>0.022</v>
      </c>
      <c r="E398" s="231">
        <f aca="true" t="shared" si="193" ref="E398:F400">4.7%+0.8%</f>
        <v>0.055</v>
      </c>
      <c r="F398" s="176">
        <f t="shared" si="193"/>
        <v>0.055</v>
      </c>
      <c r="G398" s="176">
        <f aca="true" t="shared" si="194" ref="G398:H400">3.3%+0.8%</f>
        <v>0.041</v>
      </c>
      <c r="H398" s="176">
        <f t="shared" si="194"/>
        <v>0.041</v>
      </c>
      <c r="I398" s="176">
        <f>3.3%+0.8%+0.4%</f>
        <v>0.045</v>
      </c>
      <c r="J398" s="231">
        <f>I398</f>
        <v>0.045</v>
      </c>
      <c r="K398" s="176">
        <f aca="true" t="shared" si="195" ref="K398:W398">J398</f>
        <v>0.045</v>
      </c>
      <c r="L398" s="176">
        <f t="shared" si="195"/>
        <v>0.045</v>
      </c>
      <c r="M398" s="176">
        <f t="shared" si="195"/>
        <v>0.045</v>
      </c>
      <c r="N398" s="176">
        <f t="shared" si="195"/>
        <v>0.045</v>
      </c>
      <c r="O398" s="176">
        <f t="shared" si="195"/>
        <v>0.045</v>
      </c>
      <c r="P398" s="176">
        <f t="shared" si="195"/>
        <v>0.045</v>
      </c>
      <c r="Q398" s="176">
        <f t="shared" si="195"/>
        <v>0.045</v>
      </c>
      <c r="R398" s="176">
        <f t="shared" si="195"/>
        <v>0.045</v>
      </c>
      <c r="S398" s="176">
        <f t="shared" si="195"/>
        <v>0.045</v>
      </c>
      <c r="T398" s="176">
        <f t="shared" si="195"/>
        <v>0.045</v>
      </c>
      <c r="U398" s="176">
        <f t="shared" si="195"/>
        <v>0.045</v>
      </c>
      <c r="V398" s="176">
        <f t="shared" si="195"/>
        <v>0.045</v>
      </c>
      <c r="W398" s="176">
        <f t="shared" si="195"/>
        <v>0.045</v>
      </c>
    </row>
    <row r="399" spans="1:23" s="170" customFormat="1" ht="12.75">
      <c r="A399" s="171" t="s">
        <v>8</v>
      </c>
      <c r="B399" s="172" t="s">
        <v>61</v>
      </c>
      <c r="C399" s="177">
        <v>0</v>
      </c>
      <c r="D399" s="176">
        <f>1.4%+0.8%</f>
        <v>0.022</v>
      </c>
      <c r="E399" s="231">
        <f t="shared" si="193"/>
        <v>0.055</v>
      </c>
      <c r="F399" s="176">
        <f t="shared" si="193"/>
        <v>0.055</v>
      </c>
      <c r="G399" s="176">
        <f t="shared" si="194"/>
        <v>0.041</v>
      </c>
      <c r="H399" s="176">
        <f t="shared" si="194"/>
        <v>0.041</v>
      </c>
      <c r="I399" s="176">
        <f>3.3%+0.8%+0.4%</f>
        <v>0.045</v>
      </c>
      <c r="J399" s="231">
        <f aca="true" t="shared" si="196" ref="J399:W399">I399</f>
        <v>0.045</v>
      </c>
      <c r="K399" s="176">
        <f t="shared" si="196"/>
        <v>0.045</v>
      </c>
      <c r="L399" s="176">
        <f t="shared" si="196"/>
        <v>0.045</v>
      </c>
      <c r="M399" s="176">
        <f t="shared" si="196"/>
        <v>0.045</v>
      </c>
      <c r="N399" s="176">
        <f t="shared" si="196"/>
        <v>0.045</v>
      </c>
      <c r="O399" s="176">
        <f t="shared" si="196"/>
        <v>0.045</v>
      </c>
      <c r="P399" s="176">
        <f t="shared" si="196"/>
        <v>0.045</v>
      </c>
      <c r="Q399" s="176">
        <f t="shared" si="196"/>
        <v>0.045</v>
      </c>
      <c r="R399" s="176">
        <f t="shared" si="196"/>
        <v>0.045</v>
      </c>
      <c r="S399" s="176">
        <f t="shared" si="196"/>
        <v>0.045</v>
      </c>
      <c r="T399" s="176">
        <f t="shared" si="196"/>
        <v>0.045</v>
      </c>
      <c r="U399" s="176">
        <f t="shared" si="196"/>
        <v>0.045</v>
      </c>
      <c r="V399" s="176">
        <f t="shared" si="196"/>
        <v>0.045</v>
      </c>
      <c r="W399" s="176">
        <f t="shared" si="196"/>
        <v>0.045</v>
      </c>
    </row>
    <row r="400" spans="1:23" s="170" customFormat="1" ht="12.75">
      <c r="A400" s="171" t="s">
        <v>12</v>
      </c>
      <c r="B400" s="172" t="s">
        <v>61</v>
      </c>
      <c r="C400" s="177">
        <v>0</v>
      </c>
      <c r="D400" s="176">
        <f>1.4%+0.8%</f>
        <v>0.022</v>
      </c>
      <c r="E400" s="231">
        <f t="shared" si="193"/>
        <v>0.055</v>
      </c>
      <c r="F400" s="176">
        <f t="shared" si="193"/>
        <v>0.055</v>
      </c>
      <c r="G400" s="176">
        <f t="shared" si="194"/>
        <v>0.041</v>
      </c>
      <c r="H400" s="176">
        <f t="shared" si="194"/>
        <v>0.041</v>
      </c>
      <c r="I400" s="176">
        <f>3.3%+0.8%+0.4%</f>
        <v>0.045</v>
      </c>
      <c r="J400" s="231">
        <f aca="true" t="shared" si="197" ref="J400:W400">I400</f>
        <v>0.045</v>
      </c>
      <c r="K400" s="176">
        <f t="shared" si="197"/>
        <v>0.045</v>
      </c>
      <c r="L400" s="176">
        <f t="shared" si="197"/>
        <v>0.045</v>
      </c>
      <c r="M400" s="176">
        <f t="shared" si="197"/>
        <v>0.045</v>
      </c>
      <c r="N400" s="176">
        <f t="shared" si="197"/>
        <v>0.045</v>
      </c>
      <c r="O400" s="176">
        <f t="shared" si="197"/>
        <v>0.045</v>
      </c>
      <c r="P400" s="176">
        <f t="shared" si="197"/>
        <v>0.045</v>
      </c>
      <c r="Q400" s="176">
        <f t="shared" si="197"/>
        <v>0.045</v>
      </c>
      <c r="R400" s="176">
        <f t="shared" si="197"/>
        <v>0.045</v>
      </c>
      <c r="S400" s="176">
        <f t="shared" si="197"/>
        <v>0.045</v>
      </c>
      <c r="T400" s="176">
        <f t="shared" si="197"/>
        <v>0.045</v>
      </c>
      <c r="U400" s="176">
        <f t="shared" si="197"/>
        <v>0.045</v>
      </c>
      <c r="V400" s="176">
        <f t="shared" si="197"/>
        <v>0.045</v>
      </c>
      <c r="W400" s="176">
        <f t="shared" si="197"/>
        <v>0.045</v>
      </c>
    </row>
    <row r="401" spans="1:23" s="170" customFormat="1" ht="12.75">
      <c r="A401" s="169" t="s">
        <v>252</v>
      </c>
      <c r="B401" s="172"/>
      <c r="C401" s="177"/>
      <c r="D401" s="176"/>
      <c r="E401" s="231"/>
      <c r="F401" s="176"/>
      <c r="G401" s="176"/>
      <c r="H401" s="176"/>
      <c r="I401" s="176"/>
      <c r="J401" s="231"/>
      <c r="K401" s="176"/>
      <c r="L401" s="176"/>
      <c r="M401" s="176"/>
      <c r="N401" s="176"/>
      <c r="O401" s="176"/>
      <c r="P401" s="176"/>
      <c r="Q401" s="176"/>
      <c r="R401" s="176"/>
      <c r="S401" s="176"/>
      <c r="T401" s="176"/>
      <c r="U401" s="176"/>
      <c r="V401" s="176"/>
      <c r="W401" s="176"/>
    </row>
    <row r="402" spans="1:23" s="170" customFormat="1" ht="12.75">
      <c r="A402" s="171" t="s">
        <v>5</v>
      </c>
      <c r="B402" s="172" t="str">
        <f>B394</f>
        <v>$ Million</v>
      </c>
      <c r="C402" s="178">
        <f>C394*C398</f>
        <v>0</v>
      </c>
      <c r="D402" s="178">
        <f aca="true" t="shared" si="198" ref="D402:W402">D394*D398</f>
        <v>1.080843918</v>
      </c>
      <c r="E402" s="232">
        <f t="shared" si="198"/>
        <v>2.6742397965483864</v>
      </c>
      <c r="F402" s="178">
        <f t="shared" si="198"/>
        <v>2.6477632980193535</v>
      </c>
      <c r="G402" s="178">
        <f t="shared" si="198"/>
        <v>1.9737871857962455</v>
      </c>
      <c r="H402" s="178">
        <f t="shared" si="198"/>
        <v>1.9737871857962455</v>
      </c>
      <c r="I402" s="178">
        <f t="shared" si="198"/>
        <v>2.2096788250743336</v>
      </c>
      <c r="J402" s="232">
        <f t="shared" si="198"/>
        <v>2.25387240157582</v>
      </c>
      <c r="K402" s="178">
        <f t="shared" si="198"/>
        <v>2.2989498496073364</v>
      </c>
      <c r="L402" s="178">
        <f t="shared" si="198"/>
        <v>2.3449288465994833</v>
      </c>
      <c r="M402" s="178">
        <f t="shared" si="198"/>
        <v>2.3918274235314727</v>
      </c>
      <c r="N402" s="178">
        <f t="shared" si="198"/>
        <v>2.4396639720021023</v>
      </c>
      <c r="O402" s="178">
        <f t="shared" si="198"/>
        <v>2.4884572514421444</v>
      </c>
      <c r="P402" s="178">
        <f t="shared" si="198"/>
        <v>2.5382263964709875</v>
      </c>
      <c r="Q402" s="178">
        <f t="shared" si="198"/>
        <v>2.5889909244004072</v>
      </c>
      <c r="R402" s="178">
        <f t="shared" si="198"/>
        <v>2.640770742888415</v>
      </c>
      <c r="S402" s="178">
        <f t="shared" si="198"/>
        <v>2.6935861577461835</v>
      </c>
      <c r="T402" s="178">
        <f t="shared" si="198"/>
        <v>2.747457880901107</v>
      </c>
      <c r="U402" s="178">
        <f t="shared" si="198"/>
        <v>2.8024070385191293</v>
      </c>
      <c r="V402" s="178">
        <f t="shared" si="198"/>
        <v>2.858455179289512</v>
      </c>
      <c r="W402" s="178">
        <f t="shared" si="198"/>
        <v>2.915624282875302</v>
      </c>
    </row>
    <row r="403" spans="1:23" s="170" customFormat="1" ht="12.75">
      <c r="A403" s="171" t="s">
        <v>8</v>
      </c>
      <c r="B403" s="172" t="str">
        <f>B395</f>
        <v>$ Million</v>
      </c>
      <c r="C403" s="178">
        <f aca="true" t="shared" si="199" ref="C403:W403">C395*C399</f>
        <v>0</v>
      </c>
      <c r="D403" s="178">
        <f t="shared" si="199"/>
        <v>0.3160661939028021</v>
      </c>
      <c r="E403" s="232">
        <f t="shared" si="199"/>
        <v>0.7506572105191549</v>
      </c>
      <c r="F403" s="178">
        <f t="shared" si="199"/>
        <v>0.6755914894672393</v>
      </c>
      <c r="G403" s="178">
        <f t="shared" si="199"/>
        <v>0.45982664371883847</v>
      </c>
      <c r="H403" s="178">
        <f t="shared" si="199"/>
        <v>0.4368353115328966</v>
      </c>
      <c r="I403" s="178">
        <f t="shared" si="199"/>
        <v>0.4890424585209745</v>
      </c>
      <c r="J403" s="232">
        <f t="shared" si="199"/>
        <v>0.49882330769139405</v>
      </c>
      <c r="K403" s="178">
        <f t="shared" si="199"/>
        <v>0.5087997738452219</v>
      </c>
      <c r="L403" s="178">
        <f t="shared" si="199"/>
        <v>0.5189757693221264</v>
      </c>
      <c r="M403" s="178">
        <f t="shared" si="199"/>
        <v>0.529355284708569</v>
      </c>
      <c r="N403" s="178">
        <f t="shared" si="199"/>
        <v>0.5399423904027403</v>
      </c>
      <c r="O403" s="178">
        <f t="shared" si="199"/>
        <v>0.5507412382107951</v>
      </c>
      <c r="P403" s="178">
        <f t="shared" si="199"/>
        <v>0.561756062975011</v>
      </c>
      <c r="Q403" s="178">
        <f t="shared" si="199"/>
        <v>0.5729911842345113</v>
      </c>
      <c r="R403" s="178">
        <f t="shared" si="199"/>
        <v>0.5844510079192015</v>
      </c>
      <c r="S403" s="178">
        <f t="shared" si="199"/>
        <v>0.5961400280775856</v>
      </c>
      <c r="T403" s="178">
        <f t="shared" si="199"/>
        <v>0.6080628286391373</v>
      </c>
      <c r="U403" s="178">
        <f t="shared" si="199"/>
        <v>0.6202240852119201</v>
      </c>
      <c r="V403" s="178">
        <f t="shared" si="199"/>
        <v>0.6326285669161585</v>
      </c>
      <c r="W403" s="178">
        <f t="shared" si="199"/>
        <v>0.6452811382544817</v>
      </c>
    </row>
    <row r="404" spans="1:23" s="170" customFormat="1" ht="12.75">
      <c r="A404" s="171" t="s">
        <v>12</v>
      </c>
      <c r="B404" s="172" t="str">
        <f>B396</f>
        <v>$ Million</v>
      </c>
      <c r="C404" s="178">
        <f aca="true" t="shared" si="200" ref="C404:W404">C396*C400</f>
        <v>0</v>
      </c>
      <c r="D404" s="178">
        <f t="shared" si="200"/>
        <v>1.7443963679999996</v>
      </c>
      <c r="E404" s="232">
        <f t="shared" si="200"/>
        <v>4.20260426006138</v>
      </c>
      <c r="F404" s="178">
        <f t="shared" si="200"/>
        <v>3.9533332675173423</v>
      </c>
      <c r="G404" s="178">
        <f t="shared" si="200"/>
        <v>2.731652026482063</v>
      </c>
      <c r="H404" s="178">
        <f t="shared" si="200"/>
        <v>2.6422676799152063</v>
      </c>
      <c r="I404" s="178">
        <f t="shared" si="200"/>
        <v>2.958050890441658</v>
      </c>
      <c r="J404" s="232">
        <f t="shared" si="200"/>
        <v>3.017211908250491</v>
      </c>
      <c r="K404" s="178">
        <f t="shared" si="200"/>
        <v>3.0775561464155006</v>
      </c>
      <c r="L404" s="178">
        <f t="shared" si="200"/>
        <v>3.139107269343811</v>
      </c>
      <c r="M404" s="178">
        <f t="shared" si="200"/>
        <v>3.2018894147306867</v>
      </c>
      <c r="N404" s="178">
        <f t="shared" si="200"/>
        <v>3.265927203025301</v>
      </c>
      <c r="O404" s="178">
        <f t="shared" si="200"/>
        <v>3.3312457470858075</v>
      </c>
      <c r="P404" s="178">
        <f t="shared" si="200"/>
        <v>3.3978706620275236</v>
      </c>
      <c r="Q404" s="178">
        <f t="shared" si="200"/>
        <v>3.4658280752680737</v>
      </c>
      <c r="R404" s="178">
        <f t="shared" si="200"/>
        <v>3.5351446367734356</v>
      </c>
      <c r="S404" s="178">
        <f t="shared" si="200"/>
        <v>3.605847529508904</v>
      </c>
      <c r="T404" s="178">
        <f t="shared" si="200"/>
        <v>3.6779644800990816</v>
      </c>
      <c r="U404" s="178">
        <f t="shared" si="200"/>
        <v>3.7515237697010635</v>
      </c>
      <c r="V404" s="178">
        <f t="shared" si="200"/>
        <v>3.826554245095085</v>
      </c>
      <c r="W404" s="178">
        <f t="shared" si="200"/>
        <v>3.903085329996987</v>
      </c>
    </row>
    <row r="405" spans="1:23" s="170" customFormat="1" ht="12.75">
      <c r="A405" s="174" t="s">
        <v>242</v>
      </c>
      <c r="B405" s="172"/>
      <c r="C405" s="177"/>
      <c r="D405" s="176"/>
      <c r="E405" s="231"/>
      <c r="F405" s="176"/>
      <c r="G405" s="176"/>
      <c r="H405" s="176"/>
      <c r="I405" s="176"/>
      <c r="J405" s="231"/>
      <c r="K405" s="176"/>
      <c r="L405" s="176"/>
      <c r="M405" s="176"/>
      <c r="N405" s="176"/>
      <c r="O405" s="176"/>
      <c r="P405" s="176"/>
      <c r="Q405" s="176"/>
      <c r="R405" s="176"/>
      <c r="S405" s="176"/>
      <c r="T405" s="176"/>
      <c r="U405" s="176"/>
      <c r="V405" s="176"/>
      <c r="W405" s="176"/>
    </row>
    <row r="406" spans="1:23" s="170" customFormat="1" ht="12.75">
      <c r="A406" s="171" t="s">
        <v>5</v>
      </c>
      <c r="B406" s="172" t="str">
        <f>B394</f>
        <v>$ Million</v>
      </c>
      <c r="C406" s="178">
        <f>C394-C402</f>
        <v>49.12926900000001</v>
      </c>
      <c r="D406" s="178">
        <f aca="true" t="shared" si="201" ref="D406:W406">D394-D402</f>
        <v>48.04842508200001</v>
      </c>
      <c r="E406" s="232">
        <f t="shared" si="201"/>
        <v>45.948301958876826</v>
      </c>
      <c r="F406" s="178">
        <f t="shared" si="201"/>
        <v>45.4933875750598</v>
      </c>
      <c r="G406" s="178">
        <f t="shared" si="201"/>
        <v>46.16736368728291</v>
      </c>
      <c r="H406" s="178">
        <f t="shared" si="201"/>
        <v>46.16736368728291</v>
      </c>
      <c r="I406" s="178">
        <f t="shared" si="201"/>
        <v>46.89429506546641</v>
      </c>
      <c r="J406" s="232">
        <f t="shared" si="201"/>
        <v>47.83218096677574</v>
      </c>
      <c r="K406" s="178">
        <f t="shared" si="201"/>
        <v>48.78882458611125</v>
      </c>
      <c r="L406" s="178">
        <f t="shared" si="201"/>
        <v>49.764601077833476</v>
      </c>
      <c r="M406" s="178">
        <f t="shared" si="201"/>
        <v>50.75989309939015</v>
      </c>
      <c r="N406" s="178">
        <f t="shared" si="201"/>
        <v>51.775090961377956</v>
      </c>
      <c r="O406" s="178">
        <f t="shared" si="201"/>
        <v>52.81059278060551</v>
      </c>
      <c r="P406" s="178">
        <f t="shared" si="201"/>
        <v>53.86680463621762</v>
      </c>
      <c r="Q406" s="178">
        <f t="shared" si="201"/>
        <v>54.944140728941974</v>
      </c>
      <c r="R406" s="178">
        <f t="shared" si="201"/>
        <v>56.04302354352081</v>
      </c>
      <c r="S406" s="178">
        <f t="shared" si="201"/>
        <v>57.16388401439123</v>
      </c>
      <c r="T406" s="178">
        <f t="shared" si="201"/>
        <v>58.30716169467905</v>
      </c>
      <c r="U406" s="178">
        <f t="shared" si="201"/>
        <v>59.47330492857264</v>
      </c>
      <c r="V406" s="178">
        <f t="shared" si="201"/>
        <v>60.66277102714409</v>
      </c>
      <c r="W406" s="178">
        <f t="shared" si="201"/>
        <v>61.87602644768697</v>
      </c>
    </row>
    <row r="407" spans="1:23" s="170" customFormat="1" ht="12.75">
      <c r="A407" s="171" t="s">
        <v>8</v>
      </c>
      <c r="B407" s="172" t="str">
        <f>B395</f>
        <v>$ Million</v>
      </c>
      <c r="C407" s="178">
        <f aca="true" t="shared" si="202" ref="C407:W407">C395-C403</f>
        <v>13.849054</v>
      </c>
      <c r="D407" s="178">
        <f t="shared" si="202"/>
        <v>14.050578983497294</v>
      </c>
      <c r="E407" s="232">
        <f t="shared" si="202"/>
        <v>12.897655708010934</v>
      </c>
      <c r="F407" s="178">
        <f t="shared" si="202"/>
        <v>11.60789013720984</v>
      </c>
      <c r="G407" s="178">
        <f t="shared" si="202"/>
        <v>10.755457349423564</v>
      </c>
      <c r="H407" s="178">
        <f t="shared" si="202"/>
        <v>10.217684481952388</v>
      </c>
      <c r="I407" s="178">
        <f t="shared" si="202"/>
        <v>10.378567730834014</v>
      </c>
      <c r="J407" s="232">
        <f t="shared" si="202"/>
        <v>10.586139085450696</v>
      </c>
      <c r="K407" s="178">
        <f t="shared" si="202"/>
        <v>10.797861867159709</v>
      </c>
      <c r="L407" s="178">
        <f t="shared" si="202"/>
        <v>11.013819104502904</v>
      </c>
      <c r="M407" s="178">
        <f t="shared" si="202"/>
        <v>11.234095486592963</v>
      </c>
      <c r="N407" s="178">
        <f t="shared" si="202"/>
        <v>11.458777396324823</v>
      </c>
      <c r="O407" s="178">
        <f t="shared" si="202"/>
        <v>11.687952944251318</v>
      </c>
      <c r="P407" s="178">
        <f t="shared" si="202"/>
        <v>11.921712003136346</v>
      </c>
      <c r="Q407" s="178">
        <f t="shared" si="202"/>
        <v>12.160146243199073</v>
      </c>
      <c r="R407" s="178">
        <f t="shared" si="202"/>
        <v>12.403349168063055</v>
      </c>
      <c r="S407" s="178">
        <f t="shared" si="202"/>
        <v>12.651416151424318</v>
      </c>
      <c r="T407" s="178">
        <f t="shared" si="202"/>
        <v>12.904444474452802</v>
      </c>
      <c r="U407" s="178">
        <f t="shared" si="202"/>
        <v>13.16253336394186</v>
      </c>
      <c r="V407" s="178">
        <f t="shared" si="202"/>
        <v>13.425784031220697</v>
      </c>
      <c r="W407" s="178">
        <f t="shared" si="202"/>
        <v>13.694299711845112</v>
      </c>
    </row>
    <row r="408" spans="1:23" s="170" customFormat="1" ht="12.75">
      <c r="A408" s="171" t="s">
        <v>12</v>
      </c>
      <c r="B408" s="172" t="str">
        <f>B396</f>
        <v>$ Million</v>
      </c>
      <c r="C408" s="178">
        <f aca="true" t="shared" si="203" ref="C408:W408">C396-C404</f>
        <v>58.353764999999996</v>
      </c>
      <c r="D408" s="178">
        <f t="shared" si="203"/>
        <v>77.54634763199999</v>
      </c>
      <c r="E408" s="232">
        <f t="shared" si="203"/>
        <v>72.20838228650918</v>
      </c>
      <c r="F408" s="178">
        <f t="shared" si="203"/>
        <v>67.92545341461616</v>
      </c>
      <c r="G408" s="178">
        <f t="shared" si="203"/>
        <v>63.89400715600728</v>
      </c>
      <c r="H408" s="178">
        <f t="shared" si="203"/>
        <v>61.80328548874836</v>
      </c>
      <c r="I408" s="178">
        <f t="shared" si="203"/>
        <v>62.77641334159519</v>
      </c>
      <c r="J408" s="232">
        <f t="shared" si="203"/>
        <v>64.03194160842709</v>
      </c>
      <c r="K408" s="178">
        <f t="shared" si="203"/>
        <v>65.31258044059562</v>
      </c>
      <c r="L408" s="178">
        <f t="shared" si="203"/>
        <v>66.61883204940754</v>
      </c>
      <c r="M408" s="178">
        <f t="shared" si="203"/>
        <v>67.95120869039569</v>
      </c>
      <c r="N408" s="178">
        <f t="shared" si="203"/>
        <v>69.31023286420361</v>
      </c>
      <c r="O408" s="178">
        <f t="shared" si="203"/>
        <v>70.6964375214877</v>
      </c>
      <c r="P408" s="178">
        <f t="shared" si="203"/>
        <v>72.11036627191744</v>
      </c>
      <c r="Q408" s="178">
        <f t="shared" si="203"/>
        <v>73.55257359735579</v>
      </c>
      <c r="R408" s="178">
        <f t="shared" si="203"/>
        <v>75.02362506930291</v>
      </c>
      <c r="S408" s="178">
        <f t="shared" si="203"/>
        <v>76.52409757068897</v>
      </c>
      <c r="T408" s="178">
        <f t="shared" si="203"/>
        <v>78.05457952210274</v>
      </c>
      <c r="U408" s="178">
        <f t="shared" si="203"/>
        <v>79.61567111254479</v>
      </c>
      <c r="V408" s="178">
        <f t="shared" si="203"/>
        <v>81.2079845347957</v>
      </c>
      <c r="W408" s="178">
        <f t="shared" si="203"/>
        <v>82.83214422549162</v>
      </c>
    </row>
    <row r="409" spans="1:23" s="182" customFormat="1" ht="12.75">
      <c r="A409" s="179" t="s">
        <v>241</v>
      </c>
      <c r="B409" s="180"/>
      <c r="C409" s="181"/>
      <c r="D409" s="181"/>
      <c r="E409" s="233"/>
      <c r="F409" s="181"/>
      <c r="G409" s="181"/>
      <c r="H409" s="181"/>
      <c r="I409" s="181"/>
      <c r="J409" s="233"/>
      <c r="K409" s="181"/>
      <c r="L409" s="181"/>
      <c r="M409" s="181"/>
      <c r="N409" s="181"/>
      <c r="O409" s="181"/>
      <c r="P409" s="181"/>
      <c r="Q409" s="181"/>
      <c r="R409" s="181"/>
      <c r="S409" s="181"/>
      <c r="T409" s="181"/>
      <c r="U409" s="181"/>
      <c r="V409" s="181"/>
      <c r="W409" s="181"/>
    </row>
    <row r="410" spans="1:23" s="182" customFormat="1" ht="12.75">
      <c r="A410" s="183" t="s">
        <v>5</v>
      </c>
      <c r="B410" s="180" t="s">
        <v>20</v>
      </c>
      <c r="C410" s="184">
        <f>C86</f>
        <v>0</v>
      </c>
      <c r="D410" s="184">
        <f aca="true" t="shared" si="204" ref="D410:W410">D86</f>
        <v>0</v>
      </c>
      <c r="E410" s="234">
        <f t="shared" si="204"/>
        <v>204.29639393035836</v>
      </c>
      <c r="F410" s="184">
        <f t="shared" si="204"/>
        <v>505.68435791049546</v>
      </c>
      <c r="G410" s="184">
        <f t="shared" si="204"/>
        <v>442.1733084975724</v>
      </c>
      <c r="H410" s="184">
        <f t="shared" si="204"/>
        <v>589.9236294340496</v>
      </c>
      <c r="I410" s="184">
        <f t="shared" si="204"/>
        <v>747.1267957940788</v>
      </c>
      <c r="J410" s="234">
        <f t="shared" si="204"/>
        <v>914.4007218604509</v>
      </c>
      <c r="K410" s="184">
        <f t="shared" si="204"/>
        <v>1092.4039847883153</v>
      </c>
      <c r="L410" s="184">
        <f t="shared" si="204"/>
        <v>1281.8385059653522</v>
      </c>
      <c r="M410" s="184">
        <f t="shared" si="204"/>
        <v>1483.4524092939262</v>
      </c>
      <c r="N410" s="184">
        <f t="shared" si="204"/>
        <v>1698.0430680711167</v>
      </c>
      <c r="O410" s="184">
        <f t="shared" si="204"/>
        <v>1926.4603529131093</v>
      </c>
      <c r="P410" s="184">
        <f t="shared" si="204"/>
        <v>2169.6100939918933</v>
      </c>
      <c r="Q410" s="184">
        <f t="shared" si="204"/>
        <v>2428.45777172784</v>
      </c>
      <c r="R410" s="184">
        <f t="shared" si="204"/>
        <v>2704.0324510152395</v>
      </c>
      <c r="S410" s="184">
        <f t="shared" si="204"/>
        <v>2997.4309750529083</v>
      </c>
      <c r="T410" s="184">
        <f t="shared" si="204"/>
        <v>3309.822435912709</v>
      </c>
      <c r="U410" s="184">
        <f t="shared" si="204"/>
        <v>3642.452940109615</v>
      </c>
      <c r="V410" s="184">
        <f t="shared" si="204"/>
        <v>3996.650688642283</v>
      </c>
      <c r="W410" s="184">
        <f t="shared" si="204"/>
        <v>4373.831392258049</v>
      </c>
    </row>
    <row r="411" spans="1:23" s="182" customFormat="1" ht="12.75">
      <c r="A411" s="183" t="s">
        <v>8</v>
      </c>
      <c r="B411" s="180" t="s">
        <v>20</v>
      </c>
      <c r="C411" s="184">
        <f aca="true" t="shared" si="205" ref="C411:W411">C87</f>
        <v>0</v>
      </c>
      <c r="D411" s="184">
        <f t="shared" si="205"/>
        <v>0</v>
      </c>
      <c r="E411" s="234">
        <f t="shared" si="205"/>
        <v>58.576450294120605</v>
      </c>
      <c r="F411" s="184">
        <f t="shared" si="205"/>
        <v>131.79701316177125</v>
      </c>
      <c r="G411" s="184">
        <f t="shared" si="205"/>
        <v>1147.0956974633395</v>
      </c>
      <c r="H411" s="184">
        <f t="shared" si="205"/>
        <v>1220.015981239231</v>
      </c>
      <c r="I411" s="184">
        <f t="shared" si="205"/>
        <v>1270.3347265049294</v>
      </c>
      <c r="J411" s="234">
        <f t="shared" si="205"/>
        <v>1322.1630341285995</v>
      </c>
      <c r="K411" s="184">
        <f t="shared" si="205"/>
        <v>1375.5461909809792</v>
      </c>
      <c r="L411" s="184">
        <f t="shared" si="205"/>
        <v>1430.5308425389305</v>
      </c>
      <c r="M411" s="184">
        <f t="shared" si="205"/>
        <v>1487.1650336436203</v>
      </c>
      <c r="N411" s="184">
        <f t="shared" si="205"/>
        <v>1545.498250481451</v>
      </c>
      <c r="O411" s="184">
        <f t="shared" si="205"/>
        <v>1605.5814638244162</v>
      </c>
      <c r="P411" s="184">
        <f t="shared" si="205"/>
        <v>1667.467173567671</v>
      </c>
      <c r="Q411" s="184">
        <f t="shared" si="205"/>
        <v>1731.2094546032224</v>
      </c>
      <c r="R411" s="184">
        <f t="shared" si="205"/>
        <v>1796.8640040698408</v>
      </c>
      <c r="S411" s="184">
        <f t="shared" si="205"/>
        <v>1864.488190020458</v>
      </c>
      <c r="T411" s="184">
        <f t="shared" si="205"/>
        <v>1934.1411015495935</v>
      </c>
      <c r="U411" s="184">
        <f t="shared" si="205"/>
        <v>2005.8836004246034</v>
      </c>
      <c r="V411" s="184">
        <f t="shared" si="205"/>
        <v>2079.778374265863</v>
      </c>
      <c r="W411" s="184">
        <f t="shared" si="205"/>
        <v>2155.8899913223613</v>
      </c>
    </row>
    <row r="412" spans="1:23" s="182" customFormat="1" ht="12.75">
      <c r="A412" s="183" t="s">
        <v>12</v>
      </c>
      <c r="B412" s="180" t="s">
        <v>20</v>
      </c>
      <c r="C412" s="184">
        <f aca="true" t="shared" si="206" ref="C412:W412">C88</f>
        <v>0</v>
      </c>
      <c r="D412" s="184">
        <f t="shared" si="206"/>
        <v>0</v>
      </c>
      <c r="E412" s="234">
        <f t="shared" si="206"/>
        <v>338.1017103830559</v>
      </c>
      <c r="F412" s="184">
        <f t="shared" si="206"/>
        <v>795.1193217050168</v>
      </c>
      <c r="G412" s="184">
        <f t="shared" si="206"/>
        <v>6908.887153547434</v>
      </c>
      <c r="H412" s="184">
        <f t="shared" si="206"/>
        <v>9197.716210552438</v>
      </c>
      <c r="I412" s="184">
        <f t="shared" si="206"/>
        <v>10697.575599705677</v>
      </c>
      <c r="J412" s="234">
        <f t="shared" si="206"/>
        <v>12232.252042558752</v>
      </c>
      <c r="K412" s="184">
        <f t="shared" si="206"/>
        <v>13802.16893647453</v>
      </c>
      <c r="L412" s="184">
        <f t="shared" si="206"/>
        <v>15407.726931550833</v>
      </c>
      <c r="M412" s="184">
        <f t="shared" si="206"/>
        <v>17049.30144149319</v>
      </c>
      <c r="N412" s="184">
        <f t="shared" si="206"/>
        <v>18727.240008569264</v>
      </c>
      <c r="O412" s="184">
        <f t="shared" si="206"/>
        <v>20441.859517726873</v>
      </c>
      <c r="P412" s="184">
        <f t="shared" si="206"/>
        <v>22193.44325512666</v>
      </c>
      <c r="Q412" s="184">
        <f t="shared" si="206"/>
        <v>23982.237806564677</v>
      </c>
      <c r="R412" s="184">
        <f t="shared" si="206"/>
        <v>25808.44979154729</v>
      </c>
      <c r="S412" s="184">
        <f t="shared" si="206"/>
        <v>27672.242429138663</v>
      </c>
      <c r="T412" s="184">
        <f t="shared" si="206"/>
        <v>29573.73193213887</v>
      </c>
      <c r="U412" s="184">
        <f t="shared" si="206"/>
        <v>31512.983726678664</v>
      </c>
      <c r="V412" s="184">
        <f t="shared" si="206"/>
        <v>33490.00849494561</v>
      </c>
      <c r="W412" s="184">
        <f t="shared" si="206"/>
        <v>35504.75803949854</v>
      </c>
    </row>
    <row r="413" spans="1:23" s="182" customFormat="1" ht="12.75">
      <c r="A413" s="179" t="s">
        <v>244</v>
      </c>
      <c r="B413" s="181"/>
      <c r="C413" s="181"/>
      <c r="D413" s="181"/>
      <c r="E413" s="233"/>
      <c r="F413" s="181"/>
      <c r="G413" s="181"/>
      <c r="H413" s="181"/>
      <c r="I413" s="181"/>
      <c r="J413" s="233"/>
      <c r="K413" s="181"/>
      <c r="L413" s="181"/>
      <c r="M413" s="181"/>
      <c r="N413" s="181"/>
      <c r="O413" s="181"/>
      <c r="P413" s="181"/>
      <c r="Q413" s="181"/>
      <c r="R413" s="181"/>
      <c r="S413" s="181"/>
      <c r="T413" s="181"/>
      <c r="U413" s="181"/>
      <c r="V413" s="181"/>
      <c r="W413" s="181"/>
    </row>
    <row r="414" spans="1:23" s="182" customFormat="1" ht="12.75">
      <c r="A414" s="183" t="s">
        <v>5</v>
      </c>
      <c r="B414" s="180" t="s">
        <v>25</v>
      </c>
      <c r="C414" s="185">
        <f>C109</f>
        <v>0.0238</v>
      </c>
      <c r="D414" s="185">
        <f aca="true" t="shared" si="207" ref="D414:W416">D109</f>
        <v>0.0238</v>
      </c>
      <c r="E414" s="235">
        <f t="shared" si="207"/>
        <v>0.0238</v>
      </c>
      <c r="F414" s="185">
        <f t="shared" si="207"/>
        <v>0.0238</v>
      </c>
      <c r="G414" s="185">
        <f t="shared" si="207"/>
        <v>0.0238</v>
      </c>
      <c r="H414" s="185">
        <f t="shared" si="207"/>
        <v>0.0238</v>
      </c>
      <c r="I414" s="185">
        <f t="shared" si="207"/>
        <v>0.024276000000000002</v>
      </c>
      <c r="J414" s="235">
        <f t="shared" si="207"/>
        <v>0.024761520000000002</v>
      </c>
      <c r="K414" s="185">
        <f t="shared" si="207"/>
        <v>0.025256750400000003</v>
      </c>
      <c r="L414" s="185">
        <f t="shared" si="207"/>
        <v>0.025761885408000004</v>
      </c>
      <c r="M414" s="185">
        <f t="shared" si="207"/>
        <v>0.026277123116160005</v>
      </c>
      <c r="N414" s="185">
        <f t="shared" si="207"/>
        <v>0.026802665578483206</v>
      </c>
      <c r="O414" s="185">
        <f t="shared" si="207"/>
        <v>0.02733871889005287</v>
      </c>
      <c r="P414" s="185">
        <f t="shared" si="207"/>
        <v>0.027885493267853927</v>
      </c>
      <c r="Q414" s="185">
        <f t="shared" si="207"/>
        <v>0.028443203133211005</v>
      </c>
      <c r="R414" s="185">
        <f t="shared" si="207"/>
        <v>0.029012067195875225</v>
      </c>
      <c r="S414" s="185">
        <f t="shared" si="207"/>
        <v>0.02959230853979273</v>
      </c>
      <c r="T414" s="185">
        <f t="shared" si="207"/>
        <v>0.030184154710588586</v>
      </c>
      <c r="U414" s="185">
        <f t="shared" si="207"/>
        <v>0.030787837804800357</v>
      </c>
      <c r="V414" s="185">
        <f t="shared" si="207"/>
        <v>0.031403594560896364</v>
      </c>
      <c r="W414" s="185">
        <f t="shared" si="207"/>
        <v>0.03203166645211429</v>
      </c>
    </row>
    <row r="415" spans="1:23" s="182" customFormat="1" ht="12.75">
      <c r="A415" s="183" t="s">
        <v>8</v>
      </c>
      <c r="B415" s="180" t="s">
        <v>25</v>
      </c>
      <c r="C415" s="185">
        <f aca="true" t="shared" si="208" ref="C415:R416">C110</f>
        <v>0.0233</v>
      </c>
      <c r="D415" s="185">
        <f t="shared" si="208"/>
        <v>0.0233</v>
      </c>
      <c r="E415" s="235">
        <f t="shared" si="208"/>
        <v>0.0233</v>
      </c>
      <c r="F415" s="185">
        <f t="shared" si="208"/>
        <v>0.0233</v>
      </c>
      <c r="G415" s="185">
        <f t="shared" si="208"/>
        <v>0.0233</v>
      </c>
      <c r="H415" s="185">
        <f t="shared" si="208"/>
        <v>0.0233</v>
      </c>
      <c r="I415" s="185">
        <f t="shared" si="208"/>
        <v>0.023766000000000002</v>
      </c>
      <c r="J415" s="235">
        <f t="shared" si="208"/>
        <v>0.024241320000000004</v>
      </c>
      <c r="K415" s="185">
        <f t="shared" si="208"/>
        <v>0.024726146400000003</v>
      </c>
      <c r="L415" s="185">
        <f t="shared" si="208"/>
        <v>0.025220669328000003</v>
      </c>
      <c r="M415" s="185">
        <f t="shared" si="208"/>
        <v>0.025725082714560005</v>
      </c>
      <c r="N415" s="185">
        <f t="shared" si="208"/>
        <v>0.026239584368851206</v>
      </c>
      <c r="O415" s="185">
        <f t="shared" si="208"/>
        <v>0.02676437605622823</v>
      </c>
      <c r="P415" s="185">
        <f t="shared" si="208"/>
        <v>0.027299663577352796</v>
      </c>
      <c r="Q415" s="185">
        <f t="shared" si="208"/>
        <v>0.027845656848899853</v>
      </c>
      <c r="R415" s="185">
        <f t="shared" si="208"/>
        <v>0.02840256998587785</v>
      </c>
      <c r="S415" s="185">
        <f t="shared" si="207"/>
        <v>0.028970621385595408</v>
      </c>
      <c r="T415" s="185">
        <f t="shared" si="207"/>
        <v>0.029550033813307317</v>
      </c>
      <c r="U415" s="185">
        <f t="shared" si="207"/>
        <v>0.030141034489573466</v>
      </c>
      <c r="V415" s="185">
        <f t="shared" si="207"/>
        <v>0.030743855179364937</v>
      </c>
      <c r="W415" s="185">
        <f t="shared" si="207"/>
        <v>0.03135873228295224</v>
      </c>
    </row>
    <row r="416" spans="1:23" s="182" customFormat="1" ht="12.75">
      <c r="A416" s="183" t="s">
        <v>12</v>
      </c>
      <c r="B416" s="180" t="s">
        <v>25</v>
      </c>
      <c r="C416" s="185">
        <f t="shared" si="208"/>
        <v>0.0226</v>
      </c>
      <c r="D416" s="185">
        <f t="shared" si="207"/>
        <v>0.0226</v>
      </c>
      <c r="E416" s="235">
        <f t="shared" si="207"/>
        <v>0.0226</v>
      </c>
      <c r="F416" s="185">
        <f t="shared" si="207"/>
        <v>0.0226</v>
      </c>
      <c r="G416" s="185">
        <f t="shared" si="207"/>
        <v>0.0226</v>
      </c>
      <c r="H416" s="185">
        <f t="shared" si="207"/>
        <v>0.0226</v>
      </c>
      <c r="I416" s="185">
        <f t="shared" si="207"/>
        <v>0.023052</v>
      </c>
      <c r="J416" s="235">
        <f t="shared" si="207"/>
        <v>0.02351304</v>
      </c>
      <c r="K416" s="185">
        <f t="shared" si="207"/>
        <v>0.0239833008</v>
      </c>
      <c r="L416" s="185">
        <f t="shared" si="207"/>
        <v>0.024462966816</v>
      </c>
      <c r="M416" s="185">
        <f t="shared" si="207"/>
        <v>0.02495222615232</v>
      </c>
      <c r="N416" s="185">
        <f t="shared" si="207"/>
        <v>0.025451270675366403</v>
      </c>
      <c r="O416" s="185">
        <f t="shared" si="207"/>
        <v>0.025960296088873732</v>
      </c>
      <c r="P416" s="185">
        <f t="shared" si="207"/>
        <v>0.026479502010651208</v>
      </c>
      <c r="Q416" s="185">
        <f t="shared" si="207"/>
        <v>0.02700909205086423</v>
      </c>
      <c r="R416" s="185">
        <f t="shared" si="207"/>
        <v>0.027549273891881516</v>
      </c>
      <c r="S416" s="185">
        <f t="shared" si="207"/>
        <v>0.028100259369719147</v>
      </c>
      <c r="T416" s="185">
        <f t="shared" si="207"/>
        <v>0.02866226455711353</v>
      </c>
      <c r="U416" s="185">
        <f t="shared" si="207"/>
        <v>0.0292355098482558</v>
      </c>
      <c r="V416" s="185">
        <f t="shared" si="207"/>
        <v>0.029820220045220915</v>
      </c>
      <c r="W416" s="185">
        <f t="shared" si="207"/>
        <v>0.030416624446125334</v>
      </c>
    </row>
    <row r="417" spans="1:23" s="182" customFormat="1" ht="12.75">
      <c r="A417" s="186" t="s">
        <v>245</v>
      </c>
      <c r="B417" s="180"/>
      <c r="C417" s="185"/>
      <c r="D417" s="181"/>
      <c r="E417" s="233"/>
      <c r="F417" s="181"/>
      <c r="G417" s="181"/>
      <c r="H417" s="181"/>
      <c r="I417" s="181"/>
      <c r="J417" s="233"/>
      <c r="K417" s="181"/>
      <c r="L417" s="181"/>
      <c r="M417" s="181"/>
      <c r="N417" s="181"/>
      <c r="O417" s="181"/>
      <c r="P417" s="181"/>
      <c r="Q417" s="181"/>
      <c r="R417" s="181"/>
      <c r="S417" s="181"/>
      <c r="T417" s="181"/>
      <c r="U417" s="181"/>
      <c r="V417" s="181"/>
      <c r="W417" s="181"/>
    </row>
    <row r="418" spans="1:23" s="182" customFormat="1" ht="12.75">
      <c r="A418" s="183" t="s">
        <v>5</v>
      </c>
      <c r="B418" s="180" t="s">
        <v>25</v>
      </c>
      <c r="C418" s="185">
        <f>C376</f>
        <v>0</v>
      </c>
      <c r="D418" s="185">
        <f aca="true" t="shared" si="209" ref="D418:W418">D376</f>
        <v>0.016029324914231015</v>
      </c>
      <c r="E418" s="235">
        <f t="shared" si="209"/>
        <v>0.016029324914231015</v>
      </c>
      <c r="F418" s="185">
        <f t="shared" si="209"/>
        <v>0.016029324914231015</v>
      </c>
      <c r="G418" s="185">
        <f t="shared" si="209"/>
        <v>0.016029324914231015</v>
      </c>
      <c r="H418" s="185">
        <f t="shared" si="209"/>
        <v>0.016029324914231015</v>
      </c>
      <c r="I418" s="185">
        <f t="shared" si="209"/>
        <v>0.015769911412515634</v>
      </c>
      <c r="J418" s="235">
        <f t="shared" si="209"/>
        <v>0.015505309640765947</v>
      </c>
      <c r="K418" s="185">
        <f t="shared" si="209"/>
        <v>0.015235415833581267</v>
      </c>
      <c r="L418" s="185">
        <f t="shared" si="209"/>
        <v>0.014960124150252892</v>
      </c>
      <c r="M418" s="185">
        <f t="shared" si="209"/>
        <v>0.014679326633257949</v>
      </c>
      <c r="N418" s="185">
        <f t="shared" si="209"/>
        <v>0.014392913165923105</v>
      </c>
      <c r="O418" s="185">
        <f t="shared" si="209"/>
        <v>0.01410077142924157</v>
      </c>
      <c r="P418" s="185">
        <f t="shared" si="209"/>
        <v>0.0138027868578264</v>
      </c>
      <c r="Q418" s="185">
        <f t="shared" si="209"/>
        <v>0.013498842594982926</v>
      </c>
      <c r="R418" s="185">
        <f t="shared" si="209"/>
        <v>0.013188819446882584</v>
      </c>
      <c r="S418" s="185">
        <f t="shared" si="209"/>
        <v>0.012872595835820237</v>
      </c>
      <c r="T418" s="185">
        <f t="shared" si="209"/>
        <v>0.012550047752536642</v>
      </c>
      <c r="U418" s="185">
        <f t="shared" si="209"/>
        <v>0.012221048707587372</v>
      </c>
      <c r="V418" s="185">
        <f t="shared" si="209"/>
        <v>0.01188546968173912</v>
      </c>
      <c r="W418" s="185">
        <f t="shared" si="209"/>
        <v>0.011543179075373899</v>
      </c>
    </row>
    <row r="419" spans="1:23" s="182" customFormat="1" ht="12.75">
      <c r="A419" s="183" t="s">
        <v>8</v>
      </c>
      <c r="B419" s="180" t="s">
        <v>25</v>
      </c>
      <c r="C419" s="185">
        <f aca="true" t="shared" si="210" ref="C419:W419">C377</f>
        <v>0</v>
      </c>
      <c r="D419" s="185">
        <f t="shared" si="210"/>
        <v>0.013650398475994566</v>
      </c>
      <c r="E419" s="235">
        <f t="shared" si="210"/>
        <v>0.013650398475994566</v>
      </c>
      <c r="F419" s="185">
        <f t="shared" si="210"/>
        <v>0.013650398475994566</v>
      </c>
      <c r="G419" s="185">
        <f t="shared" si="210"/>
        <v>0.013650398475994566</v>
      </c>
      <c r="H419" s="185">
        <f t="shared" si="210"/>
        <v>0.013650398475994566</v>
      </c>
      <c r="I419" s="185">
        <f t="shared" si="210"/>
        <v>0.013343406445514454</v>
      </c>
      <c r="J419" s="235">
        <f t="shared" si="210"/>
        <v>0.013030274574424745</v>
      </c>
      <c r="K419" s="185">
        <f t="shared" si="210"/>
        <v>0.012710880065913241</v>
      </c>
      <c r="L419" s="185">
        <f t="shared" si="210"/>
        <v>0.012385097667231504</v>
      </c>
      <c r="M419" s="185">
        <f t="shared" si="210"/>
        <v>0.012052799620576132</v>
      </c>
      <c r="N419" s="185">
        <f t="shared" si="210"/>
        <v>0.011713855612987652</v>
      </c>
      <c r="O419" s="185">
        <f t="shared" si="210"/>
        <v>0.011368132725247407</v>
      </c>
      <c r="P419" s="185">
        <f t="shared" si="210"/>
        <v>0.011015495379752355</v>
      </c>
      <c r="Q419" s="185">
        <f t="shared" si="210"/>
        <v>0.0106558052873474</v>
      </c>
      <c r="R419" s="185">
        <f t="shared" si="210"/>
        <v>0.010288921393094348</v>
      </c>
      <c r="S419" s="185">
        <f t="shared" si="210"/>
        <v>0.009914699820956236</v>
      </c>
      <c r="T419" s="185">
        <f t="shared" si="210"/>
        <v>0.009532993817375362</v>
      </c>
      <c r="U419" s="185">
        <f t="shared" si="210"/>
        <v>0.009143653693722869</v>
      </c>
      <c r="V419" s="185">
        <f t="shared" si="210"/>
        <v>0.008746526767597324</v>
      </c>
      <c r="W419" s="185">
        <f t="shared" si="210"/>
        <v>0.00834145730294927</v>
      </c>
    </row>
    <row r="420" spans="1:23" s="182" customFormat="1" ht="12.75">
      <c r="A420" s="183" t="s">
        <v>12</v>
      </c>
      <c r="B420" s="180" t="s">
        <v>25</v>
      </c>
      <c r="C420" s="185">
        <f aca="true" t="shared" si="211" ref="C420:W420">C378</f>
        <v>0</v>
      </c>
      <c r="D420" s="185">
        <f t="shared" si="211"/>
        <v>0</v>
      </c>
      <c r="E420" s="235">
        <f t="shared" si="211"/>
        <v>0</v>
      </c>
      <c r="F420" s="185">
        <f t="shared" si="211"/>
        <v>0</v>
      </c>
      <c r="G420" s="185">
        <f t="shared" si="211"/>
        <v>0</v>
      </c>
      <c r="H420" s="185">
        <f t="shared" si="211"/>
        <v>0</v>
      </c>
      <c r="I420" s="185">
        <f t="shared" si="211"/>
        <v>0</v>
      </c>
      <c r="J420" s="235">
        <f t="shared" si="211"/>
        <v>0</v>
      </c>
      <c r="K420" s="185">
        <f t="shared" si="211"/>
        <v>0</v>
      </c>
      <c r="L420" s="185">
        <f t="shared" si="211"/>
        <v>0</v>
      </c>
      <c r="M420" s="185">
        <f t="shared" si="211"/>
        <v>0</v>
      </c>
      <c r="N420" s="185">
        <f t="shared" si="211"/>
        <v>0</v>
      </c>
      <c r="O420" s="185">
        <f t="shared" si="211"/>
        <v>0</v>
      </c>
      <c r="P420" s="185">
        <f t="shared" si="211"/>
        <v>0</v>
      </c>
      <c r="Q420" s="185">
        <f t="shared" si="211"/>
        <v>0</v>
      </c>
      <c r="R420" s="185">
        <f t="shared" si="211"/>
        <v>0</v>
      </c>
      <c r="S420" s="185">
        <f t="shared" si="211"/>
        <v>0</v>
      </c>
      <c r="T420" s="185">
        <f t="shared" si="211"/>
        <v>0</v>
      </c>
      <c r="U420" s="185">
        <f t="shared" si="211"/>
        <v>0</v>
      </c>
      <c r="V420" s="185">
        <f t="shared" si="211"/>
        <v>0</v>
      </c>
      <c r="W420" s="185">
        <f t="shared" si="211"/>
        <v>0</v>
      </c>
    </row>
    <row r="421" spans="1:23" s="182" customFormat="1" ht="12.75">
      <c r="A421" s="179" t="s">
        <v>246</v>
      </c>
      <c r="B421" s="180"/>
      <c r="C421" s="181"/>
      <c r="D421" s="181"/>
      <c r="E421" s="233"/>
      <c r="F421" s="181"/>
      <c r="G421" s="181"/>
      <c r="H421" s="181"/>
      <c r="I421" s="181"/>
      <c r="J421" s="233"/>
      <c r="K421" s="181"/>
      <c r="L421" s="181"/>
      <c r="M421" s="181"/>
      <c r="N421" s="181"/>
      <c r="O421" s="181"/>
      <c r="P421" s="181"/>
      <c r="Q421" s="181"/>
      <c r="R421" s="181"/>
      <c r="S421" s="181"/>
      <c r="T421" s="181"/>
      <c r="U421" s="181"/>
      <c r="V421" s="181"/>
      <c r="W421" s="181"/>
    </row>
    <row r="422" spans="1:23" s="182" customFormat="1" ht="12.75">
      <c r="A422" s="183" t="s">
        <v>5</v>
      </c>
      <c r="B422" s="180" t="s">
        <v>25</v>
      </c>
      <c r="C422" s="185">
        <f>C414-C418</f>
        <v>0.0238</v>
      </c>
      <c r="D422" s="185">
        <f aca="true" t="shared" si="212" ref="D422:W422">D414-D418</f>
        <v>0.007770675085768987</v>
      </c>
      <c r="E422" s="235">
        <f t="shared" si="212"/>
        <v>0.007770675085768987</v>
      </c>
      <c r="F422" s="185">
        <f t="shared" si="212"/>
        <v>0.007770675085768987</v>
      </c>
      <c r="G422" s="185">
        <f t="shared" si="212"/>
        <v>0.007770675085768987</v>
      </c>
      <c r="H422" s="185">
        <f t="shared" si="212"/>
        <v>0.007770675085768987</v>
      </c>
      <c r="I422" s="185">
        <f t="shared" si="212"/>
        <v>0.008506088587484369</v>
      </c>
      <c r="J422" s="235">
        <f t="shared" si="212"/>
        <v>0.009256210359234055</v>
      </c>
      <c r="K422" s="185">
        <f t="shared" si="212"/>
        <v>0.010021334566418736</v>
      </c>
      <c r="L422" s="185">
        <f t="shared" si="212"/>
        <v>0.010801761257747112</v>
      </c>
      <c r="M422" s="185">
        <f t="shared" si="212"/>
        <v>0.011597796482902056</v>
      </c>
      <c r="N422" s="185">
        <f t="shared" si="212"/>
        <v>0.0124097524125601</v>
      </c>
      <c r="O422" s="185">
        <f t="shared" si="212"/>
        <v>0.0132379474608113</v>
      </c>
      <c r="P422" s="185">
        <f t="shared" si="212"/>
        <v>0.014082706410027528</v>
      </c>
      <c r="Q422" s="185">
        <f t="shared" si="212"/>
        <v>0.014944360538228079</v>
      </c>
      <c r="R422" s="185">
        <f t="shared" si="212"/>
        <v>0.01582324774899264</v>
      </c>
      <c r="S422" s="185">
        <f t="shared" si="212"/>
        <v>0.016719712703972493</v>
      </c>
      <c r="T422" s="185">
        <f t="shared" si="212"/>
        <v>0.017634106958051943</v>
      </c>
      <c r="U422" s="185">
        <f t="shared" si="212"/>
        <v>0.018566789097212984</v>
      </c>
      <c r="V422" s="185">
        <f t="shared" si="212"/>
        <v>0.019518124879157245</v>
      </c>
      <c r="W422" s="185">
        <f t="shared" si="212"/>
        <v>0.020488487376740392</v>
      </c>
    </row>
    <row r="423" spans="1:23" s="182" customFormat="1" ht="12.75">
      <c r="A423" s="183" t="s">
        <v>8</v>
      </c>
      <c r="B423" s="180" t="s">
        <v>25</v>
      </c>
      <c r="C423" s="185">
        <f aca="true" t="shared" si="213" ref="C423:W423">C415-C419</f>
        <v>0.0233</v>
      </c>
      <c r="D423" s="185">
        <f t="shared" si="213"/>
        <v>0.009649601524005435</v>
      </c>
      <c r="E423" s="235">
        <f t="shared" si="213"/>
        <v>0.009649601524005435</v>
      </c>
      <c r="F423" s="185">
        <f t="shared" si="213"/>
        <v>0.009649601524005435</v>
      </c>
      <c r="G423" s="185">
        <f t="shared" si="213"/>
        <v>0.009649601524005435</v>
      </c>
      <c r="H423" s="185">
        <f t="shared" si="213"/>
        <v>0.009649601524005435</v>
      </c>
      <c r="I423" s="185">
        <f t="shared" si="213"/>
        <v>0.010422593554485549</v>
      </c>
      <c r="J423" s="235">
        <f t="shared" si="213"/>
        <v>0.011211045425575258</v>
      </c>
      <c r="K423" s="185">
        <f t="shared" si="213"/>
        <v>0.012015266334086762</v>
      </c>
      <c r="L423" s="185">
        <f t="shared" si="213"/>
        <v>0.0128355716607685</v>
      </c>
      <c r="M423" s="185">
        <f t="shared" si="213"/>
        <v>0.013672283093983873</v>
      </c>
      <c r="N423" s="185">
        <f t="shared" si="213"/>
        <v>0.014525728755863554</v>
      </c>
      <c r="O423" s="185">
        <f t="shared" si="213"/>
        <v>0.015396243330980823</v>
      </c>
      <c r="P423" s="185">
        <f t="shared" si="213"/>
        <v>0.01628416819760044</v>
      </c>
      <c r="Q423" s="185">
        <f t="shared" si="213"/>
        <v>0.017189851561552453</v>
      </c>
      <c r="R423" s="185">
        <f t="shared" si="213"/>
        <v>0.018113648592783502</v>
      </c>
      <c r="S423" s="185">
        <f t="shared" si="213"/>
        <v>0.019055921564639172</v>
      </c>
      <c r="T423" s="185">
        <f t="shared" si="213"/>
        <v>0.020017039995931955</v>
      </c>
      <c r="U423" s="185">
        <f t="shared" si="213"/>
        <v>0.020997380795850597</v>
      </c>
      <c r="V423" s="185">
        <f t="shared" si="213"/>
        <v>0.021997328411767613</v>
      </c>
      <c r="W423" s="185">
        <f t="shared" si="213"/>
        <v>0.02301727498000297</v>
      </c>
    </row>
    <row r="424" spans="1:23" s="182" customFormat="1" ht="12.75">
      <c r="A424" s="183" t="s">
        <v>12</v>
      </c>
      <c r="B424" s="180" t="s">
        <v>25</v>
      </c>
      <c r="C424" s="185">
        <f aca="true" t="shared" si="214" ref="C424:W424">C416-C420</f>
        <v>0.0226</v>
      </c>
      <c r="D424" s="185">
        <f t="shared" si="214"/>
        <v>0.0226</v>
      </c>
      <c r="E424" s="235">
        <f t="shared" si="214"/>
        <v>0.0226</v>
      </c>
      <c r="F424" s="185">
        <f t="shared" si="214"/>
        <v>0.0226</v>
      </c>
      <c r="G424" s="185">
        <f t="shared" si="214"/>
        <v>0.0226</v>
      </c>
      <c r="H424" s="185">
        <f t="shared" si="214"/>
        <v>0.0226</v>
      </c>
      <c r="I424" s="185">
        <f t="shared" si="214"/>
        <v>0.023052</v>
      </c>
      <c r="J424" s="235">
        <f t="shared" si="214"/>
        <v>0.02351304</v>
      </c>
      <c r="K424" s="185">
        <f t="shared" si="214"/>
        <v>0.0239833008</v>
      </c>
      <c r="L424" s="185">
        <f t="shared" si="214"/>
        <v>0.024462966816</v>
      </c>
      <c r="M424" s="185">
        <f t="shared" si="214"/>
        <v>0.02495222615232</v>
      </c>
      <c r="N424" s="185">
        <f t="shared" si="214"/>
        <v>0.025451270675366403</v>
      </c>
      <c r="O424" s="185">
        <f t="shared" si="214"/>
        <v>0.025960296088873732</v>
      </c>
      <c r="P424" s="185">
        <f t="shared" si="214"/>
        <v>0.026479502010651208</v>
      </c>
      <c r="Q424" s="185">
        <f t="shared" si="214"/>
        <v>0.02700909205086423</v>
      </c>
      <c r="R424" s="185">
        <f t="shared" si="214"/>
        <v>0.027549273891881516</v>
      </c>
      <c r="S424" s="185">
        <f t="shared" si="214"/>
        <v>0.028100259369719147</v>
      </c>
      <c r="T424" s="185">
        <f t="shared" si="214"/>
        <v>0.02866226455711353</v>
      </c>
      <c r="U424" s="185">
        <f t="shared" si="214"/>
        <v>0.0292355098482558</v>
      </c>
      <c r="V424" s="185">
        <f t="shared" si="214"/>
        <v>0.029820220045220915</v>
      </c>
      <c r="W424" s="185">
        <f t="shared" si="214"/>
        <v>0.030416624446125334</v>
      </c>
    </row>
    <row r="425" spans="1:23" s="182" customFormat="1" ht="12.75">
      <c r="A425" s="179" t="s">
        <v>247</v>
      </c>
      <c r="B425" s="180"/>
      <c r="C425" s="181"/>
      <c r="D425" s="181"/>
      <c r="E425" s="233"/>
      <c r="F425" s="181"/>
      <c r="G425" s="181"/>
      <c r="H425" s="181"/>
      <c r="I425" s="181"/>
      <c r="J425" s="233"/>
      <c r="K425" s="181"/>
      <c r="L425" s="181"/>
      <c r="M425" s="181"/>
      <c r="N425" s="181"/>
      <c r="O425" s="181"/>
      <c r="P425" s="181"/>
      <c r="Q425" s="181"/>
      <c r="R425" s="181"/>
      <c r="S425" s="181"/>
      <c r="T425" s="181"/>
      <c r="U425" s="181"/>
      <c r="V425" s="181"/>
      <c r="W425" s="181"/>
    </row>
    <row r="426" spans="1:23" s="182" customFormat="1" ht="12.75">
      <c r="A426" s="183" t="s">
        <v>5</v>
      </c>
      <c r="B426" s="187" t="str">
        <f>B406</f>
        <v>$ Million</v>
      </c>
      <c r="C426" s="188">
        <f>C410*C414</f>
        <v>0</v>
      </c>
      <c r="D426" s="188">
        <f aca="true" t="shared" si="215" ref="D426:W426">D410*D414</f>
        <v>0</v>
      </c>
      <c r="E426" s="236">
        <f t="shared" si="215"/>
        <v>4.862254175542529</v>
      </c>
      <c r="F426" s="188">
        <f t="shared" si="215"/>
        <v>12.035287718269792</v>
      </c>
      <c r="G426" s="188">
        <f t="shared" si="215"/>
        <v>10.523724742242225</v>
      </c>
      <c r="H426" s="188">
        <f t="shared" si="215"/>
        <v>14.040182380530382</v>
      </c>
      <c r="I426" s="188">
        <f t="shared" si="215"/>
        <v>18.13725009469706</v>
      </c>
      <c r="J426" s="236">
        <f t="shared" si="215"/>
        <v>22.641951762361995</v>
      </c>
      <c r="K426" s="188">
        <f t="shared" si="215"/>
        <v>27.59057477976388</v>
      </c>
      <c r="L426" s="188">
        <f t="shared" si="215"/>
        <v>33.02257670224133</v>
      </c>
      <c r="M426" s="188">
        <f t="shared" si="215"/>
        <v>38.98086159598068</v>
      </c>
      <c r="N426" s="188">
        <f t="shared" si="215"/>
        <v>45.512080491371734</v>
      </c>
      <c r="O426" s="188">
        <f t="shared" si="215"/>
        <v>52.66695804112354</v>
      </c>
      <c r="P426" s="188">
        <f t="shared" si="215"/>
        <v>60.500647669878866</v>
      </c>
      <c r="Q426" s="188">
        <f t="shared" si="215"/>
        <v>69.0731177016799</v>
      </c>
      <c r="R426" s="188">
        <f t="shared" si="215"/>
        <v>78.44957116868132</v>
      </c>
      <c r="S426" s="188">
        <f t="shared" si="215"/>
        <v>88.70090224049743</v>
      </c>
      <c r="T426" s="188">
        <f t="shared" si="215"/>
        <v>99.90419247016638</v>
      </c>
      <c r="U426" s="188">
        <f t="shared" si="215"/>
        <v>112.14325033171302</v>
      </c>
      <c r="V426" s="188">
        <f t="shared" si="215"/>
        <v>125.5091978276495</v>
      </c>
      <c r="W426" s="188">
        <f t="shared" si="215"/>
        <v>140.1011082745965</v>
      </c>
    </row>
    <row r="427" spans="1:23" s="182" customFormat="1" ht="12.75">
      <c r="A427" s="183" t="s">
        <v>8</v>
      </c>
      <c r="B427" s="187" t="str">
        <f>B407</f>
        <v>$ Million</v>
      </c>
      <c r="C427" s="188">
        <f aca="true" t="shared" si="216" ref="C427:W427">C411*C415</f>
        <v>0</v>
      </c>
      <c r="D427" s="188">
        <f t="shared" si="216"/>
        <v>0</v>
      </c>
      <c r="E427" s="236">
        <f t="shared" si="216"/>
        <v>1.36483129185301</v>
      </c>
      <c r="F427" s="188">
        <f t="shared" si="216"/>
        <v>3.07087040666927</v>
      </c>
      <c r="G427" s="188">
        <f t="shared" si="216"/>
        <v>26.727329750895812</v>
      </c>
      <c r="H427" s="188">
        <f t="shared" si="216"/>
        <v>28.426372362874083</v>
      </c>
      <c r="I427" s="188">
        <f t="shared" si="216"/>
        <v>30.190775110116157</v>
      </c>
      <c r="J427" s="236">
        <f t="shared" si="216"/>
        <v>32.05097720248231</v>
      </c>
      <c r="K427" s="188">
        <f t="shared" si="216"/>
        <v>34.01195649815806</v>
      </c>
      <c r="L427" s="188">
        <f t="shared" si="216"/>
        <v>36.078945343179605</v>
      </c>
      <c r="M427" s="188">
        <f t="shared" si="216"/>
        <v>38.25744350068354</v>
      </c>
      <c r="N427" s="188">
        <f t="shared" si="216"/>
        <v>40.55323173541996</v>
      </c>
      <c r="O427" s="188">
        <f t="shared" si="216"/>
        <v>42.97238608670608</v>
      </c>
      <c r="P427" s="188">
        <f t="shared" si="216"/>
        <v>45.52129286467676</v>
      </c>
      <c r="Q427" s="188">
        <f t="shared" si="216"/>
        <v>48.2066644064524</v>
      </c>
      <c r="R427" s="188">
        <f t="shared" si="216"/>
        <v>51.035555630698354</v>
      </c>
      <c r="S427" s="188">
        <f t="shared" si="216"/>
        <v>54.015381430996754</v>
      </c>
      <c r="T427" s="188">
        <f t="shared" si="216"/>
        <v>57.15393495049795</v>
      </c>
      <c r="U427" s="188">
        <f t="shared" si="216"/>
        <v>60.459406782467774</v>
      </c>
      <c r="V427" s="188">
        <f t="shared" si="216"/>
        <v>63.94040514360474</v>
      </c>
      <c r="W427" s="188">
        <f t="shared" si="216"/>
        <v>67.60597706937415</v>
      </c>
    </row>
    <row r="428" spans="1:23" s="182" customFormat="1" ht="12.75">
      <c r="A428" s="183" t="s">
        <v>12</v>
      </c>
      <c r="B428" s="187" t="str">
        <f>B408</f>
        <v>$ Million</v>
      </c>
      <c r="C428" s="188">
        <f aca="true" t="shared" si="217" ref="C428:W428">C412*C416</f>
        <v>0</v>
      </c>
      <c r="D428" s="188">
        <f t="shared" si="217"/>
        <v>0</v>
      </c>
      <c r="E428" s="236">
        <f t="shared" si="217"/>
        <v>7.641098654657062</v>
      </c>
      <c r="F428" s="188">
        <f t="shared" si="217"/>
        <v>17.969696670533377</v>
      </c>
      <c r="G428" s="188">
        <f t="shared" si="217"/>
        <v>156.140849670172</v>
      </c>
      <c r="H428" s="188">
        <f t="shared" si="217"/>
        <v>207.86838635848508</v>
      </c>
      <c r="I428" s="188">
        <f t="shared" si="217"/>
        <v>246.60051272441527</v>
      </c>
      <c r="J428" s="236">
        <f t="shared" si="217"/>
        <v>287.6174315667656</v>
      </c>
      <c r="K428" s="188">
        <f t="shared" si="217"/>
        <v>331.0215692958848</v>
      </c>
      <c r="L428" s="188">
        <f t="shared" si="217"/>
        <v>376.9187126365175</v>
      </c>
      <c r="M428" s="188">
        <f t="shared" si="217"/>
        <v>425.41802530721344</v>
      </c>
      <c r="N428" s="188">
        <f t="shared" si="217"/>
        <v>476.6320544606474</v>
      </c>
      <c r="O428" s="188">
        <f t="shared" si="217"/>
        <v>530.6767256873512</v>
      </c>
      <c r="P428" s="188">
        <f t="shared" si="217"/>
        <v>587.6713252973998</v>
      </c>
      <c r="Q428" s="188">
        <f t="shared" si="217"/>
        <v>647.7384685032216</v>
      </c>
      <c r="R428" s="188">
        <f t="shared" si="217"/>
        <v>711.0040520322087</v>
      </c>
      <c r="S428" s="188">
        <f t="shared" si="217"/>
        <v>777.5971896005434</v>
      </c>
      <c r="T428" s="188">
        <f t="shared" si="217"/>
        <v>847.6501285801206</v>
      </c>
      <c r="U428" s="188">
        <f t="shared" si="217"/>
        <v>921.2981460892388</v>
      </c>
      <c r="V428" s="188">
        <f t="shared" si="217"/>
        <v>998.6794226355958</v>
      </c>
      <c r="W428" s="188">
        <f t="shared" si="217"/>
        <v>1079.9348913379763</v>
      </c>
    </row>
    <row r="429" spans="1:23" s="182" customFormat="1" ht="25.5">
      <c r="A429" s="179" t="s">
        <v>254</v>
      </c>
      <c r="B429" s="180"/>
      <c r="C429" s="181"/>
      <c r="D429" s="181"/>
      <c r="E429" s="233"/>
      <c r="F429" s="181"/>
      <c r="G429" s="181"/>
      <c r="H429" s="181"/>
      <c r="I429" s="181"/>
      <c r="J429" s="233"/>
      <c r="K429" s="181"/>
      <c r="L429" s="181"/>
      <c r="M429" s="181"/>
      <c r="N429" s="181"/>
      <c r="O429" s="181"/>
      <c r="P429" s="181"/>
      <c r="Q429" s="181"/>
      <c r="R429" s="181"/>
      <c r="S429" s="181"/>
      <c r="T429" s="181"/>
      <c r="U429" s="181"/>
      <c r="V429" s="181"/>
      <c r="W429" s="181"/>
    </row>
    <row r="430" spans="1:23" s="182" customFormat="1" ht="12.75">
      <c r="A430" s="183" t="s">
        <v>5</v>
      </c>
      <c r="B430" s="180" t="str">
        <f>B426</f>
        <v>$ Million</v>
      </c>
      <c r="C430" s="188">
        <f>C410*C418</f>
        <v>0</v>
      </c>
      <c r="D430" s="188">
        <f aca="true" t="shared" si="218" ref="D430:V430">D410*D418</f>
        <v>0</v>
      </c>
      <c r="E430" s="236">
        <f t="shared" si="218"/>
        <v>3.2747332771154474</v>
      </c>
      <c r="F430" s="188">
        <f t="shared" si="218"/>
        <v>8.105778876991618</v>
      </c>
      <c r="G430" s="188">
        <f t="shared" si="218"/>
        <v>7.087739630308094</v>
      </c>
      <c r="H430" s="188">
        <f t="shared" si="218"/>
        <v>9.456077530780798</v>
      </c>
      <c r="I430" s="188">
        <f t="shared" si="218"/>
        <v>11.782123383589282</v>
      </c>
      <c r="J430" s="236">
        <f t="shared" si="218"/>
        <v>14.17806632818619</v>
      </c>
      <c r="K430" s="188">
        <f t="shared" si="218"/>
        <v>16.643228966511167</v>
      </c>
      <c r="L430" s="188">
        <f t="shared" si="218"/>
        <v>19.17646318981635</v>
      </c>
      <c r="M430" s="188">
        <f t="shared" si="218"/>
        <v>21.776082460919003</v>
      </c>
      <c r="N430" s="188">
        <f t="shared" si="218"/>
        <v>24.43978643074524</v>
      </c>
      <c r="O430" s="188">
        <f t="shared" si="218"/>
        <v>27.1645771039238</v>
      </c>
      <c r="P430" s="188">
        <f t="shared" si="218"/>
        <v>29.946665691958806</v>
      </c>
      <c r="Q430" s="188">
        <f t="shared" si="218"/>
        <v>32.78136920911709</v>
      </c>
      <c r="R430" s="188">
        <f t="shared" si="218"/>
        <v>35.66299577495137</v>
      </c>
      <c r="S430" s="188">
        <f t="shared" si="218"/>
        <v>38.58471748762466</v>
      </c>
      <c r="T430" s="188">
        <f t="shared" si="218"/>
        <v>41.538429623121644</v>
      </c>
      <c r="U430" s="188">
        <f t="shared" si="218"/>
        <v>44.514594796174435</v>
      </c>
      <c r="V430" s="188">
        <f t="shared" si="218"/>
        <v>47.50207058835963</v>
      </c>
      <c r="W430" s="188">
        <f>W410*W418</f>
        <v>50.4879190063266</v>
      </c>
    </row>
    <row r="431" spans="1:23" s="182" customFormat="1" ht="12.75">
      <c r="A431" s="183" t="s">
        <v>8</v>
      </c>
      <c r="B431" s="180" t="str">
        <f>B427</f>
        <v>$ Million</v>
      </c>
      <c r="C431" s="188">
        <f aca="true" t="shared" si="219" ref="C431:V431">C411*C419</f>
        <v>0</v>
      </c>
      <c r="D431" s="188">
        <f t="shared" si="219"/>
        <v>0</v>
      </c>
      <c r="E431" s="236">
        <f t="shared" si="219"/>
        <v>0.7995918878240353</v>
      </c>
      <c r="F431" s="188">
        <f t="shared" si="219"/>
        <v>1.799081747604078</v>
      </c>
      <c r="G431" s="188">
        <f t="shared" si="219"/>
        <v>15.658313360473494</v>
      </c>
      <c r="H431" s="188">
        <f t="shared" si="219"/>
        <v>16.653704290997013</v>
      </c>
      <c r="I431" s="188">
        <f t="shared" si="219"/>
        <v>16.950592577606717</v>
      </c>
      <c r="J431" s="236">
        <f t="shared" si="219"/>
        <v>17.228147366850166</v>
      </c>
      <c r="K431" s="188">
        <f t="shared" si="219"/>
        <v>17.484402658683017</v>
      </c>
      <c r="L431" s="188">
        <f t="shared" si="219"/>
        <v>17.717264200831625</v>
      </c>
      <c r="M431" s="188">
        <f t="shared" si="219"/>
        <v>17.924502153233917</v>
      </c>
      <c r="N431" s="188">
        <f t="shared" si="219"/>
        <v>18.10374335626474</v>
      </c>
      <c r="O431" s="188">
        <f t="shared" si="219"/>
        <v>18.252463181952983</v>
      </c>
      <c r="P431" s="188">
        <f t="shared" si="219"/>
        <v>18.367976946323395</v>
      </c>
      <c r="Q431" s="188">
        <f t="shared" si="219"/>
        <v>18.447430859866827</v>
      </c>
      <c r="R431" s="188">
        <f t="shared" si="219"/>
        <v>18.487792491955354</v>
      </c>
      <c r="S431" s="188">
        <f t="shared" si="219"/>
        <v>18.485840723770853</v>
      </c>
      <c r="T431" s="188">
        <f t="shared" si="219"/>
        <v>18.438155163003845</v>
      </c>
      <c r="U431" s="188">
        <f t="shared" si="219"/>
        <v>18.341104992200552</v>
      </c>
      <c r="V431" s="188">
        <f t="shared" si="219"/>
        <v>18.190837221186417</v>
      </c>
      <c r="W431" s="188">
        <f>W411*W419</f>
        <v>17.98326431247115</v>
      </c>
    </row>
    <row r="432" spans="1:23" s="182" customFormat="1" ht="12.75">
      <c r="A432" s="183" t="s">
        <v>12</v>
      </c>
      <c r="B432" s="180" t="str">
        <f>B428</f>
        <v>$ Million</v>
      </c>
      <c r="C432" s="188">
        <f aca="true" t="shared" si="220" ref="C432:V432">C412*C420</f>
        <v>0</v>
      </c>
      <c r="D432" s="188">
        <f t="shared" si="220"/>
        <v>0</v>
      </c>
      <c r="E432" s="236">
        <f t="shared" si="220"/>
        <v>0</v>
      </c>
      <c r="F432" s="188">
        <f t="shared" si="220"/>
        <v>0</v>
      </c>
      <c r="G432" s="188">
        <f t="shared" si="220"/>
        <v>0</v>
      </c>
      <c r="H432" s="188">
        <f t="shared" si="220"/>
        <v>0</v>
      </c>
      <c r="I432" s="188">
        <f t="shared" si="220"/>
        <v>0</v>
      </c>
      <c r="J432" s="236">
        <f t="shared" si="220"/>
        <v>0</v>
      </c>
      <c r="K432" s="188">
        <f t="shared" si="220"/>
        <v>0</v>
      </c>
      <c r="L432" s="188">
        <f t="shared" si="220"/>
        <v>0</v>
      </c>
      <c r="M432" s="188">
        <f t="shared" si="220"/>
        <v>0</v>
      </c>
      <c r="N432" s="188">
        <f t="shared" si="220"/>
        <v>0</v>
      </c>
      <c r="O432" s="188">
        <f t="shared" si="220"/>
        <v>0</v>
      </c>
      <c r="P432" s="188">
        <f t="shared" si="220"/>
        <v>0</v>
      </c>
      <c r="Q432" s="188">
        <f t="shared" si="220"/>
        <v>0</v>
      </c>
      <c r="R432" s="188">
        <f t="shared" si="220"/>
        <v>0</v>
      </c>
      <c r="S432" s="188">
        <f t="shared" si="220"/>
        <v>0</v>
      </c>
      <c r="T432" s="188">
        <f t="shared" si="220"/>
        <v>0</v>
      </c>
      <c r="U432" s="188">
        <f t="shared" si="220"/>
        <v>0</v>
      </c>
      <c r="V432" s="188">
        <f t="shared" si="220"/>
        <v>0</v>
      </c>
      <c r="W432" s="188">
        <f>W412*W420</f>
        <v>0</v>
      </c>
    </row>
    <row r="433" spans="1:23" s="182" customFormat="1" ht="12.75">
      <c r="A433" s="179" t="s">
        <v>248</v>
      </c>
      <c r="B433" s="180"/>
      <c r="C433" s="181"/>
      <c r="D433" s="181"/>
      <c r="E433" s="233"/>
      <c r="F433" s="181"/>
      <c r="G433" s="181"/>
      <c r="H433" s="181"/>
      <c r="I433" s="181"/>
      <c r="J433" s="233"/>
      <c r="K433" s="181"/>
      <c r="L433" s="181"/>
      <c r="M433" s="181"/>
      <c r="N433" s="181"/>
      <c r="O433" s="181"/>
      <c r="P433" s="181"/>
      <c r="Q433" s="181"/>
      <c r="R433" s="181"/>
      <c r="S433" s="181"/>
      <c r="T433" s="181"/>
      <c r="U433" s="181"/>
      <c r="V433" s="181"/>
      <c r="W433" s="181"/>
    </row>
    <row r="434" spans="1:23" s="182" customFormat="1" ht="12.75">
      <c r="A434" s="183" t="s">
        <v>5</v>
      </c>
      <c r="B434" s="180" t="str">
        <f>B430</f>
        <v>$ Million</v>
      </c>
      <c r="C434" s="188">
        <f>C426-C430</f>
        <v>0</v>
      </c>
      <c r="D434" s="188">
        <f aca="true" t="shared" si="221" ref="D434:W434">D426-D430</f>
        <v>0</v>
      </c>
      <c r="E434" s="236">
        <f t="shared" si="221"/>
        <v>1.5875208984270817</v>
      </c>
      <c r="F434" s="188">
        <f t="shared" si="221"/>
        <v>3.9295088412781745</v>
      </c>
      <c r="G434" s="188">
        <f t="shared" si="221"/>
        <v>3.435985111934131</v>
      </c>
      <c r="H434" s="188">
        <f t="shared" si="221"/>
        <v>4.584104849749584</v>
      </c>
      <c r="I434" s="188">
        <f t="shared" si="221"/>
        <v>6.355126711107777</v>
      </c>
      <c r="J434" s="236">
        <f t="shared" si="221"/>
        <v>8.463885434175804</v>
      </c>
      <c r="K434" s="188">
        <f t="shared" si="221"/>
        <v>10.947345813252713</v>
      </c>
      <c r="L434" s="188">
        <f t="shared" si="221"/>
        <v>13.846113512424981</v>
      </c>
      <c r="M434" s="188">
        <f t="shared" si="221"/>
        <v>17.204779135061674</v>
      </c>
      <c r="N434" s="188">
        <f t="shared" si="221"/>
        <v>21.072294060626493</v>
      </c>
      <c r="O434" s="188">
        <f t="shared" si="221"/>
        <v>25.502380937199742</v>
      </c>
      <c r="P434" s="188">
        <f t="shared" si="221"/>
        <v>30.55398197792006</v>
      </c>
      <c r="Q434" s="188">
        <f t="shared" si="221"/>
        <v>36.29174849256282</v>
      </c>
      <c r="R434" s="188">
        <f t="shared" si="221"/>
        <v>42.78657539372995</v>
      </c>
      <c r="S434" s="188">
        <f t="shared" si="221"/>
        <v>50.11618475287277</v>
      </c>
      <c r="T434" s="188">
        <f t="shared" si="221"/>
        <v>58.365762847044735</v>
      </c>
      <c r="U434" s="188">
        <f t="shared" si="221"/>
        <v>67.62865553553858</v>
      </c>
      <c r="V434" s="188">
        <f t="shared" si="221"/>
        <v>78.00712723928987</v>
      </c>
      <c r="W434" s="188">
        <f t="shared" si="221"/>
        <v>89.6131892682699</v>
      </c>
    </row>
    <row r="435" spans="1:23" s="182" customFormat="1" ht="12.75">
      <c r="A435" s="183" t="s">
        <v>8</v>
      </c>
      <c r="B435" s="180" t="str">
        <f>B431</f>
        <v>$ Million</v>
      </c>
      <c r="C435" s="188">
        <f aca="true" t="shared" si="222" ref="C435:W435">C427-C431</f>
        <v>0</v>
      </c>
      <c r="D435" s="188">
        <f t="shared" si="222"/>
        <v>0</v>
      </c>
      <c r="E435" s="236">
        <f t="shared" si="222"/>
        <v>0.5652394040289748</v>
      </c>
      <c r="F435" s="188">
        <f t="shared" si="222"/>
        <v>1.2717886590651921</v>
      </c>
      <c r="G435" s="188">
        <f t="shared" si="222"/>
        <v>11.069016390422318</v>
      </c>
      <c r="H435" s="188">
        <f t="shared" si="222"/>
        <v>11.77266807187707</v>
      </c>
      <c r="I435" s="188">
        <f t="shared" si="222"/>
        <v>13.24018253250944</v>
      </c>
      <c r="J435" s="236">
        <f t="shared" si="222"/>
        <v>14.822829835632142</v>
      </c>
      <c r="K435" s="188">
        <f t="shared" si="222"/>
        <v>16.52755383947504</v>
      </c>
      <c r="L435" s="188">
        <f t="shared" si="222"/>
        <v>18.36168114234798</v>
      </c>
      <c r="M435" s="188">
        <f t="shared" si="222"/>
        <v>20.332941347449626</v>
      </c>
      <c r="N435" s="188">
        <f t="shared" si="222"/>
        <v>22.449488379155223</v>
      </c>
      <c r="O435" s="188">
        <f t="shared" si="222"/>
        <v>24.719922904753098</v>
      </c>
      <c r="P435" s="188">
        <f t="shared" si="222"/>
        <v>27.153315918353364</v>
      </c>
      <c r="Q435" s="188">
        <f t="shared" si="222"/>
        <v>29.75923354658557</v>
      </c>
      <c r="R435" s="188">
        <f t="shared" si="222"/>
        <v>32.547763138743</v>
      </c>
      <c r="S435" s="188">
        <f t="shared" si="222"/>
        <v>35.529540707225905</v>
      </c>
      <c r="T435" s="188">
        <f t="shared" si="222"/>
        <v>38.7157797874941</v>
      </c>
      <c r="U435" s="188">
        <f t="shared" si="222"/>
        <v>42.118301790267225</v>
      </c>
      <c r="V435" s="188">
        <f t="shared" si="222"/>
        <v>45.74956792241832</v>
      </c>
      <c r="W435" s="188">
        <f t="shared" si="222"/>
        <v>49.622712756903</v>
      </c>
    </row>
    <row r="436" spans="1:23" s="182" customFormat="1" ht="12.75">
      <c r="A436" s="183" t="s">
        <v>12</v>
      </c>
      <c r="B436" s="180" t="str">
        <f>B432</f>
        <v>$ Million</v>
      </c>
      <c r="C436" s="188">
        <f aca="true" t="shared" si="223" ref="C436:W436">C428-C432</f>
        <v>0</v>
      </c>
      <c r="D436" s="188">
        <f t="shared" si="223"/>
        <v>0</v>
      </c>
      <c r="E436" s="236">
        <f t="shared" si="223"/>
        <v>7.641098654657062</v>
      </c>
      <c r="F436" s="188">
        <f t="shared" si="223"/>
        <v>17.969696670533377</v>
      </c>
      <c r="G436" s="188">
        <f t="shared" si="223"/>
        <v>156.140849670172</v>
      </c>
      <c r="H436" s="188">
        <f t="shared" si="223"/>
        <v>207.86838635848508</v>
      </c>
      <c r="I436" s="188">
        <f t="shared" si="223"/>
        <v>246.60051272441527</v>
      </c>
      <c r="J436" s="236">
        <f t="shared" si="223"/>
        <v>287.6174315667656</v>
      </c>
      <c r="K436" s="188">
        <f t="shared" si="223"/>
        <v>331.0215692958848</v>
      </c>
      <c r="L436" s="188">
        <f t="shared" si="223"/>
        <v>376.9187126365175</v>
      </c>
      <c r="M436" s="188">
        <f t="shared" si="223"/>
        <v>425.41802530721344</v>
      </c>
      <c r="N436" s="188">
        <f t="shared" si="223"/>
        <v>476.6320544606474</v>
      </c>
      <c r="O436" s="188">
        <f t="shared" si="223"/>
        <v>530.6767256873512</v>
      </c>
      <c r="P436" s="188">
        <f t="shared" si="223"/>
        <v>587.6713252973998</v>
      </c>
      <c r="Q436" s="188">
        <f t="shared" si="223"/>
        <v>647.7384685032216</v>
      </c>
      <c r="R436" s="188">
        <f t="shared" si="223"/>
        <v>711.0040520322087</v>
      </c>
      <c r="S436" s="188">
        <f t="shared" si="223"/>
        <v>777.5971896005434</v>
      </c>
      <c r="T436" s="188">
        <f t="shared" si="223"/>
        <v>847.6501285801206</v>
      </c>
      <c r="U436" s="188">
        <f t="shared" si="223"/>
        <v>921.2981460892388</v>
      </c>
      <c r="V436" s="188">
        <f t="shared" si="223"/>
        <v>998.6794226355958</v>
      </c>
      <c r="W436" s="188">
        <f t="shared" si="223"/>
        <v>1079.9348913379763</v>
      </c>
    </row>
    <row r="437" spans="1:23" s="226" customFormat="1" ht="12.75">
      <c r="A437" s="224"/>
      <c r="B437" s="225" t="s">
        <v>240</v>
      </c>
      <c r="C437" s="227">
        <v>2007</v>
      </c>
      <c r="D437" s="227">
        <v>2008</v>
      </c>
      <c r="E437" s="237">
        <v>2009</v>
      </c>
      <c r="F437" s="227">
        <v>2010</v>
      </c>
      <c r="G437" s="227">
        <v>2011</v>
      </c>
      <c r="H437" s="227">
        <v>2012</v>
      </c>
      <c r="I437" s="227">
        <v>2013</v>
      </c>
      <c r="J437" s="237">
        <v>2014</v>
      </c>
      <c r="K437" s="227">
        <v>2015</v>
      </c>
      <c r="L437" s="227">
        <v>2016</v>
      </c>
      <c r="M437" s="227">
        <v>2017</v>
      </c>
      <c r="N437" s="227">
        <v>2018</v>
      </c>
      <c r="O437" s="227">
        <v>2019</v>
      </c>
      <c r="P437" s="227">
        <v>2020</v>
      </c>
      <c r="Q437" s="227">
        <v>2021</v>
      </c>
      <c r="R437" s="227">
        <v>2022</v>
      </c>
      <c r="S437" s="227">
        <v>2023</v>
      </c>
      <c r="T437" s="227">
        <v>2024</v>
      </c>
      <c r="U437" s="227">
        <v>2025</v>
      </c>
      <c r="V437" s="227">
        <v>2026</v>
      </c>
      <c r="W437" s="227">
        <v>2027</v>
      </c>
    </row>
    <row r="438" spans="1:23" s="191" customFormat="1" ht="12.75">
      <c r="A438" s="189" t="s">
        <v>249</v>
      </c>
      <c r="B438" s="190"/>
      <c r="C438" s="190"/>
      <c r="D438" s="190"/>
      <c r="E438" s="238"/>
      <c r="F438" s="190"/>
      <c r="G438" s="190"/>
      <c r="H438" s="190"/>
      <c r="I438" s="190"/>
      <c r="J438" s="238"/>
      <c r="K438" s="190"/>
      <c r="L438" s="190"/>
      <c r="M438" s="190"/>
      <c r="N438" s="190"/>
      <c r="O438" s="190"/>
      <c r="P438" s="190"/>
      <c r="Q438" s="190"/>
      <c r="R438" s="190"/>
      <c r="S438" s="190"/>
      <c r="T438" s="190"/>
      <c r="U438" s="190"/>
      <c r="V438" s="190"/>
      <c r="W438" s="190"/>
    </row>
    <row r="439" spans="1:23" s="191" customFormat="1" ht="12.75">
      <c r="A439" s="192" t="s">
        <v>5</v>
      </c>
      <c r="B439" s="193" t="str">
        <f>B434</f>
        <v>$ Million</v>
      </c>
      <c r="C439" s="194">
        <f>C394+C426</f>
        <v>49.12926900000001</v>
      </c>
      <c r="D439" s="194">
        <f aca="true" t="shared" si="224" ref="D439:W439">D394+D426</f>
        <v>49.12926900000001</v>
      </c>
      <c r="E439" s="239">
        <f t="shared" si="224"/>
        <v>53.48479593096774</v>
      </c>
      <c r="F439" s="194">
        <f t="shared" si="224"/>
        <v>60.17643859134895</v>
      </c>
      <c r="G439" s="194">
        <f t="shared" si="224"/>
        <v>58.66487561532138</v>
      </c>
      <c r="H439" s="194">
        <f t="shared" si="224"/>
        <v>62.18133325360954</v>
      </c>
      <c r="I439" s="194">
        <f t="shared" si="224"/>
        <v>67.24122398523781</v>
      </c>
      <c r="J439" s="239">
        <f t="shared" si="224"/>
        <v>72.72800513071356</v>
      </c>
      <c r="K439" s="194">
        <f t="shared" si="224"/>
        <v>78.67834921548247</v>
      </c>
      <c r="L439" s="194">
        <f t="shared" si="224"/>
        <v>85.1321066266743</v>
      </c>
      <c r="M439" s="194">
        <f t="shared" si="224"/>
        <v>92.13258211890229</v>
      </c>
      <c r="N439" s="194">
        <f t="shared" si="224"/>
        <v>99.72683542475178</v>
      </c>
      <c r="O439" s="194">
        <f t="shared" si="224"/>
        <v>107.9660080731712</v>
      </c>
      <c r="P439" s="194">
        <f t="shared" si="224"/>
        <v>116.90567870256749</v>
      </c>
      <c r="Q439" s="194">
        <f t="shared" si="224"/>
        <v>126.60624935502229</v>
      </c>
      <c r="R439" s="194">
        <f t="shared" si="224"/>
        <v>137.13336545509054</v>
      </c>
      <c r="S439" s="194">
        <f t="shared" si="224"/>
        <v>148.55837241263484</v>
      </c>
      <c r="T439" s="194">
        <f t="shared" si="224"/>
        <v>160.95881204574653</v>
      </c>
      <c r="U439" s="194">
        <f t="shared" si="224"/>
        <v>174.4189622988048</v>
      </c>
      <c r="V439" s="194">
        <f t="shared" si="224"/>
        <v>189.0304240340831</v>
      </c>
      <c r="W439" s="194">
        <f t="shared" si="224"/>
        <v>204.89275900515878</v>
      </c>
    </row>
    <row r="440" spans="1:23" s="191" customFormat="1" ht="12.75">
      <c r="A440" s="192" t="s">
        <v>8</v>
      </c>
      <c r="B440" s="193" t="str">
        <f>B435</f>
        <v>$ Million</v>
      </c>
      <c r="C440" s="194">
        <f aca="true" t="shared" si="225" ref="C440:W440">C395+C427</f>
        <v>13.849054</v>
      </c>
      <c r="D440" s="194">
        <f t="shared" si="225"/>
        <v>14.366645177400097</v>
      </c>
      <c r="E440" s="239">
        <f t="shared" si="225"/>
        <v>15.013144210383098</v>
      </c>
      <c r="F440" s="194">
        <f t="shared" si="225"/>
        <v>15.354352033346348</v>
      </c>
      <c r="G440" s="194">
        <f t="shared" si="225"/>
        <v>37.94261374403821</v>
      </c>
      <c r="H440" s="194">
        <f t="shared" si="225"/>
        <v>39.08089215635937</v>
      </c>
      <c r="I440" s="194">
        <f t="shared" si="225"/>
        <v>41.05838529947115</v>
      </c>
      <c r="J440" s="239">
        <f t="shared" si="225"/>
        <v>43.1359395956244</v>
      </c>
      <c r="K440" s="194">
        <f t="shared" si="225"/>
        <v>45.318618139162986</v>
      </c>
      <c r="L440" s="194">
        <f t="shared" si="225"/>
        <v>47.61174021700464</v>
      </c>
      <c r="M440" s="194">
        <f t="shared" si="225"/>
        <v>50.02089427198507</v>
      </c>
      <c r="N440" s="194">
        <f t="shared" si="225"/>
        <v>52.551951522147526</v>
      </c>
      <c r="O440" s="194">
        <f t="shared" si="225"/>
        <v>55.21108026916819</v>
      </c>
      <c r="P440" s="194">
        <f t="shared" si="225"/>
        <v>58.004760930788116</v>
      </c>
      <c r="Q440" s="194">
        <f t="shared" si="225"/>
        <v>60.93980183388598</v>
      </c>
      <c r="R440" s="194">
        <f t="shared" si="225"/>
        <v>64.02335580668061</v>
      </c>
      <c r="S440" s="194">
        <f t="shared" si="225"/>
        <v>67.26293761049865</v>
      </c>
      <c r="T440" s="194">
        <f t="shared" si="225"/>
        <v>70.66644225358989</v>
      </c>
      <c r="U440" s="194">
        <f t="shared" si="225"/>
        <v>74.24216423162156</v>
      </c>
      <c r="V440" s="194">
        <f t="shared" si="225"/>
        <v>77.9988177417416</v>
      </c>
      <c r="W440" s="194">
        <f t="shared" si="225"/>
        <v>81.94555791947374</v>
      </c>
    </row>
    <row r="441" spans="1:23" s="191" customFormat="1" ht="12.75">
      <c r="A441" s="192" t="s">
        <v>12</v>
      </c>
      <c r="B441" s="193" t="str">
        <f>B436</f>
        <v>$ Million</v>
      </c>
      <c r="C441" s="194">
        <f aca="true" t="shared" si="226" ref="C441:W441">C396+C428</f>
        <v>58.353764999999996</v>
      </c>
      <c r="D441" s="194">
        <f t="shared" si="226"/>
        <v>79.29074399999999</v>
      </c>
      <c r="E441" s="239">
        <f t="shared" si="226"/>
        <v>84.05208520122761</v>
      </c>
      <c r="F441" s="194">
        <f t="shared" si="226"/>
        <v>89.84848335266688</v>
      </c>
      <c r="G441" s="194">
        <f t="shared" si="226"/>
        <v>222.76650885266133</v>
      </c>
      <c r="H441" s="194">
        <f t="shared" si="226"/>
        <v>272.31393952714865</v>
      </c>
      <c r="I441" s="194">
        <f t="shared" si="226"/>
        <v>312.3349769564521</v>
      </c>
      <c r="J441" s="239">
        <f t="shared" si="226"/>
        <v>354.6665850834432</v>
      </c>
      <c r="K441" s="194">
        <f t="shared" si="226"/>
        <v>399.4117058828959</v>
      </c>
      <c r="L441" s="194">
        <f t="shared" si="226"/>
        <v>446.6766519552689</v>
      </c>
      <c r="M441" s="194">
        <f t="shared" si="226"/>
        <v>496.57112341233983</v>
      </c>
      <c r="N441" s="194">
        <f t="shared" si="226"/>
        <v>549.2082145278763</v>
      </c>
      <c r="O441" s="194">
        <f t="shared" si="226"/>
        <v>604.7044089559247</v>
      </c>
      <c r="P441" s="194">
        <f t="shared" si="226"/>
        <v>663.1795622313448</v>
      </c>
      <c r="Q441" s="194">
        <f t="shared" si="226"/>
        <v>724.7568701758455</v>
      </c>
      <c r="R441" s="194">
        <f t="shared" si="226"/>
        <v>789.562821738285</v>
      </c>
      <c r="S441" s="194">
        <f t="shared" si="226"/>
        <v>857.7271347007413</v>
      </c>
      <c r="T441" s="194">
        <f t="shared" si="226"/>
        <v>929.3826725823225</v>
      </c>
      <c r="U441" s="194">
        <f t="shared" si="226"/>
        <v>1004.6653409714846</v>
      </c>
      <c r="V441" s="194">
        <f t="shared" si="226"/>
        <v>1083.7139614154864</v>
      </c>
      <c r="W441" s="194">
        <f t="shared" si="226"/>
        <v>1166.6701208934649</v>
      </c>
    </row>
    <row r="442" spans="1:23" s="191" customFormat="1" ht="12.75">
      <c r="A442" s="189" t="s">
        <v>253</v>
      </c>
      <c r="B442" s="190"/>
      <c r="C442" s="190"/>
      <c r="D442" s="190"/>
      <c r="E442" s="238"/>
      <c r="F442" s="190"/>
      <c r="G442" s="190"/>
      <c r="H442" s="190"/>
      <c r="I442" s="190"/>
      <c r="J442" s="238"/>
      <c r="K442" s="190"/>
      <c r="L442" s="190"/>
      <c r="M442" s="190"/>
      <c r="N442" s="190"/>
      <c r="O442" s="190"/>
      <c r="P442" s="190"/>
      <c r="Q442" s="190"/>
      <c r="R442" s="190"/>
      <c r="S442" s="190"/>
      <c r="T442" s="190"/>
      <c r="U442" s="190"/>
      <c r="V442" s="190"/>
      <c r="W442" s="190"/>
    </row>
    <row r="443" spans="1:23" s="191" customFormat="1" ht="12.75">
      <c r="A443" s="192" t="s">
        <v>5</v>
      </c>
      <c r="B443" s="193" t="str">
        <f>B439</f>
        <v>$ Million</v>
      </c>
      <c r="C443" s="194">
        <f>C402+C430</f>
        <v>0</v>
      </c>
      <c r="D443" s="194">
        <f aca="true" t="shared" si="227" ref="D443:W443">D402+D430</f>
        <v>1.080843918</v>
      </c>
      <c r="E443" s="239">
        <f t="shared" si="227"/>
        <v>5.948973073663834</v>
      </c>
      <c r="F443" s="194">
        <f t="shared" si="227"/>
        <v>10.75354217501097</v>
      </c>
      <c r="G443" s="194">
        <f t="shared" si="227"/>
        <v>9.061526816104339</v>
      </c>
      <c r="H443" s="194">
        <f t="shared" si="227"/>
        <v>11.429864716577043</v>
      </c>
      <c r="I443" s="194">
        <f t="shared" si="227"/>
        <v>13.991802208663614</v>
      </c>
      <c r="J443" s="239">
        <f t="shared" si="227"/>
        <v>16.43193872976201</v>
      </c>
      <c r="K443" s="194">
        <f t="shared" si="227"/>
        <v>18.942178816118503</v>
      </c>
      <c r="L443" s="194">
        <f t="shared" si="227"/>
        <v>21.521392036415833</v>
      </c>
      <c r="M443" s="194">
        <f t="shared" si="227"/>
        <v>24.167909884450477</v>
      </c>
      <c r="N443" s="194">
        <f t="shared" si="227"/>
        <v>26.87945040274734</v>
      </c>
      <c r="O443" s="194">
        <f t="shared" si="227"/>
        <v>29.653034355365946</v>
      </c>
      <c r="P443" s="194">
        <f t="shared" si="227"/>
        <v>32.484892088429795</v>
      </c>
      <c r="Q443" s="194">
        <f t="shared" si="227"/>
        <v>35.370360133517494</v>
      </c>
      <c r="R443" s="194">
        <f t="shared" si="227"/>
        <v>38.30376651783978</v>
      </c>
      <c r="S443" s="194">
        <f t="shared" si="227"/>
        <v>41.27830364537084</v>
      </c>
      <c r="T443" s="194">
        <f t="shared" si="227"/>
        <v>44.28588750402275</v>
      </c>
      <c r="U443" s="194">
        <f t="shared" si="227"/>
        <v>47.31700183469356</v>
      </c>
      <c r="V443" s="194">
        <f t="shared" si="227"/>
        <v>50.36052576764914</v>
      </c>
      <c r="W443" s="194">
        <f t="shared" si="227"/>
        <v>53.4035432892019</v>
      </c>
    </row>
    <row r="444" spans="1:23" s="191" customFormat="1" ht="12.75">
      <c r="A444" s="192" t="s">
        <v>8</v>
      </c>
      <c r="B444" s="193" t="str">
        <f>B440</f>
        <v>$ Million</v>
      </c>
      <c r="C444" s="194">
        <f aca="true" t="shared" si="228" ref="C444:W444">C403+C431</f>
        <v>0</v>
      </c>
      <c r="D444" s="194">
        <f t="shared" si="228"/>
        <v>0.3160661939028021</v>
      </c>
      <c r="E444" s="239">
        <f t="shared" si="228"/>
        <v>1.5502490983431902</v>
      </c>
      <c r="F444" s="194">
        <f t="shared" si="228"/>
        <v>2.4746732370713174</v>
      </c>
      <c r="G444" s="194">
        <f t="shared" si="228"/>
        <v>16.118140004192334</v>
      </c>
      <c r="H444" s="194">
        <f t="shared" si="228"/>
        <v>17.09053960252991</v>
      </c>
      <c r="I444" s="194">
        <f t="shared" si="228"/>
        <v>17.43963503612769</v>
      </c>
      <c r="J444" s="239">
        <f t="shared" si="228"/>
        <v>17.726970674541562</v>
      </c>
      <c r="K444" s="194">
        <f t="shared" si="228"/>
        <v>17.99320243252824</v>
      </c>
      <c r="L444" s="194">
        <f t="shared" si="228"/>
        <v>18.23623997015375</v>
      </c>
      <c r="M444" s="194">
        <f t="shared" si="228"/>
        <v>18.453857437942485</v>
      </c>
      <c r="N444" s="194">
        <f t="shared" si="228"/>
        <v>18.64368574666748</v>
      </c>
      <c r="O444" s="194">
        <f t="shared" si="228"/>
        <v>18.803204420163777</v>
      </c>
      <c r="P444" s="194">
        <f t="shared" si="228"/>
        <v>18.929733009298406</v>
      </c>
      <c r="Q444" s="194">
        <f t="shared" si="228"/>
        <v>19.020422044101338</v>
      </c>
      <c r="R444" s="194">
        <f t="shared" si="228"/>
        <v>19.072243499874556</v>
      </c>
      <c r="S444" s="194">
        <f t="shared" si="228"/>
        <v>19.081980751848437</v>
      </c>
      <c r="T444" s="194">
        <f t="shared" si="228"/>
        <v>19.046217991642983</v>
      </c>
      <c r="U444" s="194">
        <f t="shared" si="228"/>
        <v>18.961329077412472</v>
      </c>
      <c r="V444" s="194">
        <f t="shared" si="228"/>
        <v>18.823465788102574</v>
      </c>
      <c r="W444" s="194">
        <f t="shared" si="228"/>
        <v>18.628545450725632</v>
      </c>
    </row>
    <row r="445" spans="1:23" s="191" customFormat="1" ht="12.75">
      <c r="A445" s="192" t="s">
        <v>12</v>
      </c>
      <c r="B445" s="193" t="str">
        <f>B441</f>
        <v>$ Million</v>
      </c>
      <c r="C445" s="194">
        <f aca="true" t="shared" si="229" ref="C445:V445">C404+C432</f>
        <v>0</v>
      </c>
      <c r="D445" s="194">
        <f t="shared" si="229"/>
        <v>1.7443963679999996</v>
      </c>
      <c r="E445" s="239">
        <f t="shared" si="229"/>
        <v>4.20260426006138</v>
      </c>
      <c r="F445" s="194">
        <f t="shared" si="229"/>
        <v>3.9533332675173423</v>
      </c>
      <c r="G445" s="194">
        <f t="shared" si="229"/>
        <v>2.731652026482063</v>
      </c>
      <c r="H445" s="194">
        <f t="shared" si="229"/>
        <v>2.6422676799152063</v>
      </c>
      <c r="I445" s="194">
        <f t="shared" si="229"/>
        <v>2.958050890441658</v>
      </c>
      <c r="J445" s="239">
        <f t="shared" si="229"/>
        <v>3.017211908250491</v>
      </c>
      <c r="K445" s="194">
        <f t="shared" si="229"/>
        <v>3.0775561464155006</v>
      </c>
      <c r="L445" s="194">
        <f t="shared" si="229"/>
        <v>3.139107269343811</v>
      </c>
      <c r="M445" s="194">
        <f t="shared" si="229"/>
        <v>3.2018894147306867</v>
      </c>
      <c r="N445" s="194">
        <f t="shared" si="229"/>
        <v>3.265927203025301</v>
      </c>
      <c r="O445" s="194">
        <f t="shared" si="229"/>
        <v>3.3312457470858075</v>
      </c>
      <c r="P445" s="194">
        <f t="shared" si="229"/>
        <v>3.3978706620275236</v>
      </c>
      <c r="Q445" s="194">
        <f t="shared" si="229"/>
        <v>3.4658280752680737</v>
      </c>
      <c r="R445" s="194">
        <f t="shared" si="229"/>
        <v>3.5351446367734356</v>
      </c>
      <c r="S445" s="194">
        <f t="shared" si="229"/>
        <v>3.605847529508904</v>
      </c>
      <c r="T445" s="194">
        <f t="shared" si="229"/>
        <v>3.6779644800990816</v>
      </c>
      <c r="U445" s="194">
        <f t="shared" si="229"/>
        <v>3.7515237697010635</v>
      </c>
      <c r="V445" s="194">
        <f t="shared" si="229"/>
        <v>3.826554245095085</v>
      </c>
      <c r="W445" s="194">
        <f>W404+W432</f>
        <v>3.903085329996987</v>
      </c>
    </row>
    <row r="446" spans="1:23" s="191" customFormat="1" ht="12.75">
      <c r="A446" s="189" t="s">
        <v>250</v>
      </c>
      <c r="B446" s="190"/>
      <c r="C446" s="190"/>
      <c r="D446" s="190"/>
      <c r="E446" s="238"/>
      <c r="F446" s="190"/>
      <c r="G446" s="190"/>
      <c r="H446" s="190"/>
      <c r="I446" s="190"/>
      <c r="J446" s="238"/>
      <c r="K446" s="190"/>
      <c r="L446" s="190"/>
      <c r="M446" s="190"/>
      <c r="N446" s="190"/>
      <c r="O446" s="190"/>
      <c r="P446" s="190"/>
      <c r="Q446" s="190"/>
      <c r="R446" s="190"/>
      <c r="S446" s="190"/>
      <c r="T446" s="190"/>
      <c r="U446" s="190"/>
      <c r="V446" s="190"/>
      <c r="W446" s="190"/>
    </row>
    <row r="447" spans="1:23" s="191" customFormat="1" ht="12.75">
      <c r="A447" s="192" t="s">
        <v>5</v>
      </c>
      <c r="B447" s="193" t="str">
        <f>B443</f>
        <v>$ Million</v>
      </c>
      <c r="C447" s="194">
        <f>C406+C434</f>
        <v>49.12926900000001</v>
      </c>
      <c r="D447" s="194">
        <f aca="true" t="shared" si="230" ref="D447:W447">D406+D434</f>
        <v>48.04842508200001</v>
      </c>
      <c r="E447" s="239">
        <f t="shared" si="230"/>
        <v>47.535822857303906</v>
      </c>
      <c r="F447" s="194">
        <f t="shared" si="230"/>
        <v>49.42289641633798</v>
      </c>
      <c r="G447" s="194">
        <f t="shared" si="230"/>
        <v>49.60334879921704</v>
      </c>
      <c r="H447" s="194">
        <f t="shared" si="230"/>
        <v>50.751468537032494</v>
      </c>
      <c r="I447" s="194">
        <f t="shared" si="230"/>
        <v>53.24942177657419</v>
      </c>
      <c r="J447" s="239">
        <f t="shared" si="230"/>
        <v>56.296066400951545</v>
      </c>
      <c r="K447" s="194">
        <f t="shared" si="230"/>
        <v>59.73617039936396</v>
      </c>
      <c r="L447" s="194">
        <f t="shared" si="230"/>
        <v>63.61071459025845</v>
      </c>
      <c r="M447" s="194">
        <f t="shared" si="230"/>
        <v>67.96467223445183</v>
      </c>
      <c r="N447" s="194">
        <f t="shared" si="230"/>
        <v>72.84738502200445</v>
      </c>
      <c r="O447" s="194">
        <f t="shared" si="230"/>
        <v>78.31297371780525</v>
      </c>
      <c r="P447" s="194">
        <f t="shared" si="230"/>
        <v>84.42078661413768</v>
      </c>
      <c r="Q447" s="194">
        <f t="shared" si="230"/>
        <v>91.23588922150479</v>
      </c>
      <c r="R447" s="194">
        <f t="shared" si="230"/>
        <v>98.82959893725075</v>
      </c>
      <c r="S447" s="194">
        <f t="shared" si="230"/>
        <v>107.280068767264</v>
      </c>
      <c r="T447" s="194">
        <f t="shared" si="230"/>
        <v>116.67292454172379</v>
      </c>
      <c r="U447" s="194">
        <f t="shared" si="230"/>
        <v>127.10196046411122</v>
      </c>
      <c r="V447" s="194">
        <f t="shared" si="230"/>
        <v>138.66989826643396</v>
      </c>
      <c r="W447" s="194">
        <f t="shared" si="230"/>
        <v>151.48921571595687</v>
      </c>
    </row>
    <row r="448" spans="1:23" s="191" customFormat="1" ht="12.75">
      <c r="A448" s="192" t="s">
        <v>8</v>
      </c>
      <c r="B448" s="193" t="str">
        <f>B444</f>
        <v>$ Million</v>
      </c>
      <c r="C448" s="194">
        <f aca="true" t="shared" si="231" ref="C448:W448">C407+C435</f>
        <v>13.849054</v>
      </c>
      <c r="D448" s="194">
        <f t="shared" si="231"/>
        <v>14.050578983497294</v>
      </c>
      <c r="E448" s="239">
        <f t="shared" si="231"/>
        <v>13.46289511203991</v>
      </c>
      <c r="F448" s="194">
        <f t="shared" si="231"/>
        <v>12.879678796275032</v>
      </c>
      <c r="G448" s="194">
        <f t="shared" si="231"/>
        <v>21.82447373984588</v>
      </c>
      <c r="H448" s="194">
        <f t="shared" si="231"/>
        <v>21.99035255382946</v>
      </c>
      <c r="I448" s="194">
        <f t="shared" si="231"/>
        <v>23.618750263343454</v>
      </c>
      <c r="J448" s="239">
        <f t="shared" si="231"/>
        <v>25.408968921082838</v>
      </c>
      <c r="K448" s="194">
        <f t="shared" si="231"/>
        <v>27.32541570663475</v>
      </c>
      <c r="L448" s="194">
        <f t="shared" si="231"/>
        <v>29.375500246850883</v>
      </c>
      <c r="M448" s="194">
        <f t="shared" si="231"/>
        <v>31.56703683404259</v>
      </c>
      <c r="N448" s="194">
        <f t="shared" si="231"/>
        <v>33.90826577548005</v>
      </c>
      <c r="O448" s="194">
        <f t="shared" si="231"/>
        <v>36.40787584900441</v>
      </c>
      <c r="P448" s="194">
        <f t="shared" si="231"/>
        <v>39.075027921489706</v>
      </c>
      <c r="Q448" s="194">
        <f t="shared" si="231"/>
        <v>41.91937978978464</v>
      </c>
      <c r="R448" s="194">
        <f t="shared" si="231"/>
        <v>44.95111230680605</v>
      </c>
      <c r="S448" s="194">
        <f t="shared" si="231"/>
        <v>48.18095685865022</v>
      </c>
      <c r="T448" s="194">
        <f t="shared" si="231"/>
        <v>51.6202242619469</v>
      </c>
      <c r="U448" s="194">
        <f t="shared" si="231"/>
        <v>55.280835154209086</v>
      </c>
      <c r="V448" s="194">
        <f t="shared" si="231"/>
        <v>59.17535195363902</v>
      </c>
      <c r="W448" s="194">
        <f t="shared" si="231"/>
        <v>63.31701246874811</v>
      </c>
    </row>
    <row r="449" spans="1:23" s="191" customFormat="1" ht="12.75">
      <c r="A449" s="192" t="s">
        <v>12</v>
      </c>
      <c r="B449" s="193" t="str">
        <f>B445</f>
        <v>$ Million</v>
      </c>
      <c r="C449" s="194">
        <f aca="true" t="shared" si="232" ref="C449:W449">C408+C436</f>
        <v>58.353764999999996</v>
      </c>
      <c r="D449" s="194">
        <f t="shared" si="232"/>
        <v>77.54634763199999</v>
      </c>
      <c r="E449" s="239">
        <f t="shared" si="232"/>
        <v>79.84948094116623</v>
      </c>
      <c r="F449" s="194">
        <f t="shared" si="232"/>
        <v>85.89515008514954</v>
      </c>
      <c r="G449" s="194">
        <f t="shared" si="232"/>
        <v>220.0348568261793</v>
      </c>
      <c r="H449" s="194">
        <f t="shared" si="232"/>
        <v>269.6716718472334</v>
      </c>
      <c r="I449" s="194">
        <f t="shared" si="232"/>
        <v>309.37692606601047</v>
      </c>
      <c r="J449" s="239">
        <f t="shared" si="232"/>
        <v>351.6493731751927</v>
      </c>
      <c r="K449" s="194">
        <f t="shared" si="232"/>
        <v>396.3341497364804</v>
      </c>
      <c r="L449" s="194">
        <f t="shared" si="232"/>
        <v>443.53754468592507</v>
      </c>
      <c r="M449" s="194">
        <f t="shared" si="232"/>
        <v>493.3692339976091</v>
      </c>
      <c r="N449" s="194">
        <f t="shared" si="232"/>
        <v>545.942287324851</v>
      </c>
      <c r="O449" s="194">
        <f t="shared" si="232"/>
        <v>601.373163208839</v>
      </c>
      <c r="P449" s="194">
        <f t="shared" si="232"/>
        <v>659.7816915693172</v>
      </c>
      <c r="Q449" s="194">
        <f t="shared" si="232"/>
        <v>721.2910421005774</v>
      </c>
      <c r="R449" s="194">
        <f t="shared" si="232"/>
        <v>786.0276771015117</v>
      </c>
      <c r="S449" s="194">
        <f t="shared" si="232"/>
        <v>854.1212871712323</v>
      </c>
      <c r="T449" s="194">
        <f t="shared" si="232"/>
        <v>925.7047081022233</v>
      </c>
      <c r="U449" s="194">
        <f t="shared" si="232"/>
        <v>1000.9138172017836</v>
      </c>
      <c r="V449" s="194">
        <f t="shared" si="232"/>
        <v>1079.8874071703915</v>
      </c>
      <c r="W449" s="194">
        <f t="shared" si="232"/>
        <v>1162.767035563468</v>
      </c>
    </row>
    <row r="450" spans="1:23" s="198" customFormat="1" ht="13.5" customHeight="1">
      <c r="A450" s="195" t="s">
        <v>255</v>
      </c>
      <c r="B450" s="196" t="s">
        <v>61</v>
      </c>
      <c r="C450" s="197">
        <f>SUM(C443:C445)/SUM(C439:C441)</f>
        <v>0</v>
      </c>
      <c r="D450" s="197">
        <f aca="true" t="shared" si="233" ref="D450:W450">SUM(D443:D445)/SUM(D439:D441)</f>
        <v>0.022000000000000002</v>
      </c>
      <c r="E450" s="240">
        <f t="shared" si="233"/>
        <v>0.07670812512675663</v>
      </c>
      <c r="F450" s="197">
        <f t="shared" si="233"/>
        <v>0.1038917892574103</v>
      </c>
      <c r="G450" s="197">
        <f t="shared" si="233"/>
        <v>0.08739383607631519</v>
      </c>
      <c r="H450" s="197">
        <f t="shared" si="233"/>
        <v>0.08341718483101736</v>
      </c>
      <c r="I450" s="197">
        <f t="shared" si="233"/>
        <v>0.08175620659856188</v>
      </c>
      <c r="J450" s="240">
        <f t="shared" si="233"/>
        <v>0.07900894619437988</v>
      </c>
      <c r="K450" s="197">
        <f t="shared" si="233"/>
        <v>0.07644683674720645</v>
      </c>
      <c r="L450" s="197">
        <f t="shared" si="233"/>
        <v>0.07403386549980873</v>
      </c>
      <c r="M450" s="197">
        <f t="shared" si="233"/>
        <v>0.07174243289085877</v>
      </c>
      <c r="N450" s="197">
        <f t="shared" si="233"/>
        <v>0.06955091576874287</v>
      </c>
      <c r="O450" s="197">
        <f t="shared" si="233"/>
        <v>0.06744202680338839</v>
      </c>
      <c r="P450" s="197">
        <f t="shared" si="233"/>
        <v>0.06540168196470687</v>
      </c>
      <c r="Q450" s="197">
        <f t="shared" si="233"/>
        <v>0.06341820123335425</v>
      </c>
      <c r="R450" s="197">
        <f t="shared" si="233"/>
        <v>0.06148173323606711</v>
      </c>
      <c r="S450" s="197">
        <f t="shared" si="233"/>
        <v>0.05958383363238049</v>
      </c>
      <c r="T450" s="197">
        <f t="shared" si="233"/>
        <v>0.057717151127250774</v>
      </c>
      <c r="U450" s="197">
        <f t="shared" si="233"/>
        <v>0.05587519014210903</v>
      </c>
      <c r="V450" s="197">
        <f t="shared" si="233"/>
        <v>0.05405212895267557</v>
      </c>
      <c r="W450" s="197">
        <f t="shared" si="233"/>
        <v>0.05224267853849748</v>
      </c>
    </row>
    <row r="451" spans="1:23" s="198" customFormat="1" ht="13.5" customHeight="1">
      <c r="A451" s="195"/>
      <c r="B451" s="196"/>
      <c r="C451" s="197"/>
      <c r="D451" s="197"/>
      <c r="E451" s="240"/>
      <c r="F451" s="197"/>
      <c r="G451" s="197"/>
      <c r="H451" s="197"/>
      <c r="I451" s="197"/>
      <c r="J451" s="240"/>
      <c r="K451" s="197"/>
      <c r="L451" s="197"/>
      <c r="M451" s="197"/>
      <c r="N451" s="197"/>
      <c r="O451" s="197"/>
      <c r="P451" s="197"/>
      <c r="Q451" s="197"/>
      <c r="R451" s="197"/>
      <c r="S451" s="197"/>
      <c r="T451" s="197"/>
      <c r="U451" s="197"/>
      <c r="V451" s="197"/>
      <c r="W451" s="197"/>
    </row>
    <row r="452" spans="1:23" s="198" customFormat="1" ht="21.75" customHeight="1">
      <c r="A452" s="195" t="s">
        <v>257</v>
      </c>
      <c r="B452" s="196" t="s">
        <v>61</v>
      </c>
      <c r="C452" s="197">
        <v>0.5</v>
      </c>
      <c r="D452" s="197">
        <v>0.5</v>
      </c>
      <c r="E452" s="240">
        <v>0.5</v>
      </c>
      <c r="F452" s="197">
        <v>0.5</v>
      </c>
      <c r="G452" s="197">
        <v>0.5</v>
      </c>
      <c r="H452" s="197">
        <v>0.5</v>
      </c>
      <c r="I452" s="197">
        <v>0.5</v>
      </c>
      <c r="J452" s="240">
        <v>0.5</v>
      </c>
      <c r="K452" s="197">
        <v>0.5</v>
      </c>
      <c r="L452" s="197">
        <v>0.5</v>
      </c>
      <c r="M452" s="197">
        <v>0.5</v>
      </c>
      <c r="N452" s="197">
        <v>0.5</v>
      </c>
      <c r="O452" s="197">
        <v>0.5</v>
      </c>
      <c r="P452" s="197">
        <v>0.5</v>
      </c>
      <c r="Q452" s="197">
        <v>0.5</v>
      </c>
      <c r="R452" s="197">
        <v>0.5</v>
      </c>
      <c r="S452" s="197">
        <v>0.5</v>
      </c>
      <c r="T452" s="197">
        <v>0.5</v>
      </c>
      <c r="U452" s="197">
        <v>0.5</v>
      </c>
      <c r="V452" s="197">
        <v>0.5</v>
      </c>
      <c r="W452" s="197">
        <v>0.5</v>
      </c>
    </row>
    <row r="453" spans="1:23" s="198" customFormat="1" ht="12.75" customHeight="1">
      <c r="A453" s="195" t="s">
        <v>258</v>
      </c>
      <c r="B453" s="196" t="s">
        <v>61</v>
      </c>
      <c r="C453" s="197">
        <f>C450/C452</f>
        <v>0</v>
      </c>
      <c r="D453" s="197">
        <f aca="true" t="shared" si="234" ref="D453:W453">D450/D452</f>
        <v>0.044000000000000004</v>
      </c>
      <c r="E453" s="240">
        <f t="shared" si="234"/>
        <v>0.15341625025351327</v>
      </c>
      <c r="F453" s="197">
        <f>F450/F452</f>
        <v>0.2077835785148206</v>
      </c>
      <c r="G453" s="197">
        <f t="shared" si="234"/>
        <v>0.17478767215263039</v>
      </c>
      <c r="H453" s="197">
        <f t="shared" si="234"/>
        <v>0.16683436966203471</v>
      </c>
      <c r="I453" s="197">
        <f t="shared" si="234"/>
        <v>0.16351241319712376</v>
      </c>
      <c r="J453" s="240">
        <f t="shared" si="234"/>
        <v>0.15801789238875977</v>
      </c>
      <c r="K453" s="197">
        <f t="shared" si="234"/>
        <v>0.1528936734944129</v>
      </c>
      <c r="L453" s="197">
        <f t="shared" si="234"/>
        <v>0.14806773099961745</v>
      </c>
      <c r="M453" s="197">
        <f t="shared" si="234"/>
        <v>0.14348486578171754</v>
      </c>
      <c r="N453" s="197">
        <f t="shared" si="234"/>
        <v>0.13910183153748573</v>
      </c>
      <c r="O453" s="197">
        <f t="shared" si="234"/>
        <v>0.13488405360677677</v>
      </c>
      <c r="P453" s="197">
        <f t="shared" si="234"/>
        <v>0.13080336392941375</v>
      </c>
      <c r="Q453" s="197">
        <f t="shared" si="234"/>
        <v>0.1268364024667085</v>
      </c>
      <c r="R453" s="197">
        <f t="shared" si="234"/>
        <v>0.12296346647213421</v>
      </c>
      <c r="S453" s="197">
        <f t="shared" si="234"/>
        <v>0.11916766726476098</v>
      </c>
      <c r="T453" s="197">
        <f t="shared" si="234"/>
        <v>0.11543430225450155</v>
      </c>
      <c r="U453" s="197">
        <f t="shared" si="234"/>
        <v>0.11175038028421806</v>
      </c>
      <c r="V453" s="197">
        <f t="shared" si="234"/>
        <v>0.10810425790535114</v>
      </c>
      <c r="W453" s="197">
        <f t="shared" si="234"/>
        <v>0.10448535707699497</v>
      </c>
    </row>
    <row r="454" spans="1:23" s="198" customFormat="1" ht="12.75" customHeight="1">
      <c r="A454" s="195"/>
      <c r="B454" s="196"/>
      <c r="C454" s="197"/>
      <c r="D454" s="197"/>
      <c r="E454" s="240"/>
      <c r="F454" s="197"/>
      <c r="G454" s="197"/>
      <c r="H454" s="197"/>
      <c r="I454" s="197"/>
      <c r="J454" s="240"/>
      <c r="K454" s="197"/>
      <c r="L454" s="197"/>
      <c r="M454" s="197"/>
      <c r="N454" s="197"/>
      <c r="O454" s="197"/>
      <c r="P454" s="197"/>
      <c r="Q454" s="197"/>
      <c r="R454" s="197"/>
      <c r="S454" s="197"/>
      <c r="T454" s="197"/>
      <c r="U454" s="197"/>
      <c r="V454" s="197"/>
      <c r="W454" s="197"/>
    </row>
    <row r="455" spans="1:23" s="198" customFormat="1" ht="25.5">
      <c r="A455" s="195" t="s">
        <v>256</v>
      </c>
      <c r="B455" s="196" t="s">
        <v>61</v>
      </c>
      <c r="C455" s="252">
        <v>0.00561</v>
      </c>
      <c r="D455" s="200"/>
      <c r="E455" s="241"/>
      <c r="F455" s="200"/>
      <c r="G455" s="200"/>
      <c r="H455" s="200"/>
      <c r="I455" s="200"/>
      <c r="J455" s="241"/>
      <c r="K455" s="200"/>
      <c r="L455" s="200"/>
      <c r="M455" s="200"/>
      <c r="N455" s="200"/>
      <c r="O455" s="200"/>
      <c r="P455" s="200"/>
      <c r="Q455" s="200"/>
      <c r="R455" s="200"/>
      <c r="S455" s="200"/>
      <c r="T455" s="200"/>
      <c r="U455" s="200"/>
      <c r="V455" s="200"/>
      <c r="W455" s="200"/>
    </row>
    <row r="456" spans="2:23" s="198" customFormat="1" ht="12.75">
      <c r="B456" s="200"/>
      <c r="C456" s="200"/>
      <c r="D456" s="200"/>
      <c r="E456" s="241"/>
      <c r="F456" s="200"/>
      <c r="G456" s="200"/>
      <c r="H456" s="200"/>
      <c r="I456" s="200"/>
      <c r="J456" s="241"/>
      <c r="K456" s="200"/>
      <c r="L456" s="200"/>
      <c r="M456" s="200"/>
      <c r="N456" s="200"/>
      <c r="O456" s="200"/>
      <c r="P456" s="200"/>
      <c r="Q456" s="200"/>
      <c r="R456" s="200"/>
      <c r="S456" s="200"/>
      <c r="T456" s="200"/>
      <c r="U456" s="200"/>
      <c r="V456" s="200"/>
      <c r="W456" s="200"/>
    </row>
    <row r="457" spans="1:23" s="198" customFormat="1" ht="27" customHeight="1">
      <c r="A457" s="195" t="s">
        <v>259</v>
      </c>
      <c r="B457" s="196" t="s">
        <v>61</v>
      </c>
      <c r="C457" s="199">
        <f>C453*$C$455</f>
        <v>0</v>
      </c>
      <c r="D457" s="199">
        <f aca="true" t="shared" si="235" ref="D457:W457">D453*$C$455</f>
        <v>0.00024684000000000007</v>
      </c>
      <c r="E457" s="242">
        <f t="shared" si="235"/>
        <v>0.0008606651639222095</v>
      </c>
      <c r="F457" s="199">
        <f t="shared" si="235"/>
        <v>0.0011656658754681437</v>
      </c>
      <c r="G457" s="199">
        <f t="shared" si="235"/>
        <v>0.0009805588407762566</v>
      </c>
      <c r="H457" s="199">
        <f t="shared" si="235"/>
        <v>0.0009359408138040149</v>
      </c>
      <c r="I457" s="199">
        <f t="shared" si="235"/>
        <v>0.0009173046380358643</v>
      </c>
      <c r="J457" s="242">
        <f t="shared" si="235"/>
        <v>0.0008864803763009424</v>
      </c>
      <c r="K457" s="199">
        <f t="shared" si="235"/>
        <v>0.0008577335083036565</v>
      </c>
      <c r="L457" s="199">
        <f t="shared" si="235"/>
        <v>0.000830659970907854</v>
      </c>
      <c r="M457" s="199">
        <f t="shared" si="235"/>
        <v>0.0008049500970354355</v>
      </c>
      <c r="N457" s="199">
        <f t="shared" si="235"/>
        <v>0.000780361274925295</v>
      </c>
      <c r="O457" s="199">
        <f t="shared" si="235"/>
        <v>0.0007566995407340178</v>
      </c>
      <c r="P457" s="199">
        <f t="shared" si="235"/>
        <v>0.0007338068716440111</v>
      </c>
      <c r="Q457" s="199">
        <f t="shared" si="235"/>
        <v>0.0007115522178382347</v>
      </c>
      <c r="R457" s="199">
        <f t="shared" si="235"/>
        <v>0.0006898250469086729</v>
      </c>
      <c r="S457" s="199">
        <f t="shared" si="235"/>
        <v>0.0006685306133553091</v>
      </c>
      <c r="T457" s="199">
        <f t="shared" si="235"/>
        <v>0.0006475864356477537</v>
      </c>
      <c r="U457" s="199">
        <f t="shared" si="235"/>
        <v>0.0006269196333944634</v>
      </c>
      <c r="V457" s="199">
        <f t="shared" si="235"/>
        <v>0.0006064648868490199</v>
      </c>
      <c r="W457" s="199">
        <f t="shared" si="235"/>
        <v>0.0005861628532019418</v>
      </c>
    </row>
    <row r="458" spans="1:23" s="198" customFormat="1" ht="12.75">
      <c r="A458" s="200"/>
      <c r="B458" s="200"/>
      <c r="C458" s="200"/>
      <c r="D458" s="200"/>
      <c r="E458" s="241"/>
      <c r="F458" s="200"/>
      <c r="G458" s="200"/>
      <c r="H458" s="200"/>
      <c r="I458" s="200"/>
      <c r="J458" s="241"/>
      <c r="K458" s="200"/>
      <c r="L458" s="200"/>
      <c r="M458" s="200"/>
      <c r="N458" s="200"/>
      <c r="O458" s="200"/>
      <c r="P458" s="200"/>
      <c r="Q458" s="200"/>
      <c r="R458" s="200"/>
      <c r="S458" s="200"/>
      <c r="T458" s="200"/>
      <c r="U458" s="200"/>
      <c r="V458" s="200"/>
      <c r="W458" s="200"/>
    </row>
    <row r="459" spans="1:23" s="198" customFormat="1" ht="12.75">
      <c r="A459" s="195" t="s">
        <v>260</v>
      </c>
      <c r="B459" s="196" t="s">
        <v>61</v>
      </c>
      <c r="C459" s="201">
        <v>0.07</v>
      </c>
      <c r="D459" s="201">
        <v>0.07</v>
      </c>
      <c r="E459" s="243">
        <v>0.11</v>
      </c>
      <c r="F459" s="201">
        <v>0.06</v>
      </c>
      <c r="G459" s="201">
        <v>0.06</v>
      </c>
      <c r="H459" s="201">
        <f>G459</f>
        <v>0.06</v>
      </c>
      <c r="I459" s="202">
        <f>H459</f>
        <v>0.06</v>
      </c>
      <c r="J459" s="243">
        <v>0.05</v>
      </c>
      <c r="K459" s="201">
        <f aca="true" t="shared" si="236" ref="K459:P459">J459</f>
        <v>0.05</v>
      </c>
      <c r="L459" s="201">
        <f t="shared" si="236"/>
        <v>0.05</v>
      </c>
      <c r="M459" s="201">
        <f t="shared" si="236"/>
        <v>0.05</v>
      </c>
      <c r="N459" s="201">
        <f t="shared" si="236"/>
        <v>0.05</v>
      </c>
      <c r="O459" s="201">
        <f t="shared" si="236"/>
        <v>0.05</v>
      </c>
      <c r="P459" s="201">
        <f t="shared" si="236"/>
        <v>0.05</v>
      </c>
      <c r="Q459" s="203">
        <v>0.045</v>
      </c>
      <c r="R459" s="203">
        <v>0.045</v>
      </c>
      <c r="S459" s="203">
        <v>0.045</v>
      </c>
      <c r="T459" s="203">
        <v>0.045</v>
      </c>
      <c r="U459" s="203">
        <v>0.045</v>
      </c>
      <c r="V459" s="203">
        <v>0.045</v>
      </c>
      <c r="W459" s="203">
        <v>0.045</v>
      </c>
    </row>
    <row r="460" spans="1:23" s="198" customFormat="1" ht="12.75">
      <c r="A460" s="195"/>
      <c r="B460" s="196"/>
      <c r="C460" s="200"/>
      <c r="D460" s="200"/>
      <c r="E460" s="241"/>
      <c r="F460" s="200"/>
      <c r="G460" s="200"/>
      <c r="H460" s="200"/>
      <c r="I460" s="200"/>
      <c r="J460" s="241"/>
      <c r="K460" s="200"/>
      <c r="L460" s="200"/>
      <c r="M460" s="200"/>
      <c r="N460" s="200"/>
      <c r="O460" s="200"/>
      <c r="P460" s="200"/>
      <c r="Q460" s="200"/>
      <c r="R460" s="200"/>
      <c r="S460" s="200"/>
      <c r="T460" s="200"/>
      <c r="U460" s="200"/>
      <c r="V460" s="200"/>
      <c r="W460" s="200"/>
    </row>
    <row r="461" spans="1:23" s="198" customFormat="1" ht="12.75">
      <c r="A461" s="195" t="s">
        <v>261</v>
      </c>
      <c r="B461" s="196" t="s">
        <v>61</v>
      </c>
      <c r="C461" s="199">
        <f>C459+C457</f>
        <v>0.07</v>
      </c>
      <c r="D461" s="199">
        <f aca="true" t="shared" si="237" ref="D461:W461">D459+D457</f>
        <v>0.07024684</v>
      </c>
      <c r="E461" s="242">
        <f t="shared" si="237"/>
        <v>0.1108606651639222</v>
      </c>
      <c r="F461" s="199">
        <f t="shared" si="237"/>
        <v>0.06116566587546814</v>
      </c>
      <c r="G461" s="199">
        <f t="shared" si="237"/>
        <v>0.06098055884077625</v>
      </c>
      <c r="H461" s="199">
        <f t="shared" si="237"/>
        <v>0.06093594081380401</v>
      </c>
      <c r="I461" s="199">
        <f t="shared" si="237"/>
        <v>0.06091730463803586</v>
      </c>
      <c r="J461" s="242">
        <f t="shared" si="237"/>
        <v>0.05088648037630095</v>
      </c>
      <c r="K461" s="199">
        <f t="shared" si="237"/>
        <v>0.05085773350830366</v>
      </c>
      <c r="L461" s="199">
        <f t="shared" si="237"/>
        <v>0.050830659970907854</v>
      </c>
      <c r="M461" s="199">
        <f t="shared" si="237"/>
        <v>0.05080495009703544</v>
      </c>
      <c r="N461" s="199">
        <f t="shared" si="237"/>
        <v>0.0507803612749253</v>
      </c>
      <c r="O461" s="199">
        <f t="shared" si="237"/>
        <v>0.05075669954073402</v>
      </c>
      <c r="P461" s="199">
        <f t="shared" si="237"/>
        <v>0.05073380687164401</v>
      </c>
      <c r="Q461" s="199">
        <f t="shared" si="237"/>
        <v>0.045711552217838236</v>
      </c>
      <c r="R461" s="199">
        <f t="shared" si="237"/>
        <v>0.045689825046908675</v>
      </c>
      <c r="S461" s="199">
        <f t="shared" si="237"/>
        <v>0.04566853061335531</v>
      </c>
      <c r="T461" s="199">
        <f t="shared" si="237"/>
        <v>0.04564758643564775</v>
      </c>
      <c r="U461" s="199">
        <f t="shared" si="237"/>
        <v>0.045626919633394464</v>
      </c>
      <c r="V461" s="199">
        <f t="shared" si="237"/>
        <v>0.04560646488684902</v>
      </c>
      <c r="W461" s="199">
        <f t="shared" si="237"/>
        <v>0.04558616285320194</v>
      </c>
    </row>
    <row r="462" spans="1:23" s="198" customFormat="1" ht="12.75">
      <c r="A462" s="195"/>
      <c r="B462" s="200"/>
      <c r="C462" s="200"/>
      <c r="D462" s="200"/>
      <c r="E462" s="241"/>
      <c r="F462" s="200"/>
      <c r="G462" s="200"/>
      <c r="H462" s="200"/>
      <c r="I462" s="200"/>
      <c r="J462" s="241"/>
      <c r="K462" s="200"/>
      <c r="L462" s="200"/>
      <c r="M462" s="200"/>
      <c r="N462" s="200"/>
      <c r="O462" s="200"/>
      <c r="P462" s="200"/>
      <c r="Q462" s="200"/>
      <c r="R462" s="200"/>
      <c r="S462" s="200"/>
      <c r="T462" s="200"/>
      <c r="U462" s="200"/>
      <c r="V462" s="200"/>
      <c r="W462" s="200"/>
    </row>
    <row r="463" spans="1:23" s="198" customFormat="1" ht="12.75">
      <c r="A463" s="195" t="s">
        <v>262</v>
      </c>
      <c r="B463" s="196" t="s">
        <v>265</v>
      </c>
      <c r="C463" s="205">
        <f>2788000000*1.07/1000000000</f>
        <v>2.98316</v>
      </c>
      <c r="D463" s="206">
        <f>C463*(1+D459)</f>
        <v>3.1919812</v>
      </c>
      <c r="E463" s="244">
        <f aca="true" t="shared" si="238" ref="E463:W463">D463*(1+E459)</f>
        <v>3.543099132</v>
      </c>
      <c r="F463" s="206">
        <f t="shared" si="238"/>
        <v>3.75568507992</v>
      </c>
      <c r="G463" s="206">
        <f t="shared" si="238"/>
        <v>3.9810261847152004</v>
      </c>
      <c r="H463" s="206">
        <f t="shared" si="238"/>
        <v>4.219887755798113</v>
      </c>
      <c r="I463" s="206">
        <f t="shared" si="238"/>
        <v>4.473081021146</v>
      </c>
      <c r="J463" s="244">
        <f t="shared" si="238"/>
        <v>4.6967350722033006</v>
      </c>
      <c r="K463" s="206">
        <f t="shared" si="238"/>
        <v>4.9315718258134655</v>
      </c>
      <c r="L463" s="206">
        <f t="shared" si="238"/>
        <v>5.178150417104139</v>
      </c>
      <c r="M463" s="206">
        <f t="shared" si="238"/>
        <v>5.437057937959347</v>
      </c>
      <c r="N463" s="206">
        <f t="shared" si="238"/>
        <v>5.708910834857314</v>
      </c>
      <c r="O463" s="206">
        <f t="shared" si="238"/>
        <v>5.99435637660018</v>
      </c>
      <c r="P463" s="206">
        <f t="shared" si="238"/>
        <v>6.2940741954301895</v>
      </c>
      <c r="Q463" s="206">
        <f t="shared" si="238"/>
        <v>6.5773075342245475</v>
      </c>
      <c r="R463" s="206">
        <f t="shared" si="238"/>
        <v>6.873286373264651</v>
      </c>
      <c r="S463" s="206">
        <f t="shared" si="238"/>
        <v>7.18258426006156</v>
      </c>
      <c r="T463" s="206">
        <f t="shared" si="238"/>
        <v>7.50580055176433</v>
      </c>
      <c r="U463" s="206">
        <f t="shared" si="238"/>
        <v>7.843561576593724</v>
      </c>
      <c r="V463" s="206">
        <f t="shared" si="238"/>
        <v>8.196521847540442</v>
      </c>
      <c r="W463" s="206">
        <f t="shared" si="238"/>
        <v>8.56536533067976</v>
      </c>
    </row>
    <row r="464" spans="1:23" s="198" customFormat="1" ht="12.75">
      <c r="A464" s="195"/>
      <c r="B464" s="196"/>
      <c r="C464" s="206"/>
      <c r="D464" s="206"/>
      <c r="E464" s="244"/>
      <c r="F464" s="206"/>
      <c r="G464" s="206"/>
      <c r="H464" s="206"/>
      <c r="I464" s="206"/>
      <c r="J464" s="244"/>
      <c r="K464" s="206"/>
      <c r="L464" s="206"/>
      <c r="M464" s="206"/>
      <c r="N464" s="206"/>
      <c r="O464" s="206"/>
      <c r="P464" s="206"/>
      <c r="Q464" s="206"/>
      <c r="R464" s="206"/>
      <c r="S464" s="206"/>
      <c r="T464" s="206"/>
      <c r="U464" s="206"/>
      <c r="V464" s="206"/>
      <c r="W464" s="206"/>
    </row>
    <row r="465" spans="1:23" s="198" customFormat="1" ht="12.75">
      <c r="A465" s="195" t="s">
        <v>263</v>
      </c>
      <c r="B465" s="196" t="s">
        <v>265</v>
      </c>
      <c r="C465" s="206">
        <f>2788000000*1.07/1000000000</f>
        <v>2.98316</v>
      </c>
      <c r="D465" s="206">
        <f>C465*(1+D461)</f>
        <v>3.1927175632144</v>
      </c>
      <c r="E465" s="244">
        <f aca="true" t="shared" si="239" ref="E465:W465">D465*(1+E461)</f>
        <v>3.546664355952885</v>
      </c>
      <c r="F465" s="206">
        <f t="shared" si="239"/>
        <v>3.7635984429215323</v>
      </c>
      <c r="G465" s="206">
        <f t="shared" si="239"/>
        <v>3.993104779223163</v>
      </c>
      <c r="H465" s="206">
        <f t="shared" si="239"/>
        <v>4.236428375713223</v>
      </c>
      <c r="I465" s="206">
        <f t="shared" si="239"/>
        <v>4.494500173653765</v>
      </c>
      <c r="J465" s="244">
        <f t="shared" si="239"/>
        <v>4.723209468541678</v>
      </c>
      <c r="K465" s="206">
        <f t="shared" si="239"/>
        <v>4.963421196996667</v>
      </c>
      <c r="L465" s="206">
        <f t="shared" si="239"/>
        <v>5.215715172153601</v>
      </c>
      <c r="M465" s="206">
        <f t="shared" si="239"/>
        <v>5.480699321195215</v>
      </c>
      <c r="N465" s="206">
        <f t="shared" si="239"/>
        <v>5.759011212764746</v>
      </c>
      <c r="O465" s="206">
        <f t="shared" si="239"/>
        <v>6.051319614542765</v>
      </c>
      <c r="P465" s="206">
        <f t="shared" si="239"/>
        <v>6.358326095185569</v>
      </c>
      <c r="Q465" s="206">
        <f t="shared" si="239"/>
        <v>6.648975050503687</v>
      </c>
      <c r="R465" s="206">
        <f t="shared" si="239"/>
        <v>6.9527655573024605</v>
      </c>
      <c r="S465" s="206">
        <f t="shared" si="239"/>
        <v>7.27028814400361</v>
      </c>
      <c r="T465" s="206">
        <f t="shared" si="239"/>
        <v>7.6021592504690805</v>
      </c>
      <c r="U465" s="206">
        <f t="shared" si="239"/>
        <v>7.9490223596305</v>
      </c>
      <c r="V465" s="206">
        <f t="shared" si="239"/>
        <v>8.311549168759766</v>
      </c>
      <c r="W465" s="206">
        <f t="shared" si="239"/>
        <v>8.690440802729244</v>
      </c>
    </row>
    <row r="466" spans="1:23" s="198" customFormat="1" ht="12.75">
      <c r="A466" s="200"/>
      <c r="B466" s="196"/>
      <c r="C466" s="200"/>
      <c r="D466" s="200"/>
      <c r="E466" s="241"/>
      <c r="F466" s="200"/>
      <c r="G466" s="200"/>
      <c r="H466" s="200"/>
      <c r="I466" s="200"/>
      <c r="J466" s="241"/>
      <c r="K466" s="200"/>
      <c r="L466" s="200"/>
      <c r="M466" s="200"/>
      <c r="N466" s="200"/>
      <c r="O466" s="200"/>
      <c r="P466" s="200"/>
      <c r="Q466" s="200"/>
      <c r="R466" s="200"/>
      <c r="S466" s="200"/>
      <c r="T466" s="200"/>
      <c r="U466" s="200"/>
      <c r="V466" s="200"/>
      <c r="W466" s="200"/>
    </row>
    <row r="467" spans="1:23" s="198" customFormat="1" ht="12.75">
      <c r="A467" s="195" t="s">
        <v>264</v>
      </c>
      <c r="B467" s="196" t="s">
        <v>267</v>
      </c>
      <c r="C467" s="207">
        <f>(C465-C463)*1000</f>
        <v>0</v>
      </c>
      <c r="D467" s="207">
        <f aca="true" t="shared" si="240" ref="D467:W467">(D465-D463)*1000</f>
        <v>0.7363632144001819</v>
      </c>
      <c r="E467" s="245">
        <f t="shared" si="240"/>
        <v>3.565223952885166</v>
      </c>
      <c r="F467" s="207">
        <f t="shared" si="240"/>
        <v>7.913363001532225</v>
      </c>
      <c r="G467" s="207">
        <f t="shared" si="240"/>
        <v>12.07859450796267</v>
      </c>
      <c r="H467" s="207">
        <f t="shared" si="240"/>
        <v>16.540619915110355</v>
      </c>
      <c r="I467" s="207">
        <f t="shared" si="240"/>
        <v>21.419152507764494</v>
      </c>
      <c r="J467" s="245">
        <f t="shared" si="240"/>
        <v>26.47439633837756</v>
      </c>
      <c r="K467" s="207">
        <f t="shared" si="240"/>
        <v>31.849371183201747</v>
      </c>
      <c r="L467" s="207">
        <f t="shared" si="240"/>
        <v>37.56475504946177</v>
      </c>
      <c r="M467" s="207">
        <f t="shared" si="240"/>
        <v>43.64138323586797</v>
      </c>
      <c r="N467" s="207">
        <f t="shared" si="240"/>
        <v>50.10037790743205</v>
      </c>
      <c r="O467" s="207">
        <f t="shared" si="240"/>
        <v>56.9632379425844</v>
      </c>
      <c r="P467" s="207">
        <f t="shared" si="240"/>
        <v>64.25189975537916</v>
      </c>
      <c r="Q467" s="207">
        <f t="shared" si="240"/>
        <v>71.66751627913914</v>
      </c>
      <c r="R467" s="207">
        <f t="shared" si="240"/>
        <v>79.47918403780906</v>
      </c>
      <c r="S467" s="207">
        <f t="shared" si="240"/>
        <v>87.70388394204964</v>
      </c>
      <c r="T467" s="207">
        <f t="shared" si="240"/>
        <v>96.35869870475045</v>
      </c>
      <c r="U467" s="207">
        <f t="shared" si="240"/>
        <v>105.46078303677575</v>
      </c>
      <c r="V467" s="207">
        <f t="shared" si="240"/>
        <v>115.02732121932446</v>
      </c>
      <c r="W467" s="207">
        <f t="shared" si="240"/>
        <v>125.07547204948288</v>
      </c>
    </row>
    <row r="468" spans="1:23" s="198" customFormat="1" ht="12.75">
      <c r="A468" s="200"/>
      <c r="B468" s="196"/>
      <c r="C468" s="200"/>
      <c r="D468" s="200"/>
      <c r="E468" s="241"/>
      <c r="F468" s="200"/>
      <c r="G468" s="200"/>
      <c r="H468" s="200"/>
      <c r="I468" s="200"/>
      <c r="J468" s="241"/>
      <c r="K468" s="200"/>
      <c r="L468" s="200"/>
      <c r="M468" s="200"/>
      <c r="N468" s="200"/>
      <c r="O468" s="200"/>
      <c r="P468" s="200"/>
      <c r="Q468" s="200"/>
      <c r="R468" s="200"/>
      <c r="S468" s="200"/>
      <c r="T468" s="200"/>
      <c r="U468" s="200"/>
      <c r="V468" s="200"/>
      <c r="W468" s="200"/>
    </row>
    <row r="469" spans="1:23" s="226" customFormat="1" ht="12.75">
      <c r="A469" s="166"/>
      <c r="B469" s="225" t="s">
        <v>240</v>
      </c>
      <c r="C469" s="227">
        <v>2007</v>
      </c>
      <c r="D469" s="227">
        <v>2008</v>
      </c>
      <c r="E469" s="237">
        <v>2009</v>
      </c>
      <c r="F469" s="227">
        <v>2010</v>
      </c>
      <c r="G469" s="227">
        <v>2011</v>
      </c>
      <c r="H469" s="227">
        <v>2012</v>
      </c>
      <c r="I469" s="227">
        <v>2013</v>
      </c>
      <c r="J469" s="237">
        <v>2014</v>
      </c>
      <c r="K469" s="227">
        <v>2015</v>
      </c>
      <c r="L469" s="227">
        <v>2016</v>
      </c>
      <c r="M469" s="227">
        <v>2017</v>
      </c>
      <c r="N469" s="227">
        <v>2018</v>
      </c>
      <c r="O469" s="227">
        <v>2019</v>
      </c>
      <c r="P469" s="227">
        <v>2020</v>
      </c>
      <c r="Q469" s="227">
        <v>2021</v>
      </c>
      <c r="R469" s="227">
        <v>2022</v>
      </c>
      <c r="S469" s="227">
        <v>2023</v>
      </c>
      <c r="T469" s="227">
        <v>2024</v>
      </c>
      <c r="U469" s="227">
        <v>2025</v>
      </c>
      <c r="V469" s="227">
        <v>2026</v>
      </c>
      <c r="W469" s="227">
        <v>2027</v>
      </c>
    </row>
    <row r="470" spans="1:24" s="213" customFormat="1" ht="12.75">
      <c r="A470" s="210" t="s">
        <v>268</v>
      </c>
      <c r="B470" s="211" t="s">
        <v>61</v>
      </c>
      <c r="C470" s="259">
        <v>0.01486</v>
      </c>
      <c r="D470" s="260">
        <v>0.01486</v>
      </c>
      <c r="E470" s="261">
        <v>0.01486</v>
      </c>
      <c r="F470" s="260">
        <v>0.01486</v>
      </c>
      <c r="G470" s="260">
        <v>0.01486</v>
      </c>
      <c r="H470" s="260">
        <v>0.01486</v>
      </c>
      <c r="I470" s="260">
        <v>0.01486</v>
      </c>
      <c r="J470" s="261">
        <v>0.01486</v>
      </c>
      <c r="K470" s="260">
        <v>0.01486</v>
      </c>
      <c r="L470" s="260">
        <v>0.01486</v>
      </c>
      <c r="M470" s="260">
        <v>0.01486</v>
      </c>
      <c r="N470" s="260">
        <v>0.01486</v>
      </c>
      <c r="O470" s="260">
        <v>0.01486</v>
      </c>
      <c r="P470" s="260">
        <v>0.01486</v>
      </c>
      <c r="Q470" s="260">
        <v>0.01486</v>
      </c>
      <c r="R470" s="260">
        <v>0.01486</v>
      </c>
      <c r="S470" s="260">
        <v>0.01486</v>
      </c>
      <c r="T470" s="260">
        <v>0.01486</v>
      </c>
      <c r="U470" s="260">
        <v>0.01486</v>
      </c>
      <c r="V470" s="260">
        <v>0.01486</v>
      </c>
      <c r="W470" s="260">
        <v>0.01486</v>
      </c>
      <c r="X470" s="212"/>
    </row>
    <row r="471" spans="1:23" s="213" customFormat="1" ht="12.75">
      <c r="A471" s="214"/>
      <c r="B471" s="215"/>
      <c r="C471" s="214"/>
      <c r="D471" s="214"/>
      <c r="E471" s="246"/>
      <c r="F471" s="214"/>
      <c r="G471" s="214"/>
      <c r="H471" s="214"/>
      <c r="I471" s="214"/>
      <c r="J471" s="246"/>
      <c r="K471" s="214"/>
      <c r="L471" s="214"/>
      <c r="M471" s="214"/>
      <c r="N471" s="214"/>
      <c r="O471" s="214"/>
      <c r="P471" s="214"/>
      <c r="Q471" s="214"/>
      <c r="R471" s="214"/>
      <c r="S471" s="214"/>
      <c r="T471" s="214"/>
      <c r="U471" s="214"/>
      <c r="V471" s="214"/>
      <c r="W471" s="214"/>
    </row>
    <row r="472" spans="1:23" s="213" customFormat="1" ht="12.75">
      <c r="A472" s="216" t="s">
        <v>270</v>
      </c>
      <c r="B472" s="215" t="s">
        <v>266</v>
      </c>
      <c r="C472" s="217">
        <v>2500000</v>
      </c>
      <c r="D472" s="218">
        <f>C472*(1+D470)</f>
        <v>2537150.0000000005</v>
      </c>
      <c r="E472" s="247">
        <f aca="true" t="shared" si="241" ref="E472:W472">D472*(1+E470)</f>
        <v>2574852.0490000006</v>
      </c>
      <c r="F472" s="218">
        <f t="shared" si="241"/>
        <v>2613114.350448141</v>
      </c>
      <c r="G472" s="218">
        <f t="shared" si="241"/>
        <v>2651945.2296958007</v>
      </c>
      <c r="H472" s="218">
        <f t="shared" si="241"/>
        <v>2691353.1358090807</v>
      </c>
      <c r="I472" s="218">
        <f t="shared" si="241"/>
        <v>2731346.6434072037</v>
      </c>
      <c r="J472" s="247">
        <f t="shared" si="241"/>
        <v>2771934.454528235</v>
      </c>
      <c r="K472" s="218">
        <f t="shared" si="241"/>
        <v>2813125.400522525</v>
      </c>
      <c r="L472" s="218">
        <f t="shared" si="241"/>
        <v>2854928.44397429</v>
      </c>
      <c r="M472" s="218">
        <f t="shared" si="241"/>
        <v>2897352.680651748</v>
      </c>
      <c r="N472" s="218">
        <f t="shared" si="241"/>
        <v>2940407.3414862333</v>
      </c>
      <c r="O472" s="218">
        <f t="shared" si="241"/>
        <v>2984101.794580719</v>
      </c>
      <c r="P472" s="218">
        <f t="shared" si="241"/>
        <v>3028445.547248189</v>
      </c>
      <c r="Q472" s="218">
        <f t="shared" si="241"/>
        <v>3073448.2480802974</v>
      </c>
      <c r="R472" s="218">
        <f t="shared" si="241"/>
        <v>3119119.689046771</v>
      </c>
      <c r="S472" s="218">
        <f t="shared" si="241"/>
        <v>3165469.807626006</v>
      </c>
      <c r="T472" s="218">
        <f t="shared" si="241"/>
        <v>3212508.688967329</v>
      </c>
      <c r="U472" s="218">
        <f t="shared" si="241"/>
        <v>3260246.5680853836</v>
      </c>
      <c r="V472" s="218">
        <f t="shared" si="241"/>
        <v>3308693.8320871326</v>
      </c>
      <c r="W472" s="218">
        <f t="shared" si="241"/>
        <v>3357861.0224319478</v>
      </c>
    </row>
    <row r="473" spans="1:23" s="213" customFormat="1" ht="12.75">
      <c r="A473" s="214"/>
      <c r="B473" s="215"/>
      <c r="C473" s="214"/>
      <c r="D473" s="214"/>
      <c r="E473" s="246"/>
      <c r="F473" s="214"/>
      <c r="G473" s="214"/>
      <c r="H473" s="214"/>
      <c r="I473" s="214"/>
      <c r="J473" s="246"/>
      <c r="K473" s="214"/>
      <c r="L473" s="214"/>
      <c r="M473" s="214"/>
      <c r="N473" s="214"/>
      <c r="O473" s="214"/>
      <c r="P473" s="214"/>
      <c r="Q473" s="214"/>
      <c r="R473" s="214"/>
      <c r="S473" s="214"/>
      <c r="T473" s="214"/>
      <c r="U473" s="214"/>
      <c r="V473" s="214"/>
      <c r="W473" s="214"/>
    </row>
    <row r="474" spans="1:23" s="213" customFormat="1" ht="12.75">
      <c r="A474" s="216" t="s">
        <v>271</v>
      </c>
      <c r="B474" s="219" t="s">
        <v>269</v>
      </c>
      <c r="C474" s="220">
        <f>C463*1000000000/C472</f>
        <v>1193.264</v>
      </c>
      <c r="D474" s="220">
        <f aca="true" t="shared" si="242" ref="D474:W474">D463*1000000000/D472</f>
        <v>1258.0971562580057</v>
      </c>
      <c r="E474" s="248">
        <f t="shared" si="242"/>
        <v>1376.0398906710152</v>
      </c>
      <c r="F474" s="220">
        <f t="shared" si="242"/>
        <v>1437.244825996961</v>
      </c>
      <c r="G474" s="220">
        <f t="shared" si="242"/>
        <v>1501.1720981778556</v>
      </c>
      <c r="H474" s="220">
        <f t="shared" si="242"/>
        <v>1567.942794147495</v>
      </c>
      <c r="I474" s="220">
        <f t="shared" si="242"/>
        <v>1637.6833866704224</v>
      </c>
      <c r="J474" s="248">
        <f t="shared" si="242"/>
        <v>1694.3889364089073</v>
      </c>
      <c r="K474" s="220">
        <f t="shared" si="242"/>
        <v>1753.0579422081391</v>
      </c>
      <c r="L474" s="220">
        <f t="shared" si="242"/>
        <v>1813.7583896483716</v>
      </c>
      <c r="M474" s="220">
        <f t="shared" si="242"/>
        <v>1876.5606183422246</v>
      </c>
      <c r="N474" s="220">
        <f t="shared" si="242"/>
        <v>1941.5374034441556</v>
      </c>
      <c r="O474" s="220">
        <f t="shared" si="242"/>
        <v>2008.7640399822276</v>
      </c>
      <c r="P474" s="220">
        <f t="shared" si="242"/>
        <v>2078.3184301099054</v>
      </c>
      <c r="Q474" s="220">
        <f t="shared" si="242"/>
        <v>2140.041739220041</v>
      </c>
      <c r="R474" s="220">
        <f t="shared" si="242"/>
        <v>2203.5981489909373</v>
      </c>
      <c r="S474" s="220">
        <f t="shared" si="242"/>
        <v>2269.042100088218</v>
      </c>
      <c r="T474" s="220">
        <f t="shared" si="242"/>
        <v>2336.429649993287</v>
      </c>
      <c r="U474" s="220">
        <f t="shared" si="242"/>
        <v>2405.8185210206184</v>
      </c>
      <c r="V474" s="220">
        <f t="shared" si="242"/>
        <v>2477.268149761096</v>
      </c>
      <c r="W474" s="220">
        <f t="shared" si="242"/>
        <v>2550.839737993758</v>
      </c>
    </row>
    <row r="475" spans="1:23" s="213" customFormat="1" ht="12.75">
      <c r="A475" s="214"/>
      <c r="B475" s="214"/>
      <c r="C475" s="214"/>
      <c r="D475" s="214"/>
      <c r="E475" s="246"/>
      <c r="F475" s="214"/>
      <c r="G475" s="214"/>
      <c r="H475" s="214"/>
      <c r="I475" s="214"/>
      <c r="J475" s="246"/>
      <c r="K475" s="214"/>
      <c r="L475" s="214"/>
      <c r="M475" s="214"/>
      <c r="N475" s="214"/>
      <c r="O475" s="214"/>
      <c r="P475" s="214"/>
      <c r="Q475" s="214"/>
      <c r="R475" s="214"/>
      <c r="S475" s="214"/>
      <c r="T475" s="214"/>
      <c r="U475" s="214"/>
      <c r="V475" s="214"/>
      <c r="W475" s="214"/>
    </row>
    <row r="476" spans="1:23" s="213" customFormat="1" ht="12.75">
      <c r="A476" s="216" t="s">
        <v>272</v>
      </c>
      <c r="B476" s="219" t="s">
        <v>269</v>
      </c>
      <c r="C476" s="220">
        <f>C465*1000000000/C472</f>
        <v>1193.264</v>
      </c>
      <c r="D476" s="220">
        <f aca="true" t="shared" si="243" ref="D476:W476">D465*1000000000/D472</f>
        <v>1258.3873886898289</v>
      </c>
      <c r="E476" s="248">
        <f t="shared" si="243"/>
        <v>1377.4245232188423</v>
      </c>
      <c r="F476" s="220">
        <f t="shared" si="243"/>
        <v>1440.2731523310822</v>
      </c>
      <c r="G476" s="220">
        <f t="shared" si="243"/>
        <v>1505.7267150578386</v>
      </c>
      <c r="H476" s="220">
        <f t="shared" si="243"/>
        <v>1574.0886319771853</v>
      </c>
      <c r="I476" s="220">
        <f t="shared" si="243"/>
        <v>1645.5253618219342</v>
      </c>
      <c r="J476" s="248">
        <f t="shared" si="243"/>
        <v>1703.9398102743153</v>
      </c>
      <c r="K476" s="220">
        <f t="shared" si="243"/>
        <v>1764.3796455269055</v>
      </c>
      <c r="L476" s="220">
        <f t="shared" si="243"/>
        <v>1826.9162518458452</v>
      </c>
      <c r="M476" s="220">
        <f t="shared" si="243"/>
        <v>1891.6231212702603</v>
      </c>
      <c r="N476" s="220">
        <f t="shared" si="243"/>
        <v>1958.5759875887964</v>
      </c>
      <c r="O476" s="220">
        <f t="shared" si="243"/>
        <v>2027.8529457447696</v>
      </c>
      <c r="P476" s="220">
        <f t="shared" si="243"/>
        <v>2099.534561868907</v>
      </c>
      <c r="Q476" s="220">
        <f t="shared" si="243"/>
        <v>2163.36001579226</v>
      </c>
      <c r="R476" s="220">
        <f t="shared" si="243"/>
        <v>2229.079436008204</v>
      </c>
      <c r="S476" s="220">
        <f t="shared" si="243"/>
        <v>2296.7485352375156</v>
      </c>
      <c r="T476" s="220">
        <f t="shared" si="243"/>
        <v>2366.4244945319724</v>
      </c>
      <c r="U476" s="220">
        <f t="shared" si="243"/>
        <v>2438.1660078853033</v>
      </c>
      <c r="V476" s="220">
        <f t="shared" si="243"/>
        <v>2512.033325101229</v>
      </c>
      <c r="W476" s="220">
        <f t="shared" si="243"/>
        <v>2588.0882933133275</v>
      </c>
    </row>
    <row r="477" spans="1:23" s="213" customFormat="1" ht="12.75">
      <c r="A477" s="214"/>
      <c r="B477" s="214"/>
      <c r="C477" s="214"/>
      <c r="D477" s="214"/>
      <c r="E477" s="246"/>
      <c r="F477" s="214"/>
      <c r="G477" s="214"/>
      <c r="H477" s="214"/>
      <c r="I477" s="214"/>
      <c r="J477" s="246"/>
      <c r="K477" s="214"/>
      <c r="L477" s="214"/>
      <c r="M477" s="214"/>
      <c r="N477" s="214"/>
      <c r="O477" s="214"/>
      <c r="P477" s="214"/>
      <c r="Q477" s="214"/>
      <c r="R477" s="214"/>
      <c r="S477" s="214"/>
      <c r="T477" s="214"/>
      <c r="U477" s="214"/>
      <c r="V477" s="214"/>
      <c r="W477" s="214"/>
    </row>
    <row r="478" spans="1:24" s="213" customFormat="1" ht="25.5" customHeight="1">
      <c r="A478" s="216" t="s">
        <v>274</v>
      </c>
      <c r="B478" s="219" t="s">
        <v>269</v>
      </c>
      <c r="C478" s="220">
        <f>C476-C474</f>
        <v>0</v>
      </c>
      <c r="D478" s="220">
        <f aca="true" t="shared" si="244" ref="D478:W478">D476-D474</f>
        <v>0.2902324318231422</v>
      </c>
      <c r="E478" s="248">
        <f t="shared" si="244"/>
        <v>1.3846325478270956</v>
      </c>
      <c r="F478" s="220">
        <f t="shared" si="244"/>
        <v>3.028326334121175</v>
      </c>
      <c r="G478" s="220">
        <f t="shared" si="244"/>
        <v>4.554616879983087</v>
      </c>
      <c r="H478" s="220">
        <f t="shared" si="244"/>
        <v>6.145837829690208</v>
      </c>
      <c r="I478" s="220">
        <f t="shared" si="244"/>
        <v>7.8419751515118605</v>
      </c>
      <c r="J478" s="248">
        <f t="shared" si="244"/>
        <v>9.550873865407993</v>
      </c>
      <c r="K478" s="220">
        <f t="shared" si="244"/>
        <v>11.321703318766367</v>
      </c>
      <c r="L478" s="220">
        <f t="shared" si="244"/>
        <v>13.157862197473605</v>
      </c>
      <c r="M478" s="220">
        <f t="shared" si="244"/>
        <v>15.062502928035656</v>
      </c>
      <c r="N478" s="220">
        <f t="shared" si="244"/>
        <v>17.03858414464071</v>
      </c>
      <c r="O478" s="220">
        <f t="shared" si="244"/>
        <v>19.088905762542026</v>
      </c>
      <c r="P478" s="220">
        <f t="shared" si="244"/>
        <v>21.216131759001655</v>
      </c>
      <c r="Q478" s="220">
        <f t="shared" si="244"/>
        <v>23.31827657221902</v>
      </c>
      <c r="R478" s="220">
        <f t="shared" si="244"/>
        <v>25.481287017266823</v>
      </c>
      <c r="S478" s="220">
        <f t="shared" si="244"/>
        <v>27.706435149297704</v>
      </c>
      <c r="T478" s="220">
        <f t="shared" si="244"/>
        <v>29.994844538685356</v>
      </c>
      <c r="U478" s="220">
        <f t="shared" si="244"/>
        <v>32.347486864684925</v>
      </c>
      <c r="V478" s="220">
        <f t="shared" si="244"/>
        <v>34.76517534013283</v>
      </c>
      <c r="W478" s="220">
        <f t="shared" si="244"/>
        <v>37.24855531956973</v>
      </c>
      <c r="X478" s="221"/>
    </row>
    <row r="479" spans="1:24" s="213" customFormat="1" ht="12.75" customHeight="1">
      <c r="A479" s="216"/>
      <c r="B479" s="219"/>
      <c r="C479" s="220"/>
      <c r="D479" s="220"/>
      <c r="E479" s="248"/>
      <c r="F479" s="220"/>
      <c r="G479" s="220"/>
      <c r="H479" s="220"/>
      <c r="I479" s="220"/>
      <c r="J479" s="248"/>
      <c r="K479" s="220"/>
      <c r="L479" s="220"/>
      <c r="M479" s="220"/>
      <c r="N479" s="220"/>
      <c r="O479" s="220"/>
      <c r="P479" s="220"/>
      <c r="Q479" s="220"/>
      <c r="R479" s="220"/>
      <c r="S479" s="220"/>
      <c r="T479" s="220"/>
      <c r="U479" s="220"/>
      <c r="V479" s="220"/>
      <c r="W479" s="220"/>
      <c r="X479" s="221"/>
    </row>
    <row r="480" spans="1:24" s="213" customFormat="1" ht="12.75" customHeight="1">
      <c r="A480" s="216" t="s">
        <v>280</v>
      </c>
      <c r="B480" s="253" t="s">
        <v>61</v>
      </c>
      <c r="C480" s="254" t="s">
        <v>282</v>
      </c>
      <c r="D480" s="222">
        <f>(D474-C474)/C474</f>
        <v>0.05433261730682048</v>
      </c>
      <c r="E480" s="222">
        <f aca="true" t="shared" si="245" ref="E480:W480">(E474-D474)/D474</f>
        <v>0.09374692075754301</v>
      </c>
      <c r="F480" s="222">
        <f t="shared" si="245"/>
        <v>0.0444790414441399</v>
      </c>
      <c r="G480" s="222">
        <f t="shared" si="245"/>
        <v>0.044479041444139944</v>
      </c>
      <c r="H480" s="222">
        <f t="shared" si="245"/>
        <v>0.044479041444140055</v>
      </c>
      <c r="I480" s="222">
        <f t="shared" si="245"/>
        <v>0.044479041444140104</v>
      </c>
      <c r="J480" s="222">
        <f t="shared" si="245"/>
        <v>0.03462546558145962</v>
      </c>
      <c r="K480" s="222">
        <f t="shared" si="245"/>
        <v>0.03462546558145919</v>
      </c>
      <c r="L480" s="222">
        <f t="shared" si="245"/>
        <v>0.03462546558145967</v>
      </c>
      <c r="M480" s="222">
        <f t="shared" si="245"/>
        <v>0.034625465581459486</v>
      </c>
      <c r="N480" s="222">
        <f t="shared" si="245"/>
        <v>0.03462546558145947</v>
      </c>
      <c r="O480" s="222">
        <f t="shared" si="245"/>
        <v>0.03462546558145954</v>
      </c>
      <c r="P480" s="222">
        <f t="shared" si="245"/>
        <v>0.03462546558145934</v>
      </c>
      <c r="Q480" s="222">
        <f t="shared" si="245"/>
        <v>0.02969867765011911</v>
      </c>
      <c r="R480" s="222">
        <f t="shared" si="245"/>
        <v>0.02969867765011906</v>
      </c>
      <c r="S480" s="222">
        <f t="shared" si="245"/>
        <v>0.029698677650118962</v>
      </c>
      <c r="T480" s="222">
        <f t="shared" si="245"/>
        <v>0.029698677650119045</v>
      </c>
      <c r="U480" s="222">
        <f t="shared" si="245"/>
        <v>0.029698677650119146</v>
      </c>
      <c r="V480" s="222">
        <f t="shared" si="245"/>
        <v>0.02969867765011913</v>
      </c>
      <c r="W480" s="222">
        <f t="shared" si="245"/>
        <v>0.029698677650119087</v>
      </c>
      <c r="X480" s="221"/>
    </row>
    <row r="481" spans="1:24" s="213" customFormat="1" ht="12.75" customHeight="1">
      <c r="A481" s="216"/>
      <c r="B481" s="219"/>
      <c r="C481" s="254"/>
      <c r="D481" s="220"/>
      <c r="E481" s="220"/>
      <c r="F481" s="220"/>
      <c r="G481" s="220"/>
      <c r="H481" s="220"/>
      <c r="I481" s="220"/>
      <c r="J481" s="220"/>
      <c r="K481" s="220"/>
      <c r="L481" s="220"/>
      <c r="M481" s="220"/>
      <c r="N481" s="220"/>
      <c r="O481" s="220"/>
      <c r="P481" s="220"/>
      <c r="Q481" s="220"/>
      <c r="R481" s="220"/>
      <c r="S481" s="220"/>
      <c r="T481" s="220"/>
      <c r="U481" s="220"/>
      <c r="V481" s="220"/>
      <c r="W481" s="220"/>
      <c r="X481" s="221"/>
    </row>
    <row r="482" spans="1:24" s="213" customFormat="1" ht="12.75" customHeight="1">
      <c r="A482" s="216" t="s">
        <v>281</v>
      </c>
      <c r="B482" s="253" t="s">
        <v>61</v>
      </c>
      <c r="C482" s="254" t="s">
        <v>282</v>
      </c>
      <c r="D482" s="222">
        <f>(D476-C476)/C476</f>
        <v>0.05457584297341492</v>
      </c>
      <c r="E482" s="222">
        <f aca="true" t="shared" si="246" ref="E482:W482">(E476-D476)/D476</f>
        <v>0.09459498370605021</v>
      </c>
      <c r="F482" s="222">
        <f t="shared" si="246"/>
        <v>0.045627639157586455</v>
      </c>
      <c r="G482" s="222">
        <f t="shared" si="246"/>
        <v>0.04544524253668122</v>
      </c>
      <c r="H482" s="222">
        <f t="shared" si="246"/>
        <v>0.04540127782531951</v>
      </c>
      <c r="I482" s="222">
        <f t="shared" si="246"/>
        <v>0.04538291452814731</v>
      </c>
      <c r="J482" s="222">
        <f t="shared" si="246"/>
        <v>0.03549896574532543</v>
      </c>
      <c r="K482" s="222">
        <f t="shared" si="246"/>
        <v>0.0354706398008625</v>
      </c>
      <c r="L482" s="222">
        <f t="shared" si="246"/>
        <v>0.035443962685402695</v>
      </c>
      <c r="M482" s="222">
        <f t="shared" si="246"/>
        <v>0.03541862926614059</v>
      </c>
      <c r="N482" s="222">
        <f t="shared" si="246"/>
        <v>0.035394400483736925</v>
      </c>
      <c r="O482" s="222">
        <f t="shared" si="246"/>
        <v>0.03537108521444713</v>
      </c>
      <c r="P482" s="222">
        <f t="shared" si="246"/>
        <v>0.03534852774928951</v>
      </c>
      <c r="Q482" s="222">
        <f t="shared" si="246"/>
        <v>0.0303998110259917</v>
      </c>
      <c r="R482" s="222">
        <f t="shared" si="246"/>
        <v>0.03037840199328837</v>
      </c>
      <c r="S482" s="222">
        <f t="shared" si="246"/>
        <v>0.030357419361641127</v>
      </c>
      <c r="T482" s="222">
        <f t="shared" si="246"/>
        <v>0.030336781857249046</v>
      </c>
      <c r="U482" s="222">
        <f t="shared" si="246"/>
        <v>0.030316417666864888</v>
      </c>
      <c r="V482" s="222">
        <f t="shared" si="246"/>
        <v>0.030296262427181076</v>
      </c>
      <c r="W482" s="222">
        <f t="shared" si="246"/>
        <v>0.030276257664310163</v>
      </c>
      <c r="X482" s="221"/>
    </row>
    <row r="483" spans="1:24" s="213" customFormat="1" ht="12.75" customHeight="1">
      <c r="A483" s="216"/>
      <c r="B483" s="219"/>
      <c r="C483" s="254"/>
      <c r="D483" s="220"/>
      <c r="E483" s="220"/>
      <c r="F483" s="220"/>
      <c r="G483" s="220"/>
      <c r="H483" s="220"/>
      <c r="I483" s="220"/>
      <c r="J483" s="220"/>
      <c r="K483" s="220"/>
      <c r="L483" s="220"/>
      <c r="M483" s="220"/>
      <c r="N483" s="220"/>
      <c r="O483" s="220"/>
      <c r="P483" s="220"/>
      <c r="Q483" s="220"/>
      <c r="R483" s="220"/>
      <c r="S483" s="220"/>
      <c r="T483" s="220"/>
      <c r="U483" s="220"/>
      <c r="V483" s="220"/>
      <c r="W483" s="220"/>
      <c r="X483" s="221"/>
    </row>
    <row r="484" spans="1:24" s="213" customFormat="1" ht="25.5" customHeight="1">
      <c r="A484" s="255" t="s">
        <v>283</v>
      </c>
      <c r="B484" s="256" t="s">
        <v>61</v>
      </c>
      <c r="C484" s="257" t="s">
        <v>282</v>
      </c>
      <c r="D484" s="258">
        <f>D482-D480</f>
        <v>0.00024322566659443906</v>
      </c>
      <c r="E484" s="258">
        <f aca="true" t="shared" si="247" ref="E484:W484">E482-E480</f>
        <v>0.0008480629485072</v>
      </c>
      <c r="F484" s="258">
        <f t="shared" si="247"/>
        <v>0.001148597713446553</v>
      </c>
      <c r="G484" s="258">
        <f t="shared" si="247"/>
        <v>0.0009662010925412731</v>
      </c>
      <c r="H484" s="258">
        <f t="shared" si="247"/>
        <v>0.0009222363811794559</v>
      </c>
      <c r="I484" s="258">
        <f t="shared" si="247"/>
        <v>0.0009038730840072035</v>
      </c>
      <c r="J484" s="258">
        <f t="shared" si="247"/>
        <v>0.0008735001638658091</v>
      </c>
      <c r="K484" s="258">
        <f t="shared" si="247"/>
        <v>0.0008451742194033121</v>
      </c>
      <c r="L484" s="258">
        <f t="shared" si="247"/>
        <v>0.0008184971039430222</v>
      </c>
      <c r="M484" s="258">
        <f t="shared" si="247"/>
        <v>0.000793163684681103</v>
      </c>
      <c r="N484" s="258">
        <f t="shared" si="247"/>
        <v>0.000768934902277453</v>
      </c>
      <c r="O484" s="258">
        <f t="shared" si="247"/>
        <v>0.0007456196329875889</v>
      </c>
      <c r="P484" s="258">
        <f t="shared" si="247"/>
        <v>0.0007230621678301699</v>
      </c>
      <c r="Q484" s="258">
        <f t="shared" si="247"/>
        <v>0.0007011333758725896</v>
      </c>
      <c r="R484" s="258">
        <f t="shared" si="247"/>
        <v>0.000679724343169312</v>
      </c>
      <c r="S484" s="258">
        <f t="shared" si="247"/>
        <v>0.000658741711522165</v>
      </c>
      <c r="T484" s="258">
        <f t="shared" si="247"/>
        <v>0.0006381042071300011</v>
      </c>
      <c r="U484" s="258">
        <f t="shared" si="247"/>
        <v>0.0006177400167457422</v>
      </c>
      <c r="V484" s="258">
        <f t="shared" si="247"/>
        <v>0.0005975847770619477</v>
      </c>
      <c r="W484" s="258">
        <f t="shared" si="247"/>
        <v>0.0005775800141910765</v>
      </c>
      <c r="X484" s="221"/>
    </row>
    <row r="485" spans="1:24" s="213" customFormat="1" ht="12.75" customHeight="1">
      <c r="A485" s="216"/>
      <c r="B485" s="219"/>
      <c r="C485" s="220"/>
      <c r="D485" s="220"/>
      <c r="E485" s="248"/>
      <c r="F485" s="220"/>
      <c r="G485" s="220"/>
      <c r="H485" s="220"/>
      <c r="I485" s="220"/>
      <c r="J485" s="248"/>
      <c r="K485" s="220"/>
      <c r="L485" s="220"/>
      <c r="M485" s="220"/>
      <c r="N485" s="220"/>
      <c r="O485" s="220"/>
      <c r="P485" s="220"/>
      <c r="Q485" s="220"/>
      <c r="R485" s="220"/>
      <c r="S485" s="220"/>
      <c r="T485" s="220"/>
      <c r="U485" s="220"/>
      <c r="V485" s="220"/>
      <c r="W485" s="220"/>
      <c r="X485" s="221"/>
    </row>
    <row r="486" spans="1:23" s="213" customFormat="1" ht="12.75">
      <c r="A486" s="214"/>
      <c r="B486" s="215" t="s">
        <v>61</v>
      </c>
      <c r="C486" s="221">
        <f>C478/C474</f>
        <v>0</v>
      </c>
      <c r="D486" s="221">
        <f aca="true" t="shared" si="248" ref="D486:W486">D478/D474</f>
        <v>0.00023069158878507348</v>
      </c>
      <c r="E486" s="249">
        <f t="shared" si="248"/>
        <v>0.0010062444826013657</v>
      </c>
      <c r="F486" s="221">
        <f t="shared" si="248"/>
        <v>0.0021070358225297784</v>
      </c>
      <c r="G486" s="221">
        <f t="shared" si="248"/>
        <v>0.0030340404577939776</v>
      </c>
      <c r="H486" s="221">
        <f t="shared" si="248"/>
        <v>0.003919682435245832</v>
      </c>
      <c r="I486" s="221">
        <f t="shared" si="248"/>
        <v>0.00478845619082416</v>
      </c>
      <c r="J486" s="249">
        <f t="shared" si="248"/>
        <v>0.0056367659515353915</v>
      </c>
      <c r="K486" s="221">
        <f t="shared" si="248"/>
        <v>0.006458259619477056</v>
      </c>
      <c r="L486" s="221">
        <f t="shared" si="248"/>
        <v>0.007254473513434435</v>
      </c>
      <c r="M486" s="221">
        <f t="shared" si="248"/>
        <v>0.008026654071714477</v>
      </c>
      <c r="N486" s="221">
        <f t="shared" si="248"/>
        <v>0.008775820704981226</v>
      </c>
      <c r="O486" s="221">
        <f t="shared" si="248"/>
        <v>0.009502811371867705</v>
      </c>
      <c r="P486" s="221">
        <f t="shared" si="248"/>
        <v>0.010208316228942697</v>
      </c>
      <c r="Q486" s="221">
        <f t="shared" si="248"/>
        <v>0.010896178399173463</v>
      </c>
      <c r="R486" s="221">
        <f t="shared" si="248"/>
        <v>0.011563490842890347</v>
      </c>
      <c r="S486" s="221">
        <f t="shared" si="248"/>
        <v>0.01221063070985792</v>
      </c>
      <c r="T486" s="221">
        <f t="shared" si="248"/>
        <v>0.012837897575375975</v>
      </c>
      <c r="U486" s="221">
        <f t="shared" si="248"/>
        <v>0.013445522420769367</v>
      </c>
      <c r="V486" s="221">
        <f t="shared" si="248"/>
        <v>0.014033674692618774</v>
      </c>
      <c r="W486" s="221">
        <f t="shared" si="248"/>
        <v>0.014602467871566804</v>
      </c>
    </row>
    <row r="487" spans="1:23" s="213" customFormat="1" ht="12.75">
      <c r="A487" s="214"/>
      <c r="B487" s="215"/>
      <c r="C487" s="214"/>
      <c r="D487" s="214"/>
      <c r="E487" s="246"/>
      <c r="F487" s="214"/>
      <c r="G487" s="214"/>
      <c r="H487" s="214"/>
      <c r="I487" s="214"/>
      <c r="J487" s="246"/>
      <c r="K487" s="214"/>
      <c r="L487" s="214"/>
      <c r="M487" s="214"/>
      <c r="N487" s="214"/>
      <c r="O487" s="214"/>
      <c r="P487" s="214"/>
      <c r="Q487" s="214"/>
      <c r="R487" s="214"/>
      <c r="S487" s="214"/>
      <c r="T487" s="214"/>
      <c r="U487" s="214"/>
      <c r="V487" s="214"/>
      <c r="W487" s="214"/>
    </row>
    <row r="488" spans="1:23" s="213" customFormat="1" ht="12.75">
      <c r="A488" s="216" t="s">
        <v>273</v>
      </c>
      <c r="B488" s="215" t="s">
        <v>266</v>
      </c>
      <c r="C488" s="220">
        <f>C472*$A$489</f>
        <v>1121214.4864189823</v>
      </c>
      <c r="D488" s="220">
        <f aca="true" t="shared" si="249" ref="D488:W488">D472*$A$489</f>
        <v>1137875.7336871685</v>
      </c>
      <c r="E488" s="248">
        <f t="shared" si="249"/>
        <v>1154784.56708976</v>
      </c>
      <c r="F488" s="220">
        <f t="shared" si="249"/>
        <v>1171944.6657567138</v>
      </c>
      <c r="G488" s="220">
        <f t="shared" si="249"/>
        <v>1189359.763489859</v>
      </c>
      <c r="H488" s="220">
        <f t="shared" si="249"/>
        <v>1207033.6495753184</v>
      </c>
      <c r="I488" s="220">
        <f t="shared" si="249"/>
        <v>1224970.1696080077</v>
      </c>
      <c r="J488" s="248">
        <f t="shared" si="249"/>
        <v>1243173.2263283827</v>
      </c>
      <c r="K488" s="220">
        <f t="shared" si="249"/>
        <v>1261646.7804716227</v>
      </c>
      <c r="L488" s="220">
        <f t="shared" si="249"/>
        <v>1280394.8516294311</v>
      </c>
      <c r="M488" s="220">
        <f t="shared" si="249"/>
        <v>1299421.5191246446</v>
      </c>
      <c r="N488" s="220">
        <f t="shared" si="249"/>
        <v>1318730.922898837</v>
      </c>
      <c r="O488" s="220">
        <f t="shared" si="249"/>
        <v>1338327.2644131137</v>
      </c>
      <c r="P488" s="220">
        <f t="shared" si="249"/>
        <v>1358214.8075622928</v>
      </c>
      <c r="Q488" s="220">
        <f t="shared" si="249"/>
        <v>1378397.8796026686</v>
      </c>
      <c r="R488" s="220">
        <f t="shared" si="249"/>
        <v>1398880.8720935644</v>
      </c>
      <c r="S488" s="220">
        <f t="shared" si="249"/>
        <v>1419668.2418528749</v>
      </c>
      <c r="T488" s="220">
        <f t="shared" si="249"/>
        <v>1440764.5119268086</v>
      </c>
      <c r="U488" s="220">
        <f t="shared" si="249"/>
        <v>1462174.2725740413</v>
      </c>
      <c r="V488" s="220">
        <f t="shared" si="249"/>
        <v>1483902.1822644915</v>
      </c>
      <c r="W488" s="220">
        <f t="shared" si="249"/>
        <v>1505952.968692942</v>
      </c>
    </row>
    <row r="489" spans="1:23" s="213" customFormat="1" ht="12.75">
      <c r="A489" s="222">
        <f>1149.2/2562.4</f>
        <v>0.4484857945675929</v>
      </c>
      <c r="B489" s="214"/>
      <c r="C489" s="214"/>
      <c r="D489" s="214"/>
      <c r="E489" s="246"/>
      <c r="F489" s="214"/>
      <c r="G489" s="214"/>
      <c r="H489" s="214"/>
      <c r="I489" s="214"/>
      <c r="J489" s="246"/>
      <c r="K489" s="214"/>
      <c r="L489" s="214"/>
      <c r="M489" s="214"/>
      <c r="N489" s="214"/>
      <c r="O489" s="214"/>
      <c r="P489" s="214"/>
      <c r="Q489" s="214"/>
      <c r="R489" s="214"/>
      <c r="S489" s="214"/>
      <c r="T489" s="214"/>
      <c r="U489" s="214"/>
      <c r="V489" s="214"/>
      <c r="W489" s="214"/>
    </row>
    <row r="490" spans="1:23" s="213" customFormat="1" ht="12.75">
      <c r="A490" s="216" t="s">
        <v>275</v>
      </c>
      <c r="B490" s="219" t="s">
        <v>269</v>
      </c>
      <c r="C490" s="223">
        <f>C467*1000000/C488</f>
        <v>0</v>
      </c>
      <c r="D490" s="223">
        <f aca="true" t="shared" si="250" ref="D490:W490">D467*1000000/D488</f>
        <v>0.6471385166234921</v>
      </c>
      <c r="E490" s="250">
        <f t="shared" si="250"/>
        <v>3.087349843850178</v>
      </c>
      <c r="F490" s="223">
        <f t="shared" si="250"/>
        <v>6.752335014403295</v>
      </c>
      <c r="G490" s="223">
        <f t="shared" si="250"/>
        <v>10.155543241618714</v>
      </c>
      <c r="H490" s="223">
        <f t="shared" si="250"/>
        <v>13.703528415243428</v>
      </c>
      <c r="I490" s="223">
        <f t="shared" si="250"/>
        <v>17.485448249420354</v>
      </c>
      <c r="J490" s="250">
        <f t="shared" si="250"/>
        <v>21.29582247887341</v>
      </c>
      <c r="K490" s="223">
        <f t="shared" si="250"/>
        <v>25.24428522799065</v>
      </c>
      <c r="L490" s="223">
        <f t="shared" si="250"/>
        <v>29.33841463174961</v>
      </c>
      <c r="M490" s="223">
        <f t="shared" si="250"/>
        <v>33.58523973442197</v>
      </c>
      <c r="N490" s="223">
        <f t="shared" si="250"/>
        <v>37.9913574767029</v>
      </c>
      <c r="O490" s="223">
        <f t="shared" si="250"/>
        <v>42.56301089970251</v>
      </c>
      <c r="P490" s="223">
        <f t="shared" si="250"/>
        <v>47.30613994018934</v>
      </c>
      <c r="Q490" s="223">
        <f t="shared" si="250"/>
        <v>51.99334483871792</v>
      </c>
      <c r="R490" s="223">
        <f t="shared" si="250"/>
        <v>56.816263359767404</v>
      </c>
      <c r="S490" s="223">
        <f t="shared" si="250"/>
        <v>61.77773183654741</v>
      </c>
      <c r="T490" s="223">
        <f t="shared" si="250"/>
        <v>66.88025552203878</v>
      </c>
      <c r="U490" s="223">
        <f t="shared" si="250"/>
        <v>72.12600099379429</v>
      </c>
      <c r="V490" s="223">
        <f t="shared" si="250"/>
        <v>77.51678149282615</v>
      </c>
      <c r="W490" s="223">
        <f t="shared" si="250"/>
        <v>83.05403598230515</v>
      </c>
    </row>
    <row r="491" spans="1:23" s="213" customFormat="1" ht="12.75">
      <c r="A491" s="214"/>
      <c r="B491" s="215" t="s">
        <v>61</v>
      </c>
      <c r="C491" s="221">
        <f>C490/C474</f>
        <v>0</v>
      </c>
      <c r="D491" s="221">
        <f aca="true" t="shared" si="251" ref="D491:W491">D490/D474</f>
        <v>0.0005143788088260963</v>
      </c>
      <c r="E491" s="249">
        <f t="shared" si="251"/>
        <v>0.00224364850523676</v>
      </c>
      <c r="F491" s="221">
        <f t="shared" si="251"/>
        <v>0.0046981105043947275</v>
      </c>
      <c r="G491" s="221">
        <f t="shared" si="251"/>
        <v>0.006765075938958405</v>
      </c>
      <c r="H491" s="221">
        <f t="shared" si="251"/>
        <v>0.008739814020252035</v>
      </c>
      <c r="I491" s="221">
        <f t="shared" si="251"/>
        <v>0.010676940605088543</v>
      </c>
      <c r="J491" s="249">
        <f t="shared" si="251"/>
        <v>0.012568438108435621</v>
      </c>
      <c r="K491" s="221">
        <f t="shared" si="251"/>
        <v>0.014400143098632056</v>
      </c>
      <c r="L491" s="221">
        <f t="shared" si="251"/>
        <v>0.01617548114412161</v>
      </c>
      <c r="M491" s="221">
        <f t="shared" si="251"/>
        <v>0.017897231459589914</v>
      </c>
      <c r="N491" s="221">
        <f t="shared" si="251"/>
        <v>0.019567667050507918</v>
      </c>
      <c r="O491" s="221">
        <f t="shared" si="251"/>
        <v>0.02118865633420991</v>
      </c>
      <c r="P491" s="221">
        <f t="shared" si="251"/>
        <v>0.022761738170068435</v>
      </c>
      <c r="Q491" s="221">
        <f t="shared" si="251"/>
        <v>0.024295481665543305</v>
      </c>
      <c r="R491" s="221">
        <f t="shared" si="251"/>
        <v>0.025783404921530032</v>
      </c>
      <c r="S491" s="221">
        <f t="shared" si="251"/>
        <v>0.02722634887829783</v>
      </c>
      <c r="T491" s="221">
        <f t="shared" si="251"/>
        <v>0.02862498150638986</v>
      </c>
      <c r="U491" s="221">
        <f t="shared" si="251"/>
        <v>0.029979817830646818</v>
      </c>
      <c r="V491" s="221">
        <f t="shared" si="251"/>
        <v>0.03129123567034992</v>
      </c>
      <c r="W491" s="221">
        <f t="shared" si="251"/>
        <v>0.03255948805612828</v>
      </c>
    </row>
    <row r="492" spans="1:23" s="213" customFormat="1" ht="12.75">
      <c r="A492" s="214"/>
      <c r="B492" s="214"/>
      <c r="C492" s="214"/>
      <c r="D492" s="214"/>
      <c r="E492" s="246"/>
      <c r="F492" s="214"/>
      <c r="G492" s="214"/>
      <c r="H492" s="214"/>
      <c r="I492" s="214"/>
      <c r="J492" s="246"/>
      <c r="K492" s="214"/>
      <c r="L492" s="214"/>
      <c r="M492" s="214"/>
      <c r="N492" s="214"/>
      <c r="O492" s="214"/>
      <c r="P492" s="214"/>
      <c r="Q492" s="214"/>
      <c r="R492" s="214"/>
      <c r="S492" s="214"/>
      <c r="T492" s="214"/>
      <c r="U492" s="214"/>
      <c r="V492" s="214"/>
      <c r="W492" s="214"/>
    </row>
    <row r="493" spans="1:23" ht="12.75">
      <c r="A493" s="204" t="s">
        <v>276</v>
      </c>
      <c r="B493" s="96"/>
      <c r="C493" s="96"/>
      <c r="D493" s="96"/>
      <c r="E493" s="96"/>
      <c r="F493" s="96"/>
      <c r="G493" s="96"/>
      <c r="H493" s="96"/>
      <c r="I493" s="96"/>
      <c r="J493" s="96"/>
      <c r="K493" s="96"/>
      <c r="L493" s="96"/>
      <c r="M493" s="96"/>
      <c r="N493" s="96"/>
      <c r="O493" s="96"/>
      <c r="P493" s="96"/>
      <c r="Q493" s="96"/>
      <c r="R493" s="96"/>
      <c r="S493" s="96"/>
      <c r="T493" s="96"/>
      <c r="U493" s="96"/>
      <c r="V493" s="96"/>
      <c r="W493" s="96"/>
    </row>
    <row r="494" spans="1:23" ht="27" customHeight="1">
      <c r="A494" s="228" t="s">
        <v>274</v>
      </c>
      <c r="B494" s="96"/>
      <c r="C494" s="96"/>
      <c r="D494" s="96"/>
      <c r="E494" s="96"/>
      <c r="F494" s="96"/>
      <c r="G494" s="96"/>
      <c r="H494" s="96"/>
      <c r="I494" s="208">
        <f>AVERAGE(E478:I478)</f>
        <v>4.591077748626685</v>
      </c>
      <c r="J494" s="96"/>
      <c r="K494" s="96"/>
      <c r="L494" s="96"/>
      <c r="M494" s="96"/>
      <c r="N494" s="96"/>
      <c r="O494" s="96"/>
      <c r="P494" s="96"/>
      <c r="Q494" s="96"/>
      <c r="R494" s="96"/>
      <c r="S494" s="96"/>
      <c r="T494" s="96"/>
      <c r="U494" s="96"/>
      <c r="V494" s="96"/>
      <c r="W494" s="96"/>
    </row>
    <row r="495" spans="1:23" ht="12.75">
      <c r="A495" s="166"/>
      <c r="B495" s="96"/>
      <c r="C495" s="96"/>
      <c r="D495" s="96"/>
      <c r="E495" s="96"/>
      <c r="F495" s="96"/>
      <c r="G495" s="96"/>
      <c r="H495" s="96"/>
      <c r="I495" s="209">
        <f>AVERAGE(E486:I486)</f>
        <v>0.0029710918777990226</v>
      </c>
      <c r="J495" s="96"/>
      <c r="K495" s="96"/>
      <c r="L495" s="96"/>
      <c r="M495" s="96"/>
      <c r="N495" s="96"/>
      <c r="O495" s="96"/>
      <c r="P495" s="96"/>
      <c r="Q495" s="96"/>
      <c r="R495" s="96"/>
      <c r="S495" s="96"/>
      <c r="T495" s="96"/>
      <c r="U495" s="96"/>
      <c r="V495" s="96"/>
      <c r="W495" s="96"/>
    </row>
    <row r="496" spans="1:23" ht="12.75">
      <c r="A496" s="228" t="s">
        <v>275</v>
      </c>
      <c r="B496" s="96"/>
      <c r="C496" s="96"/>
      <c r="D496" s="96"/>
      <c r="E496" s="96"/>
      <c r="F496" s="96"/>
      <c r="G496" s="96"/>
      <c r="H496" s="96"/>
      <c r="I496" s="208">
        <f>AVERAGE(E490:I490)</f>
        <v>10.236840952907192</v>
      </c>
      <c r="J496" s="96"/>
      <c r="K496" s="96"/>
      <c r="L496" s="96"/>
      <c r="M496" s="96"/>
      <c r="N496" s="96"/>
      <c r="O496" s="96"/>
      <c r="P496" s="96"/>
      <c r="Q496" s="96"/>
      <c r="R496" s="96"/>
      <c r="S496" s="96"/>
      <c r="T496" s="96"/>
      <c r="U496" s="96"/>
      <c r="V496" s="96"/>
      <c r="W496" s="96"/>
    </row>
    <row r="497" spans="1:23" ht="12.75">
      <c r="A497" s="96"/>
      <c r="B497" s="96"/>
      <c r="C497" s="96"/>
      <c r="D497" s="96"/>
      <c r="E497" s="96"/>
      <c r="F497" s="96"/>
      <c r="G497" s="96"/>
      <c r="H497" s="96"/>
      <c r="I497" s="209">
        <f>AVERAGE(E491:I491)</f>
        <v>0.006624717914786094</v>
      </c>
      <c r="J497" s="96"/>
      <c r="K497" s="96"/>
      <c r="L497" s="96"/>
      <c r="M497" s="96"/>
      <c r="N497" s="96"/>
      <c r="O497" s="96"/>
      <c r="P497" s="96"/>
      <c r="Q497" s="96"/>
      <c r="R497" s="96"/>
      <c r="S497" s="96"/>
      <c r="T497" s="96"/>
      <c r="U497" s="96"/>
      <c r="V497" s="96"/>
      <c r="W497" s="96"/>
    </row>
    <row r="498" spans="1:23" ht="12.75">
      <c r="A498" s="228" t="s">
        <v>264</v>
      </c>
      <c r="B498" s="225" t="s">
        <v>277</v>
      </c>
      <c r="C498" s="96"/>
      <c r="D498" s="96"/>
      <c r="E498" s="96"/>
      <c r="F498" s="96"/>
      <c r="G498" s="96"/>
      <c r="H498" s="96"/>
      <c r="I498" s="116">
        <f>AVERAGE(E467:I467)</f>
        <v>12.303390777050982</v>
      </c>
      <c r="J498" s="96"/>
      <c r="K498" s="96"/>
      <c r="L498" s="96"/>
      <c r="M498" s="96"/>
      <c r="N498" s="96"/>
      <c r="O498" s="96"/>
      <c r="P498" s="96"/>
      <c r="Q498" s="96"/>
      <c r="R498" s="96"/>
      <c r="S498" s="96"/>
      <c r="T498" s="96"/>
      <c r="U498" s="96"/>
      <c r="V498" s="96"/>
      <c r="W498" s="96"/>
    </row>
    <row r="499" spans="1:23" ht="12.75">
      <c r="A499" s="204" t="s">
        <v>278</v>
      </c>
      <c r="B499" s="96"/>
      <c r="C499" s="96"/>
      <c r="D499" s="96"/>
      <c r="E499" s="96"/>
      <c r="F499" s="96"/>
      <c r="G499" s="96"/>
      <c r="H499" s="96"/>
      <c r="I499" s="208">
        <f>AVERAGE(E488:I488)</f>
        <v>1189618.5631039317</v>
      </c>
      <c r="J499" s="96"/>
      <c r="K499" s="96"/>
      <c r="L499" s="96"/>
      <c r="M499" s="96"/>
      <c r="N499" s="96"/>
      <c r="O499" s="96"/>
      <c r="P499" s="96"/>
      <c r="Q499" s="96"/>
      <c r="R499" s="96"/>
      <c r="S499" s="96"/>
      <c r="T499" s="96"/>
      <c r="U499" s="96"/>
      <c r="V499" s="96"/>
      <c r="W499" s="96"/>
    </row>
    <row r="500" spans="1:23" ht="25.5">
      <c r="A500" s="204" t="s">
        <v>279</v>
      </c>
      <c r="B500" s="251"/>
      <c r="C500" s="96"/>
      <c r="D500" s="96"/>
      <c r="E500" s="96"/>
      <c r="F500" s="96"/>
      <c r="G500" s="96"/>
      <c r="H500" s="96"/>
      <c r="I500" s="208">
        <f>AVERAGE(E472:I472)*80%</f>
        <v>2122017.8253376363</v>
      </c>
      <c r="J500" s="96"/>
      <c r="K500" s="96"/>
      <c r="L500" s="96"/>
      <c r="M500" s="96"/>
      <c r="N500" s="96"/>
      <c r="O500" s="96"/>
      <c r="P500" s="96"/>
      <c r="Q500" s="96"/>
      <c r="R500" s="96"/>
      <c r="S500" s="96"/>
      <c r="T500" s="96"/>
      <c r="U500" s="96"/>
      <c r="V500" s="96"/>
      <c r="W500" s="96"/>
    </row>
    <row r="501" spans="1:23" ht="12.75">
      <c r="A501" s="96"/>
      <c r="B501" s="96"/>
      <c r="C501" s="96"/>
      <c r="D501" s="96"/>
      <c r="E501" s="96"/>
      <c r="F501" s="96"/>
      <c r="G501" s="96"/>
      <c r="H501" s="96"/>
      <c r="I501" s="96"/>
      <c r="J501" s="96"/>
      <c r="K501" s="96"/>
      <c r="L501" s="96"/>
      <c r="M501" s="96"/>
      <c r="N501" s="96"/>
      <c r="O501" s="96"/>
      <c r="P501" s="96"/>
      <c r="Q501" s="96"/>
      <c r="R501" s="96"/>
      <c r="S501" s="96"/>
      <c r="T501" s="96"/>
      <c r="U501" s="96"/>
      <c r="V501" s="96"/>
      <c r="W501" s="96"/>
    </row>
    <row r="502" spans="1:23" ht="12.75">
      <c r="A502" s="96"/>
      <c r="B502" s="96"/>
      <c r="C502" s="96"/>
      <c r="D502" s="96"/>
      <c r="E502" s="96"/>
      <c r="F502" s="96"/>
      <c r="G502" s="96"/>
      <c r="H502" s="96"/>
      <c r="I502" s="96"/>
      <c r="J502" s="96"/>
      <c r="K502" s="96"/>
      <c r="L502" s="96"/>
      <c r="M502" s="96"/>
      <c r="N502" s="96"/>
      <c r="O502" s="96"/>
      <c r="P502" s="96"/>
      <c r="Q502" s="96"/>
      <c r="R502" s="96"/>
      <c r="S502" s="96"/>
      <c r="T502" s="96"/>
      <c r="U502" s="96"/>
      <c r="V502" s="96"/>
      <c r="W502" s="96"/>
    </row>
    <row r="503" spans="1:23" ht="12.75">
      <c r="A503" s="96"/>
      <c r="B503" s="96"/>
      <c r="C503" s="96"/>
      <c r="D503" s="96"/>
      <c r="E503" s="96"/>
      <c r="F503" s="96"/>
      <c r="G503" s="96"/>
      <c r="H503" s="96"/>
      <c r="I503" s="96"/>
      <c r="J503" s="96"/>
      <c r="K503" s="96"/>
      <c r="L503" s="96"/>
      <c r="M503" s="96"/>
      <c r="N503" s="96"/>
      <c r="O503" s="96"/>
      <c r="P503" s="96"/>
      <c r="Q503" s="96"/>
      <c r="R503" s="96"/>
      <c r="S503" s="96"/>
      <c r="T503" s="96"/>
      <c r="U503" s="96"/>
      <c r="V503" s="96"/>
      <c r="W503" s="96"/>
    </row>
    <row r="504" spans="1:23" ht="12.75">
      <c r="A504" s="96"/>
      <c r="B504" s="96"/>
      <c r="C504" s="96"/>
      <c r="D504" s="96"/>
      <c r="E504" s="96"/>
      <c r="F504" s="96"/>
      <c r="G504" s="96"/>
      <c r="H504" s="96"/>
      <c r="I504" s="96"/>
      <c r="J504" s="96"/>
      <c r="K504" s="96"/>
      <c r="L504" s="96"/>
      <c r="M504" s="96"/>
      <c r="N504" s="96"/>
      <c r="O504" s="96"/>
      <c r="P504" s="96"/>
      <c r="Q504" s="96"/>
      <c r="R504" s="96"/>
      <c r="S504" s="96"/>
      <c r="T504" s="96"/>
      <c r="U504" s="96"/>
      <c r="V504" s="96"/>
      <c r="W504" s="96"/>
    </row>
    <row r="505" spans="1:23" ht="12.75">
      <c r="A505" s="96"/>
      <c r="B505" s="96"/>
      <c r="C505" s="96"/>
      <c r="D505" s="96"/>
      <c r="E505" s="96"/>
      <c r="F505" s="96"/>
      <c r="G505" s="96"/>
      <c r="H505" s="96"/>
      <c r="I505" s="96"/>
      <c r="J505" s="96"/>
      <c r="K505" s="96"/>
      <c r="L505" s="96"/>
      <c r="M505" s="96"/>
      <c r="N505" s="96"/>
      <c r="O505" s="96"/>
      <c r="P505" s="96"/>
      <c r="Q505" s="96"/>
      <c r="R505" s="96"/>
      <c r="S505" s="96"/>
      <c r="T505" s="96"/>
      <c r="U505" s="96"/>
      <c r="V505" s="96"/>
      <c r="W505" s="96"/>
    </row>
    <row r="506" spans="1:23" ht="12.75">
      <c r="A506" s="96"/>
      <c r="B506" s="96"/>
      <c r="C506" s="96"/>
      <c r="D506" s="96"/>
      <c r="E506" s="96"/>
      <c r="F506" s="96"/>
      <c r="G506" s="96"/>
      <c r="H506" s="96"/>
      <c r="I506" s="96"/>
      <c r="J506" s="96"/>
      <c r="K506" s="96"/>
      <c r="L506" s="96"/>
      <c r="M506" s="96"/>
      <c r="N506" s="96"/>
      <c r="O506" s="96"/>
      <c r="P506" s="96"/>
      <c r="Q506" s="96"/>
      <c r="R506" s="96"/>
      <c r="S506" s="96"/>
      <c r="T506" s="96"/>
      <c r="U506" s="96"/>
      <c r="V506" s="96"/>
      <c r="W506" s="96"/>
    </row>
    <row r="507" spans="1:23" ht="12.75">
      <c r="A507" s="96"/>
      <c r="B507" s="96"/>
      <c r="C507" s="96"/>
      <c r="D507" s="96"/>
      <c r="E507" s="96"/>
      <c r="F507" s="96"/>
      <c r="G507" s="96"/>
      <c r="H507" s="96"/>
      <c r="I507" s="96"/>
      <c r="J507" s="96"/>
      <c r="K507" s="96"/>
      <c r="L507" s="96"/>
      <c r="M507" s="96"/>
      <c r="N507" s="96"/>
      <c r="O507" s="96"/>
      <c r="P507" s="96"/>
      <c r="Q507" s="96"/>
      <c r="R507" s="96"/>
      <c r="S507" s="96"/>
      <c r="T507" s="96"/>
      <c r="U507" s="96"/>
      <c r="V507" s="96"/>
      <c r="W507" s="96"/>
    </row>
    <row r="508" spans="1:23" ht="12.75">
      <c r="A508" s="96"/>
      <c r="B508" s="96"/>
      <c r="C508" s="96"/>
      <c r="D508" s="96"/>
      <c r="E508" s="96"/>
      <c r="F508" s="96"/>
      <c r="G508" s="96"/>
      <c r="H508" s="96"/>
      <c r="I508" s="96"/>
      <c r="J508" s="96"/>
      <c r="K508" s="96"/>
      <c r="L508" s="96"/>
      <c r="M508" s="96"/>
      <c r="N508" s="96"/>
      <c r="O508" s="96"/>
      <c r="P508" s="96"/>
      <c r="Q508" s="96"/>
      <c r="R508" s="96"/>
      <c r="S508" s="96"/>
      <c r="T508" s="96"/>
      <c r="U508" s="96"/>
      <c r="V508" s="96"/>
      <c r="W508" s="96"/>
    </row>
    <row r="509" spans="1:23" ht="12.75">
      <c r="A509" s="96"/>
      <c r="B509" s="96"/>
      <c r="C509" s="96"/>
      <c r="D509" s="96"/>
      <c r="E509" s="96"/>
      <c r="F509" s="96"/>
      <c r="G509" s="96"/>
      <c r="H509" s="96"/>
      <c r="I509" s="96"/>
      <c r="J509" s="96"/>
      <c r="K509" s="96"/>
      <c r="L509" s="96"/>
      <c r="M509" s="96"/>
      <c r="N509" s="96"/>
      <c r="O509" s="96"/>
      <c r="P509" s="96"/>
      <c r="Q509" s="96"/>
      <c r="R509" s="96"/>
      <c r="S509" s="96"/>
      <c r="T509" s="96"/>
      <c r="U509" s="96"/>
      <c r="V509" s="96"/>
      <c r="W509" s="96"/>
    </row>
    <row r="510" spans="1:23" ht="12.75">
      <c r="A510" s="96"/>
      <c r="B510" s="96"/>
      <c r="C510" s="96"/>
      <c r="D510" s="96"/>
      <c r="E510" s="96"/>
      <c r="F510" s="96"/>
      <c r="G510" s="96"/>
      <c r="H510" s="96"/>
      <c r="I510" s="96"/>
      <c r="J510" s="96"/>
      <c r="K510" s="96"/>
      <c r="L510" s="96"/>
      <c r="M510" s="96"/>
      <c r="N510" s="96"/>
      <c r="O510" s="96"/>
      <c r="P510" s="96"/>
      <c r="Q510" s="96"/>
      <c r="R510" s="96"/>
      <c r="S510" s="96"/>
      <c r="T510" s="96"/>
      <c r="U510" s="96"/>
      <c r="V510" s="96"/>
      <c r="W510" s="96"/>
    </row>
    <row r="511" spans="1:23" ht="12.75">
      <c r="A511" s="96"/>
      <c r="B511" s="96"/>
      <c r="C511" s="96"/>
      <c r="D511" s="96"/>
      <c r="E511" s="96"/>
      <c r="F511" s="96"/>
      <c r="G511" s="96"/>
      <c r="H511" s="96"/>
      <c r="I511" s="96"/>
      <c r="J511" s="96"/>
      <c r="K511" s="96"/>
      <c r="L511" s="96"/>
      <c r="M511" s="96"/>
      <c r="N511" s="96"/>
      <c r="O511" s="96"/>
      <c r="P511" s="96"/>
      <c r="Q511" s="96"/>
      <c r="R511" s="96"/>
      <c r="S511" s="96"/>
      <c r="T511" s="96"/>
      <c r="U511" s="96"/>
      <c r="V511" s="96"/>
      <c r="W511" s="96"/>
    </row>
    <row r="512" spans="1:23" ht="12.75">
      <c r="A512" s="96"/>
      <c r="B512" s="96"/>
      <c r="C512" s="96"/>
      <c r="D512" s="96"/>
      <c r="E512" s="96"/>
      <c r="F512" s="96"/>
      <c r="G512" s="96"/>
      <c r="H512" s="96"/>
      <c r="I512" s="96"/>
      <c r="J512" s="96"/>
      <c r="K512" s="96"/>
      <c r="L512" s="96"/>
      <c r="M512" s="96"/>
      <c r="N512" s="96"/>
      <c r="O512" s="96"/>
      <c r="P512" s="96"/>
      <c r="Q512" s="96"/>
      <c r="R512" s="96"/>
      <c r="S512" s="96"/>
      <c r="T512" s="96"/>
      <c r="U512" s="96"/>
      <c r="V512" s="96"/>
      <c r="W512" s="96"/>
    </row>
    <row r="513" spans="1:23" ht="12.75">
      <c r="A513" s="96"/>
      <c r="B513" s="96"/>
      <c r="C513" s="96"/>
      <c r="D513" s="96"/>
      <c r="E513" s="96"/>
      <c r="F513" s="96"/>
      <c r="G513" s="96"/>
      <c r="H513" s="96"/>
      <c r="I513" s="96"/>
      <c r="J513" s="96"/>
      <c r="K513" s="96"/>
      <c r="L513" s="96"/>
      <c r="M513" s="96"/>
      <c r="N513" s="96"/>
      <c r="O513" s="96"/>
      <c r="P513" s="96"/>
      <c r="Q513" s="96"/>
      <c r="R513" s="96"/>
      <c r="S513" s="96"/>
      <c r="T513" s="96"/>
      <c r="U513" s="96"/>
      <c r="V513" s="96"/>
      <c r="W513" s="96"/>
    </row>
    <row r="514" spans="1:23" ht="12.75">
      <c r="A514" s="96"/>
      <c r="B514" s="96"/>
      <c r="C514" s="96"/>
      <c r="D514" s="96"/>
      <c r="E514" s="96"/>
      <c r="F514" s="96"/>
      <c r="G514" s="96"/>
      <c r="H514" s="96"/>
      <c r="I514" s="96"/>
      <c r="J514" s="96"/>
      <c r="K514" s="96"/>
      <c r="L514" s="96"/>
      <c r="M514" s="96"/>
      <c r="N514" s="96"/>
      <c r="O514" s="96"/>
      <c r="P514" s="96"/>
      <c r="Q514" s="96"/>
      <c r="R514" s="96"/>
      <c r="S514" s="96"/>
      <c r="T514" s="96"/>
      <c r="U514" s="96"/>
      <c r="V514" s="96"/>
      <c r="W514" s="96"/>
    </row>
    <row r="515" spans="1:23" ht="12.75">
      <c r="A515" s="96"/>
      <c r="B515" s="96"/>
      <c r="C515" s="96"/>
      <c r="D515" s="96"/>
      <c r="E515" s="96"/>
      <c r="F515" s="96"/>
      <c r="G515" s="96"/>
      <c r="H515" s="96"/>
      <c r="I515" s="96"/>
      <c r="J515" s="96"/>
      <c r="K515" s="96"/>
      <c r="L515" s="96"/>
      <c r="M515" s="96"/>
      <c r="N515" s="96"/>
      <c r="O515" s="96"/>
      <c r="P515" s="96"/>
      <c r="Q515" s="96"/>
      <c r="R515" s="96"/>
      <c r="S515" s="96"/>
      <c r="T515" s="96"/>
      <c r="U515" s="96"/>
      <c r="V515" s="96"/>
      <c r="W515" s="96"/>
    </row>
    <row r="516" spans="1:23" ht="12.75">
      <c r="A516" s="96"/>
      <c r="B516" s="96"/>
      <c r="C516" s="96"/>
      <c r="D516" s="96"/>
      <c r="E516" s="96"/>
      <c r="F516" s="96"/>
      <c r="G516" s="96"/>
      <c r="H516" s="96"/>
      <c r="I516" s="96"/>
      <c r="J516" s="96"/>
      <c r="K516" s="96"/>
      <c r="L516" s="96"/>
      <c r="M516" s="96"/>
      <c r="N516" s="96"/>
      <c r="O516" s="96"/>
      <c r="P516" s="96"/>
      <c r="Q516" s="96"/>
      <c r="R516" s="96"/>
      <c r="S516" s="96"/>
      <c r="T516" s="96"/>
      <c r="U516" s="96"/>
      <c r="V516" s="96"/>
      <c r="W516" s="96"/>
    </row>
    <row r="517" spans="1:23" ht="12.75">
      <c r="A517" s="96"/>
      <c r="B517" s="96"/>
      <c r="C517" s="96"/>
      <c r="D517" s="96"/>
      <c r="E517" s="96"/>
      <c r="F517" s="96"/>
      <c r="G517" s="96"/>
      <c r="H517" s="96"/>
      <c r="I517" s="96"/>
      <c r="J517" s="96"/>
      <c r="K517" s="96"/>
      <c r="L517" s="96"/>
      <c r="M517" s="96"/>
      <c r="N517" s="96"/>
      <c r="O517" s="96"/>
      <c r="P517" s="96"/>
      <c r="Q517" s="96"/>
      <c r="R517" s="96"/>
      <c r="S517" s="96"/>
      <c r="T517" s="96"/>
      <c r="U517" s="96"/>
      <c r="V517" s="96"/>
      <c r="W517" s="96"/>
    </row>
    <row r="518" spans="1:23" ht="12.75">
      <c r="A518" s="96"/>
      <c r="B518" s="96"/>
      <c r="C518" s="96"/>
      <c r="D518" s="96"/>
      <c r="E518" s="96"/>
      <c r="F518" s="96"/>
      <c r="G518" s="96"/>
      <c r="H518" s="96"/>
      <c r="I518" s="96"/>
      <c r="J518" s="96"/>
      <c r="K518" s="96"/>
      <c r="L518" s="96"/>
      <c r="M518" s="96"/>
      <c r="N518" s="96"/>
      <c r="O518" s="96"/>
      <c r="P518" s="96"/>
      <c r="Q518" s="96"/>
      <c r="R518" s="96"/>
      <c r="S518" s="96"/>
      <c r="T518" s="96"/>
      <c r="U518" s="96"/>
      <c r="V518" s="96"/>
      <c r="W518" s="96"/>
    </row>
    <row r="519" spans="1:23" ht="12.75">
      <c r="A519" s="96"/>
      <c r="B519" s="96"/>
      <c r="C519" s="96"/>
      <c r="D519" s="96"/>
      <c r="E519" s="96"/>
      <c r="F519" s="96"/>
      <c r="G519" s="96"/>
      <c r="H519" s="96"/>
      <c r="I519" s="96"/>
      <c r="J519" s="96"/>
      <c r="K519" s="96"/>
      <c r="L519" s="96"/>
      <c r="M519" s="96"/>
      <c r="N519" s="96"/>
      <c r="O519" s="96"/>
      <c r="P519" s="96"/>
      <c r="Q519" s="96"/>
      <c r="R519" s="96"/>
      <c r="S519" s="96"/>
      <c r="T519" s="96"/>
      <c r="U519" s="96"/>
      <c r="V519" s="96"/>
      <c r="W519" s="96"/>
    </row>
    <row r="520" spans="1:23" ht="12.75">
      <c r="A520" s="96"/>
      <c r="B520" s="96"/>
      <c r="C520" s="96"/>
      <c r="D520" s="96"/>
      <c r="E520" s="96"/>
      <c r="F520" s="96"/>
      <c r="G520" s="96"/>
      <c r="H520" s="96"/>
      <c r="I520" s="96"/>
      <c r="J520" s="96"/>
      <c r="K520" s="96"/>
      <c r="L520" s="96"/>
      <c r="M520" s="96"/>
      <c r="N520" s="96"/>
      <c r="O520" s="96"/>
      <c r="P520" s="96"/>
      <c r="Q520" s="96"/>
      <c r="R520" s="96"/>
      <c r="S520" s="96"/>
      <c r="T520" s="96"/>
      <c r="U520" s="96"/>
      <c r="V520" s="96"/>
      <c r="W520" s="96"/>
    </row>
    <row r="521" spans="1:23" ht="12.75">
      <c r="A521" s="96"/>
      <c r="B521" s="96"/>
      <c r="C521" s="96"/>
      <c r="D521" s="96"/>
      <c r="E521" s="96"/>
      <c r="F521" s="96"/>
      <c r="G521" s="96"/>
      <c r="H521" s="96"/>
      <c r="I521" s="96"/>
      <c r="J521" s="96"/>
      <c r="K521" s="96"/>
      <c r="L521" s="96"/>
      <c r="M521" s="96"/>
      <c r="N521" s="96"/>
      <c r="O521" s="96"/>
      <c r="P521" s="96"/>
      <c r="Q521" s="96"/>
      <c r="R521" s="96"/>
      <c r="S521" s="96"/>
      <c r="T521" s="96"/>
      <c r="U521" s="96"/>
      <c r="V521" s="96"/>
      <c r="W521" s="96"/>
    </row>
    <row r="522" spans="1:23" ht="12.75">
      <c r="A522" s="96"/>
      <c r="B522" s="96"/>
      <c r="C522" s="96"/>
      <c r="D522" s="96"/>
      <c r="E522" s="96"/>
      <c r="F522" s="96"/>
      <c r="G522" s="96"/>
      <c r="H522" s="96"/>
      <c r="I522" s="96"/>
      <c r="J522" s="96"/>
      <c r="K522" s="96"/>
      <c r="L522" s="96"/>
      <c r="M522" s="96"/>
      <c r="N522" s="96"/>
      <c r="O522" s="96"/>
      <c r="P522" s="96"/>
      <c r="Q522" s="96"/>
      <c r="R522" s="96"/>
      <c r="S522" s="96"/>
      <c r="T522" s="96"/>
      <c r="U522" s="96"/>
      <c r="V522" s="96"/>
      <c r="W522" s="96"/>
    </row>
    <row r="523" spans="2:23" ht="12.75">
      <c r="B523" s="96"/>
      <c r="C523" s="96"/>
      <c r="D523" s="96"/>
      <c r="E523" s="96"/>
      <c r="F523" s="96"/>
      <c r="G523" s="96"/>
      <c r="H523" s="96"/>
      <c r="I523" s="96"/>
      <c r="J523" s="96"/>
      <c r="K523" s="96"/>
      <c r="L523" s="96"/>
      <c r="M523" s="96"/>
      <c r="N523" s="96"/>
      <c r="O523" s="96"/>
      <c r="P523" s="96"/>
      <c r="Q523" s="96"/>
      <c r="R523" s="96"/>
      <c r="S523" s="96"/>
      <c r="T523" s="96"/>
      <c r="U523" s="96"/>
      <c r="V523" s="96"/>
      <c r="W523" s="96"/>
    </row>
    <row r="524" spans="2:23" ht="12.75">
      <c r="B524" s="96"/>
      <c r="C524" s="96"/>
      <c r="D524" s="96"/>
      <c r="E524" s="96"/>
      <c r="F524" s="96"/>
      <c r="G524" s="96"/>
      <c r="H524" s="96"/>
      <c r="I524" s="96"/>
      <c r="J524" s="96"/>
      <c r="K524" s="96"/>
      <c r="L524" s="96"/>
      <c r="M524" s="96"/>
      <c r="N524" s="96"/>
      <c r="O524" s="96"/>
      <c r="P524" s="96"/>
      <c r="Q524" s="96"/>
      <c r="R524" s="96"/>
      <c r="S524" s="96"/>
      <c r="T524" s="96"/>
      <c r="U524" s="96"/>
      <c r="V524" s="96"/>
      <c r="W524" s="96"/>
    </row>
    <row r="525" spans="2:23" ht="12.75">
      <c r="B525" s="96"/>
      <c r="C525" s="96"/>
      <c r="D525" s="96"/>
      <c r="E525" s="96"/>
      <c r="F525" s="96"/>
      <c r="G525" s="96"/>
      <c r="H525" s="96"/>
      <c r="I525" s="96"/>
      <c r="J525" s="96"/>
      <c r="K525" s="96"/>
      <c r="L525" s="96"/>
      <c r="M525" s="96"/>
      <c r="N525" s="96"/>
      <c r="O525" s="96"/>
      <c r="P525" s="96"/>
      <c r="Q525" s="96"/>
      <c r="R525" s="96"/>
      <c r="S525" s="96"/>
      <c r="T525" s="96"/>
      <c r="U525" s="96"/>
      <c r="V525" s="96"/>
      <c r="W525" s="96"/>
    </row>
    <row r="526" spans="2:23" ht="12.75">
      <c r="B526" s="96"/>
      <c r="C526" s="96"/>
      <c r="D526" s="96"/>
      <c r="E526" s="96"/>
      <c r="F526" s="96"/>
      <c r="G526" s="96"/>
      <c r="H526" s="96"/>
      <c r="I526" s="96"/>
      <c r="J526" s="96"/>
      <c r="K526" s="96"/>
      <c r="L526" s="96"/>
      <c r="M526" s="96"/>
      <c r="N526" s="96"/>
      <c r="O526" s="96"/>
      <c r="P526" s="96"/>
      <c r="Q526" s="96"/>
      <c r="R526" s="96"/>
      <c r="S526" s="96"/>
      <c r="T526" s="96"/>
      <c r="U526" s="96"/>
      <c r="V526" s="96"/>
      <c r="W526" s="96"/>
    </row>
    <row r="527" spans="2:23" ht="12.75">
      <c r="B527" s="96"/>
      <c r="C527" s="96"/>
      <c r="D527" s="96"/>
      <c r="E527" s="96"/>
      <c r="F527" s="96"/>
      <c r="G527" s="96"/>
      <c r="H527" s="96"/>
      <c r="I527" s="96"/>
      <c r="J527" s="96"/>
      <c r="K527" s="96"/>
      <c r="L527" s="96"/>
      <c r="M527" s="96"/>
      <c r="N527" s="96"/>
      <c r="O527" s="96"/>
      <c r="P527" s="96"/>
      <c r="Q527" s="96"/>
      <c r="R527" s="96"/>
      <c r="S527" s="96"/>
      <c r="T527" s="96"/>
      <c r="U527" s="96"/>
      <c r="V527" s="96"/>
      <c r="W527" s="96"/>
    </row>
    <row r="528" spans="2:23" ht="12.75">
      <c r="B528" s="96"/>
      <c r="C528" s="96"/>
      <c r="D528" s="96"/>
      <c r="E528" s="96"/>
      <c r="F528" s="96"/>
      <c r="G528" s="96"/>
      <c r="H528" s="96"/>
      <c r="I528" s="96"/>
      <c r="J528" s="96"/>
      <c r="K528" s="96"/>
      <c r="L528" s="96"/>
      <c r="M528" s="96"/>
      <c r="N528" s="96"/>
      <c r="O528" s="96"/>
      <c r="P528" s="96"/>
      <c r="Q528" s="96"/>
      <c r="R528" s="96"/>
      <c r="S528" s="96"/>
      <c r="T528" s="96"/>
      <c r="U528" s="96"/>
      <c r="V528" s="96"/>
      <c r="W528" s="96"/>
    </row>
  </sheetData>
  <mergeCells count="80">
    <mergeCell ref="A364:B364"/>
    <mergeCell ref="A329:B329"/>
    <mergeCell ref="A148:W148"/>
    <mergeCell ref="A116:W116"/>
    <mergeCell ref="A126:W126"/>
    <mergeCell ref="A136:W136"/>
    <mergeCell ref="A140:W140"/>
    <mergeCell ref="A160:W160"/>
    <mergeCell ref="A163:W163"/>
    <mergeCell ref="J152:O152"/>
    <mergeCell ref="A1:W1"/>
    <mergeCell ref="A92:W92"/>
    <mergeCell ref="A29:W29"/>
    <mergeCell ref="A5:W5"/>
    <mergeCell ref="A30:W30"/>
    <mergeCell ref="A23:W23"/>
    <mergeCell ref="A34:W34"/>
    <mergeCell ref="A38:W38"/>
    <mergeCell ref="A40:W40"/>
    <mergeCell ref="A66:W66"/>
    <mergeCell ref="A3:W3"/>
    <mergeCell ref="A97:W97"/>
    <mergeCell ref="A99:W99"/>
    <mergeCell ref="A104:W104"/>
    <mergeCell ref="A59:W59"/>
    <mergeCell ref="A91:W91"/>
    <mergeCell ref="A65:W65"/>
    <mergeCell ref="H153:I153"/>
    <mergeCell ref="A157:W157"/>
    <mergeCell ref="A159:W159"/>
    <mergeCell ref="A107:W107"/>
    <mergeCell ref="A108:W108"/>
    <mergeCell ref="A113:W113"/>
    <mergeCell ref="A144:W144"/>
    <mergeCell ref="A150:W150"/>
    <mergeCell ref="A191:W191"/>
    <mergeCell ref="A190:W190"/>
    <mergeCell ref="A225:W225"/>
    <mergeCell ref="A193:W193"/>
    <mergeCell ref="D221:W221"/>
    <mergeCell ref="D222:W222"/>
    <mergeCell ref="A198:W198"/>
    <mergeCell ref="A248:W248"/>
    <mergeCell ref="A253:W253"/>
    <mergeCell ref="A250:W250"/>
    <mergeCell ref="D269:W269"/>
    <mergeCell ref="A246:W246"/>
    <mergeCell ref="A247:W247"/>
    <mergeCell ref="D244:W244"/>
    <mergeCell ref="D245:W245"/>
    <mergeCell ref="A228:W228"/>
    <mergeCell ref="B367:W367"/>
    <mergeCell ref="B373:W373"/>
    <mergeCell ref="B378:W378"/>
    <mergeCell ref="A297:W297"/>
    <mergeCell ref="A327:W327"/>
    <mergeCell ref="A332:W332"/>
    <mergeCell ref="A334:W334"/>
    <mergeCell ref="D325:W325"/>
    <mergeCell ref="D326:W326"/>
    <mergeCell ref="C383:W383"/>
    <mergeCell ref="A385:W385"/>
    <mergeCell ref="C384:W384"/>
    <mergeCell ref="A271:W271"/>
    <mergeCell ref="A273:W273"/>
    <mergeCell ref="C286:W286"/>
    <mergeCell ref="C287:W287"/>
    <mergeCell ref="A299:W299"/>
    <mergeCell ref="D295:W295"/>
    <mergeCell ref="D296:W296"/>
    <mergeCell ref="C318:W318"/>
    <mergeCell ref="A305:W305"/>
    <mergeCell ref="D189:W189"/>
    <mergeCell ref="D188:W188"/>
    <mergeCell ref="C317:W317"/>
    <mergeCell ref="A301:W301"/>
    <mergeCell ref="C288:W288"/>
    <mergeCell ref="A276:W276"/>
    <mergeCell ref="A298:W298"/>
    <mergeCell ref="D270:W270"/>
  </mergeCells>
  <printOptions/>
  <pageMargins left="0.24" right="0.24" top="0.18" bottom="0.28" header="0.5" footer="0.5"/>
  <pageSetup fitToHeight="1" fitToWidth="1" horizontalDpi="600" verticalDpi="600" orientation="landscape" paperSize="3" scale="10" r:id="rId4"/>
  <rowBreaks count="8" manualBreakCount="8">
    <brk id="38" max="255" man="1"/>
    <brk id="65" max="255" man="1"/>
    <brk id="96" max="255" man="1"/>
    <brk id="150" max="255" man="1"/>
    <brk id="156" max="255" man="1"/>
    <brk id="174" max="255" man="1"/>
    <brk id="190" max="255" man="1"/>
    <brk id="246" max="255" man="1"/>
  </rowBreaks>
  <ignoredErrors>
    <ignoredError sqref="B474 B476 B478 B490" numberStoredAsText="1"/>
    <ignoredError sqref="C418:C420" emptyCellReference="1"/>
  </ignoredErrors>
  <drawing r:id="rId3"/>
  <legacyDrawing r:id="rId2"/>
</worksheet>
</file>

<file path=xl/worksheets/sheet5.xml><?xml version="1.0" encoding="utf-8"?>
<worksheet xmlns="http://schemas.openxmlformats.org/spreadsheetml/2006/main" xmlns:r="http://schemas.openxmlformats.org/officeDocument/2006/relationships">
  <sheetPr codeName="Sheet5"/>
  <dimension ref="A1:Y50"/>
  <sheetViews>
    <sheetView showGridLines="0" workbookViewId="0" topLeftCell="A1">
      <pane ySplit="1" topLeftCell="BM2" activePane="bottomLeft" state="frozen"/>
      <selection pane="topLeft" activeCell="A1" sqref="A1"/>
      <selection pane="bottomLeft" activeCell="Q11" sqref="Q11"/>
    </sheetView>
  </sheetViews>
  <sheetFormatPr defaultColWidth="9.140625" defaultRowHeight="12.75"/>
  <cols>
    <col min="5" max="5" width="9.7109375" style="0" customWidth="1"/>
    <col min="6" max="6" width="9.57421875" style="0" customWidth="1"/>
    <col min="7" max="8" width="11.57421875" style="0" bestFit="1" customWidth="1"/>
    <col min="9" max="9" width="10.00390625" style="0" customWidth="1"/>
    <col min="10" max="10" width="10.28125" style="0" customWidth="1"/>
    <col min="11" max="11" width="11.57421875" style="0" bestFit="1" customWidth="1"/>
    <col min="12" max="12" width="10.7109375" style="0" customWidth="1"/>
    <col min="13" max="13" width="10.57421875" style="0" customWidth="1"/>
  </cols>
  <sheetData>
    <row r="1" spans="13:14" s="310" customFormat="1" ht="11.25">
      <c r="M1" s="313" t="s">
        <v>350</v>
      </c>
      <c r="N1" s="314">
        <f>'User''s Guide'!C1</f>
        <v>39310</v>
      </c>
    </row>
    <row r="2" s="310" customFormat="1" ht="11.25"/>
    <row r="3" spans="1:25" ht="12.75">
      <c r="A3" s="397" t="s">
        <v>146</v>
      </c>
      <c r="B3" s="397"/>
      <c r="C3" s="397"/>
      <c r="D3" s="397"/>
      <c r="E3" s="397"/>
      <c r="F3" s="397"/>
      <c r="G3" s="397"/>
      <c r="H3" s="397"/>
      <c r="I3" s="397"/>
      <c r="J3" s="397"/>
      <c r="K3" s="397"/>
      <c r="L3" s="397"/>
      <c r="M3" s="397"/>
      <c r="O3" s="447" t="s">
        <v>155</v>
      </c>
      <c r="P3" s="447"/>
      <c r="Q3" s="447"/>
      <c r="R3" s="447"/>
      <c r="S3" s="447"/>
      <c r="T3" s="447"/>
      <c r="U3" s="447"/>
      <c r="V3" s="447"/>
      <c r="W3" s="447"/>
      <c r="X3" s="447"/>
      <c r="Y3" s="447"/>
    </row>
    <row r="4" spans="1:25" ht="45">
      <c r="A4" s="459" t="s">
        <v>118</v>
      </c>
      <c r="B4" s="65" t="s">
        <v>119</v>
      </c>
      <c r="C4" s="65" t="s">
        <v>120</v>
      </c>
      <c r="D4" s="65" t="s">
        <v>121</v>
      </c>
      <c r="E4" s="65" t="s">
        <v>147</v>
      </c>
      <c r="F4" s="65" t="s">
        <v>148</v>
      </c>
      <c r="G4" s="65" t="s">
        <v>122</v>
      </c>
      <c r="H4" s="65" t="s">
        <v>123</v>
      </c>
      <c r="I4" s="65" t="s">
        <v>124</v>
      </c>
      <c r="J4" s="65" t="s">
        <v>125</v>
      </c>
      <c r="K4" s="65" t="s">
        <v>126</v>
      </c>
      <c r="L4" s="65" t="s">
        <v>127</v>
      </c>
      <c r="M4" s="65" t="s">
        <v>128</v>
      </c>
      <c r="O4" s="458" t="s">
        <v>150</v>
      </c>
      <c r="P4" s="458"/>
      <c r="Q4" s="458"/>
      <c r="R4" s="67">
        <v>0.068</v>
      </c>
      <c r="S4" s="462" t="s">
        <v>151</v>
      </c>
      <c r="T4" s="462"/>
      <c r="U4" s="462"/>
      <c r="V4" s="462"/>
      <c r="W4" s="462"/>
      <c r="X4" s="462"/>
      <c r="Y4" s="463"/>
    </row>
    <row r="5" spans="1:25" ht="22.5">
      <c r="A5" s="467"/>
      <c r="B5" s="66" t="s">
        <v>129</v>
      </c>
      <c r="C5" s="66" t="s">
        <v>130</v>
      </c>
      <c r="D5" s="66" t="s">
        <v>131</v>
      </c>
      <c r="E5" s="66" t="s">
        <v>132</v>
      </c>
      <c r="F5" s="66" t="s">
        <v>133</v>
      </c>
      <c r="G5" s="66" t="s">
        <v>134</v>
      </c>
      <c r="H5" s="66" t="s">
        <v>135</v>
      </c>
      <c r="I5" s="66" t="s">
        <v>136</v>
      </c>
      <c r="J5" s="66" t="s">
        <v>137</v>
      </c>
      <c r="K5" s="66" t="s">
        <v>138</v>
      </c>
      <c r="L5" s="66" t="s">
        <v>139</v>
      </c>
      <c r="M5" s="66" t="s">
        <v>140</v>
      </c>
      <c r="O5" s="458" t="s">
        <v>152</v>
      </c>
      <c r="P5" s="458"/>
      <c r="Q5" s="458"/>
      <c r="R5" s="67">
        <v>0.01</v>
      </c>
      <c r="S5" s="462"/>
      <c r="T5" s="462"/>
      <c r="U5" s="462"/>
      <c r="V5" s="462"/>
      <c r="W5" s="462"/>
      <c r="X5" s="462"/>
      <c r="Y5" s="463"/>
    </row>
    <row r="6" spans="1:25" ht="39" customHeight="1">
      <c r="A6" s="69" t="s">
        <v>141</v>
      </c>
      <c r="B6" s="70">
        <v>13.1</v>
      </c>
      <c r="C6" s="70">
        <v>20.5</v>
      </c>
      <c r="D6" s="71">
        <f>(B6/C6)*1000*8</f>
        <v>5112.195121951219</v>
      </c>
      <c r="E6" s="68" t="s">
        <v>142</v>
      </c>
      <c r="F6" s="72">
        <v>1134</v>
      </c>
      <c r="G6" s="73">
        <v>0.082</v>
      </c>
      <c r="H6" s="68">
        <v>69</v>
      </c>
      <c r="I6" s="74">
        <f>F6*G6*(H6/100)</f>
        <v>64.16171999999999</v>
      </c>
      <c r="J6" s="68">
        <v>4.47</v>
      </c>
      <c r="K6" s="74">
        <f>D6*(J6/100)</f>
        <v>228.5151219512195</v>
      </c>
      <c r="L6" s="74">
        <f>I8+K6</f>
        <v>302.7518419512195</v>
      </c>
      <c r="M6" s="75">
        <f>(D6-L6)/D6</f>
        <v>0.9407785041984732</v>
      </c>
      <c r="O6" s="458" t="s">
        <v>153</v>
      </c>
      <c r="P6" s="458"/>
      <c r="Q6" s="458"/>
      <c r="R6" s="67">
        <v>0.0329</v>
      </c>
      <c r="S6" s="462" t="s">
        <v>154</v>
      </c>
      <c r="T6" s="463"/>
      <c r="U6" s="463"/>
      <c r="V6" s="463"/>
      <c r="W6" s="463"/>
      <c r="X6" s="463"/>
      <c r="Y6" s="463"/>
    </row>
    <row r="7" spans="1:25" ht="12.75">
      <c r="A7" s="468"/>
      <c r="B7" s="468"/>
      <c r="C7" s="468"/>
      <c r="D7" s="468"/>
      <c r="E7" s="68" t="s">
        <v>143</v>
      </c>
      <c r="F7" s="68">
        <v>65</v>
      </c>
      <c r="G7" s="73">
        <v>0.5</v>
      </c>
      <c r="H7" s="68">
        <f>100-H6</f>
        <v>31</v>
      </c>
      <c r="I7" s="74">
        <f>F7*G7*(H7/100)</f>
        <v>10.075</v>
      </c>
      <c r="J7" s="459"/>
      <c r="K7" s="459"/>
      <c r="L7" s="459"/>
      <c r="M7" s="459"/>
      <c r="O7" s="448" t="s">
        <v>18</v>
      </c>
      <c r="P7" s="449"/>
      <c r="Q7" s="450"/>
      <c r="R7" s="77">
        <f>SUM(R4:R6)</f>
        <v>0.1109</v>
      </c>
      <c r="S7" s="451"/>
      <c r="T7" s="452"/>
      <c r="U7" s="452"/>
      <c r="V7" s="452"/>
      <c r="W7" s="452"/>
      <c r="X7" s="452"/>
      <c r="Y7" s="453"/>
    </row>
    <row r="8" spans="1:13" ht="12.75">
      <c r="A8" s="468"/>
      <c r="B8" s="468"/>
      <c r="C8" s="468"/>
      <c r="D8" s="468"/>
      <c r="E8" s="459"/>
      <c r="F8" s="459"/>
      <c r="G8" s="459"/>
      <c r="H8" s="68" t="s">
        <v>18</v>
      </c>
      <c r="I8" s="74">
        <f>I6+I7</f>
        <v>74.23671999999999</v>
      </c>
      <c r="J8" s="459"/>
      <c r="K8" s="459"/>
      <c r="L8" s="459"/>
      <c r="M8" s="459"/>
    </row>
    <row r="9" spans="1:13" ht="12.75">
      <c r="A9" s="69" t="s">
        <v>144</v>
      </c>
      <c r="B9" s="70">
        <v>0.68</v>
      </c>
      <c r="C9" s="70">
        <v>22.2</v>
      </c>
      <c r="D9" s="71">
        <f>(B9/C9)*1000*8.26</f>
        <v>253.00900900900902</v>
      </c>
      <c r="E9" s="68" t="s">
        <v>142</v>
      </c>
      <c r="F9" s="68">
        <v>383</v>
      </c>
      <c r="G9" s="73">
        <v>0.0745</v>
      </c>
      <c r="H9" s="68">
        <v>69</v>
      </c>
      <c r="I9" s="74">
        <f>F9*G9*(H9/100)</f>
        <v>19.688115</v>
      </c>
      <c r="J9" s="74">
        <v>7.78</v>
      </c>
      <c r="K9" s="74">
        <f>D9*(J9/100)</f>
        <v>19.684100900900905</v>
      </c>
      <c r="L9" s="74">
        <f>I11+K9</f>
        <v>49.4472159009009</v>
      </c>
      <c r="M9" s="75">
        <f>(D9-L9)/D9</f>
        <v>0.8045634181384419</v>
      </c>
    </row>
    <row r="10" spans="1:13" ht="12.75">
      <c r="A10" s="459"/>
      <c r="B10" s="459"/>
      <c r="C10" s="459"/>
      <c r="D10" s="459"/>
      <c r="E10" s="68" t="s">
        <v>143</v>
      </c>
      <c r="F10" s="68">
        <v>65</v>
      </c>
      <c r="G10" s="73">
        <v>0.5</v>
      </c>
      <c r="H10" s="68">
        <f>100-H9</f>
        <v>31</v>
      </c>
      <c r="I10" s="74">
        <f>F10*G10*(H10/100)</f>
        <v>10.075</v>
      </c>
      <c r="J10" s="459"/>
      <c r="K10" s="459"/>
      <c r="L10" s="459"/>
      <c r="M10" s="459"/>
    </row>
    <row r="11" spans="1:13" ht="12.75">
      <c r="A11" s="459"/>
      <c r="B11" s="459"/>
      <c r="C11" s="459"/>
      <c r="D11" s="459"/>
      <c r="E11" s="459" t="s">
        <v>35</v>
      </c>
      <c r="F11" s="459"/>
      <c r="G11" s="459"/>
      <c r="H11" s="65" t="s">
        <v>145</v>
      </c>
      <c r="I11" s="76">
        <f>I9+I10</f>
        <v>29.763115</v>
      </c>
      <c r="J11" s="459"/>
      <c r="K11" s="459"/>
      <c r="L11" s="459"/>
      <c r="M11" s="459"/>
    </row>
    <row r="12" spans="1:13" ht="46.5" customHeight="1">
      <c r="A12" s="460" t="s">
        <v>149</v>
      </c>
      <c r="B12" s="461"/>
      <c r="C12" s="461"/>
      <c r="D12" s="461"/>
      <c r="E12" s="461"/>
      <c r="F12" s="461"/>
      <c r="G12" s="461"/>
      <c r="H12" s="461"/>
      <c r="I12" s="461"/>
      <c r="J12" s="461"/>
      <c r="K12" s="461"/>
      <c r="L12" s="461"/>
      <c r="M12" s="461"/>
    </row>
    <row r="13" spans="1:13" ht="12.75">
      <c r="A13" s="456"/>
      <c r="B13" s="456"/>
      <c r="C13" s="456"/>
      <c r="D13" s="456"/>
      <c r="E13" s="456"/>
      <c r="F13" s="456"/>
      <c r="G13" s="456"/>
      <c r="H13" s="456"/>
      <c r="I13" s="456"/>
      <c r="J13" s="456"/>
      <c r="K13" s="456"/>
      <c r="L13" s="456"/>
      <c r="M13" s="456"/>
    </row>
    <row r="14" spans="1:13" ht="12.75">
      <c r="A14" s="457"/>
      <c r="B14" s="457"/>
      <c r="C14" s="457"/>
      <c r="D14" s="457"/>
      <c r="E14" s="457"/>
      <c r="F14" s="457"/>
      <c r="G14" s="457"/>
      <c r="H14" s="457"/>
      <c r="I14" s="457"/>
      <c r="J14" s="457"/>
      <c r="K14" s="457"/>
      <c r="L14" s="457"/>
      <c r="M14" s="457"/>
    </row>
    <row r="15" spans="1:16" ht="13.5" thickBot="1">
      <c r="A15" s="405" t="s">
        <v>174</v>
      </c>
      <c r="B15" s="405"/>
      <c r="C15" s="405"/>
      <c r="D15" s="405"/>
      <c r="E15" s="405"/>
      <c r="F15" s="405"/>
      <c r="G15" s="405"/>
      <c r="H15" s="405"/>
      <c r="I15" s="405"/>
      <c r="J15" s="405"/>
      <c r="K15" s="405"/>
      <c r="L15" s="405"/>
      <c r="M15" s="405"/>
      <c r="N15" s="405"/>
      <c r="O15" s="405"/>
      <c r="P15" s="405"/>
    </row>
    <row r="16" spans="1:16" ht="12.75">
      <c r="A16" s="440"/>
      <c r="B16" s="441"/>
      <c r="C16" s="441"/>
      <c r="D16" s="441"/>
      <c r="E16" s="19">
        <v>2008</v>
      </c>
      <c r="F16" s="19">
        <f>E16+1</f>
        <v>2009</v>
      </c>
      <c r="G16" s="19">
        <f aca="true" t="shared" si="0" ref="G16:P16">F16+1</f>
        <v>2010</v>
      </c>
      <c r="H16" s="19">
        <f t="shared" si="0"/>
        <v>2011</v>
      </c>
      <c r="I16" s="19">
        <f t="shared" si="0"/>
        <v>2012</v>
      </c>
      <c r="J16" s="19">
        <f t="shared" si="0"/>
        <v>2013</v>
      </c>
      <c r="K16" s="19">
        <f t="shared" si="0"/>
        <v>2014</v>
      </c>
      <c r="L16" s="19">
        <f t="shared" si="0"/>
        <v>2015</v>
      </c>
      <c r="M16" s="19">
        <f t="shared" si="0"/>
        <v>2016</v>
      </c>
      <c r="N16" s="19">
        <f t="shared" si="0"/>
        <v>2017</v>
      </c>
      <c r="O16" s="19">
        <f t="shared" si="0"/>
        <v>2018</v>
      </c>
      <c r="P16" s="20">
        <f t="shared" si="0"/>
        <v>2019</v>
      </c>
    </row>
    <row r="17" spans="1:17" ht="25.5" customHeight="1">
      <c r="A17" s="454" t="s">
        <v>167</v>
      </c>
      <c r="B17" s="455"/>
      <c r="C17" s="455"/>
      <c r="D17" s="82">
        <v>0.294</v>
      </c>
      <c r="E17" s="443"/>
      <c r="F17" s="443"/>
      <c r="G17" s="443"/>
      <c r="H17" s="443"/>
      <c r="I17" s="443"/>
      <c r="J17" s="443"/>
      <c r="K17" s="443"/>
      <c r="L17" s="443"/>
      <c r="M17" s="443"/>
      <c r="N17" s="443"/>
      <c r="O17" s="443"/>
      <c r="P17" s="444"/>
      <c r="Q17" s="79"/>
    </row>
    <row r="18" spans="1:17" ht="12.75">
      <c r="A18" s="454" t="s">
        <v>168</v>
      </c>
      <c r="B18" s="455"/>
      <c r="C18" s="455"/>
      <c r="D18" s="83"/>
      <c r="E18" s="443"/>
      <c r="F18" s="443"/>
      <c r="G18" s="443"/>
      <c r="H18" s="443"/>
      <c r="I18" s="443"/>
      <c r="J18" s="443"/>
      <c r="K18" s="443"/>
      <c r="L18" s="443"/>
      <c r="M18" s="443" t="s">
        <v>35</v>
      </c>
      <c r="N18" s="443" t="s">
        <v>35</v>
      </c>
      <c r="O18" s="443" t="s">
        <v>35</v>
      </c>
      <c r="P18" s="444" t="s">
        <v>35</v>
      </c>
      <c r="Q18" s="79"/>
    </row>
    <row r="19" spans="1:17" ht="12.75">
      <c r="A19" s="454" t="s">
        <v>169</v>
      </c>
      <c r="B19" s="455"/>
      <c r="C19" s="455"/>
      <c r="D19" s="133">
        <v>2628</v>
      </c>
      <c r="E19" s="132">
        <v>1</v>
      </c>
      <c r="F19" s="132">
        <v>3</v>
      </c>
      <c r="G19" s="132">
        <v>2.7</v>
      </c>
      <c r="H19" s="132">
        <v>2.43</v>
      </c>
      <c r="I19" s="132">
        <v>2.187000000000001</v>
      </c>
      <c r="J19" s="132">
        <v>1.9682999999999993</v>
      </c>
      <c r="K19" s="132">
        <v>1.771469999999999</v>
      </c>
      <c r="L19" s="132">
        <v>1.5943229999999993</v>
      </c>
      <c r="M19" s="132">
        <v>1.4348907000000004</v>
      </c>
      <c r="N19" s="132">
        <v>2.5828032600000004</v>
      </c>
      <c r="O19" s="132">
        <v>2.0662426079999996</v>
      </c>
      <c r="P19" s="134">
        <v>1.6529940863999997</v>
      </c>
      <c r="Q19" s="79"/>
    </row>
    <row r="20" spans="1:17" ht="12.75">
      <c r="A20" s="454" t="s">
        <v>170</v>
      </c>
      <c r="B20" s="455"/>
      <c r="C20" s="455"/>
      <c r="D20" s="133">
        <v>3164</v>
      </c>
      <c r="E20" s="132">
        <v>0</v>
      </c>
      <c r="F20" s="132">
        <v>0.35</v>
      </c>
      <c r="G20" s="132">
        <v>0.34125</v>
      </c>
      <c r="H20" s="132">
        <v>0.33271874999999973</v>
      </c>
      <c r="I20" s="132">
        <v>0.3244007812500005</v>
      </c>
      <c r="J20" s="132">
        <v>0.3162907617187507</v>
      </c>
      <c r="K20" s="132">
        <v>0.308383492675782</v>
      </c>
      <c r="L20" s="132">
        <v>0.3006739053588863</v>
      </c>
      <c r="M20" s="132">
        <v>0.2931570577249154</v>
      </c>
      <c r="N20" s="132">
        <v>4.573250100508666</v>
      </c>
      <c r="O20" s="132">
        <v>0.6859875150762997</v>
      </c>
      <c r="P20" s="134">
        <v>0.6173887635686697</v>
      </c>
      <c r="Q20" s="79"/>
    </row>
    <row r="21" spans="1:17" ht="12.75">
      <c r="A21" s="454" t="s">
        <v>171</v>
      </c>
      <c r="B21" s="455"/>
      <c r="C21" s="455"/>
      <c r="D21" s="83"/>
      <c r="E21" s="133">
        <f>E19*$D19+E20*$D20</f>
        <v>2628</v>
      </c>
      <c r="F21" s="133">
        <f>F19*$D19+F20*$D20</f>
        <v>8991.4</v>
      </c>
      <c r="G21" s="133">
        <f>G19*$D19+G20*$D20</f>
        <v>8175.3150000000005</v>
      </c>
      <c r="H21" s="133">
        <f aca="true" t="shared" si="1" ref="H21:P21">H19*$D19+H20*$D20</f>
        <v>7438.762125</v>
      </c>
      <c r="I21" s="133">
        <f t="shared" si="1"/>
        <v>6773.840071875005</v>
      </c>
      <c r="J21" s="133">
        <f t="shared" si="1"/>
        <v>6173.436370078125</v>
      </c>
      <c r="K21" s="133">
        <f t="shared" si="1"/>
        <v>5631.148530826172</v>
      </c>
      <c r="L21" s="133">
        <f t="shared" si="1"/>
        <v>5141.213080555514</v>
      </c>
      <c r="M21" s="133">
        <f t="shared" si="1"/>
        <v>4698.441690241633</v>
      </c>
      <c r="N21" s="133">
        <f t="shared" si="1"/>
        <v>21257.37028528942</v>
      </c>
      <c r="O21" s="133">
        <f t="shared" si="1"/>
        <v>7600.550071525411</v>
      </c>
      <c r="P21" s="134">
        <f t="shared" si="1"/>
        <v>6297.48650699047</v>
      </c>
      <c r="Q21" s="79"/>
    </row>
    <row r="22" spans="1:17" ht="12.75">
      <c r="A22" s="454" t="s">
        <v>172</v>
      </c>
      <c r="B22" s="455"/>
      <c r="C22" s="455"/>
      <c r="D22" s="133">
        <v>153214</v>
      </c>
      <c r="E22" s="84">
        <f>E21/$D22</f>
        <v>0.01715247953842338</v>
      </c>
      <c r="F22" s="84">
        <f aca="true" t="shared" si="2" ref="F22:P22">F21/$D22</f>
        <v>0.058685237641468796</v>
      </c>
      <c r="G22" s="84">
        <f t="shared" si="2"/>
        <v>0.05335879880428682</v>
      </c>
      <c r="H22" s="84">
        <f t="shared" si="2"/>
        <v>0.04855145172764891</v>
      </c>
      <c r="I22" s="84">
        <f t="shared" si="2"/>
        <v>0.04421162603858006</v>
      </c>
      <c r="J22" s="84">
        <f t="shared" si="2"/>
        <v>0.04029289993132563</v>
      </c>
      <c r="K22" s="84">
        <f t="shared" si="2"/>
        <v>0.036753485522381585</v>
      </c>
      <c r="L22" s="84">
        <f t="shared" si="2"/>
        <v>0.033555765664727205</v>
      </c>
      <c r="M22" s="84">
        <f t="shared" si="2"/>
        <v>0.03066587707547374</v>
      </c>
      <c r="N22" s="84">
        <f t="shared" si="2"/>
        <v>0.1387430018489787</v>
      </c>
      <c r="O22" s="84">
        <f t="shared" si="2"/>
        <v>0.049607412322146875</v>
      </c>
      <c r="P22" s="85">
        <f t="shared" si="2"/>
        <v>0.04110255268441833</v>
      </c>
      <c r="Q22" s="79"/>
    </row>
    <row r="23" spans="1:17" ht="29.25" customHeight="1">
      <c r="A23" s="454" t="s">
        <v>175</v>
      </c>
      <c r="B23" s="455"/>
      <c r="C23" s="455"/>
      <c r="D23" s="83"/>
      <c r="E23" s="84">
        <f aca="true" t="shared" si="3" ref="E23:P23">$D17*E22</f>
        <v>0.005042828984296473</v>
      </c>
      <c r="F23" s="84">
        <f t="shared" si="3"/>
        <v>0.017253459866591825</v>
      </c>
      <c r="G23" s="84">
        <f t="shared" si="3"/>
        <v>0.015687486848460323</v>
      </c>
      <c r="H23" s="84">
        <f t="shared" si="3"/>
        <v>0.014274126807928778</v>
      </c>
      <c r="I23" s="84">
        <f t="shared" si="3"/>
        <v>0.012998218055342537</v>
      </c>
      <c r="J23" s="84">
        <f t="shared" si="3"/>
        <v>0.011846112579809734</v>
      </c>
      <c r="K23" s="84">
        <f t="shared" si="3"/>
        <v>0.010805524743580186</v>
      </c>
      <c r="L23" s="84">
        <f t="shared" si="3"/>
        <v>0.009865395105429798</v>
      </c>
      <c r="M23" s="84">
        <f t="shared" si="3"/>
        <v>0.009015767860189278</v>
      </c>
      <c r="N23" s="84">
        <f t="shared" si="3"/>
        <v>0.04079044254359974</v>
      </c>
      <c r="O23" s="84">
        <f t="shared" si="3"/>
        <v>0.01458457922271118</v>
      </c>
      <c r="P23" s="85">
        <f t="shared" si="3"/>
        <v>0.012084150489218988</v>
      </c>
      <c r="Q23" s="79"/>
    </row>
    <row r="24" spans="1:17" ht="26.25" customHeight="1" thickBot="1">
      <c r="A24" s="445" t="s">
        <v>324</v>
      </c>
      <c r="B24" s="446"/>
      <c r="C24" s="446"/>
      <c r="D24" s="86"/>
      <c r="E24" s="87">
        <f>E23/0.37</f>
        <v>0.013629267525125603</v>
      </c>
      <c r="F24" s="87">
        <f aca="true" t="shared" si="4" ref="F24:P24">F23/0.37</f>
        <v>0.04663097261241034</v>
      </c>
      <c r="G24" s="87">
        <f t="shared" si="4"/>
        <v>0.04239861310394682</v>
      </c>
      <c r="H24" s="87">
        <f t="shared" si="4"/>
        <v>0.03857872110251021</v>
      </c>
      <c r="I24" s="87">
        <f t="shared" si="4"/>
        <v>0.03513031906849334</v>
      </c>
      <c r="J24" s="87">
        <f t="shared" si="4"/>
        <v>0.032016520485972255</v>
      </c>
      <c r="K24" s="87">
        <f t="shared" si="4"/>
        <v>0.029204120928595097</v>
      </c>
      <c r="L24" s="87">
        <f t="shared" si="4"/>
        <v>0.02666323001467513</v>
      </c>
      <c r="M24" s="87">
        <f t="shared" si="4"/>
        <v>0.024366940162673725</v>
      </c>
      <c r="N24" s="87">
        <f t="shared" si="4"/>
        <v>0.11024443930702632</v>
      </c>
      <c r="O24" s="87">
        <f t="shared" si="4"/>
        <v>0.03941778168300319</v>
      </c>
      <c r="P24" s="88">
        <f t="shared" si="4"/>
        <v>0.03265986618707835</v>
      </c>
      <c r="Q24" s="79"/>
    </row>
    <row r="25" spans="1:17" ht="12.75" customHeight="1">
      <c r="A25" s="442" t="s">
        <v>173</v>
      </c>
      <c r="B25" s="442"/>
      <c r="C25" s="442"/>
      <c r="D25" s="442"/>
      <c r="E25" s="442"/>
      <c r="F25" s="442"/>
      <c r="G25" s="442"/>
      <c r="H25" s="442"/>
      <c r="I25" s="442"/>
      <c r="J25" s="442"/>
      <c r="K25" s="442"/>
      <c r="L25" s="442"/>
      <c r="M25" s="442"/>
      <c r="N25" s="442"/>
      <c r="O25" s="442"/>
      <c r="P25" s="442"/>
      <c r="Q25" s="79"/>
    </row>
    <row r="26" spans="1:17" ht="12.75">
      <c r="A26" s="384"/>
      <c r="B26" s="384"/>
      <c r="C26" s="384"/>
      <c r="D26" s="81"/>
      <c r="E26" s="81"/>
      <c r="F26" s="81"/>
      <c r="G26" s="81"/>
      <c r="H26" s="81"/>
      <c r="I26" s="81"/>
      <c r="J26" s="81"/>
      <c r="K26" s="81"/>
      <c r="L26" s="81"/>
      <c r="M26" s="81"/>
      <c r="N26" s="81"/>
      <c r="O26" s="79"/>
      <c r="P26" s="79"/>
      <c r="Q26" s="79"/>
    </row>
    <row r="27" spans="1:17" ht="13.5" thickBot="1">
      <c r="A27" s="384"/>
      <c r="B27" s="384"/>
      <c r="C27" s="384"/>
      <c r="D27" s="81"/>
      <c r="E27" s="81"/>
      <c r="F27" s="81"/>
      <c r="G27" s="81"/>
      <c r="H27" s="81"/>
      <c r="I27" s="81"/>
      <c r="J27" s="81"/>
      <c r="K27" s="81"/>
      <c r="L27" s="81"/>
      <c r="M27" s="81"/>
      <c r="N27" s="81"/>
      <c r="O27" s="79"/>
      <c r="P27" s="79"/>
      <c r="Q27" s="79"/>
    </row>
    <row r="28" spans="1:17" ht="40.5" customHeight="1">
      <c r="A28" s="469" t="s">
        <v>204</v>
      </c>
      <c r="B28" s="470"/>
      <c r="C28" s="470"/>
      <c r="D28" s="470"/>
      <c r="E28" s="143">
        <v>2005</v>
      </c>
      <c r="F28" s="143">
        <v>2006</v>
      </c>
      <c r="G28" s="143">
        <v>2007</v>
      </c>
      <c r="H28" s="81" t="s">
        <v>207</v>
      </c>
      <c r="I28" s="81" t="s">
        <v>208</v>
      </c>
      <c r="J28" s="81" t="s">
        <v>206</v>
      </c>
      <c r="K28" s="81" t="s">
        <v>229</v>
      </c>
      <c r="L28" s="81"/>
      <c r="M28" s="81"/>
      <c r="N28" s="81"/>
      <c r="O28" s="79"/>
      <c r="P28" s="79"/>
      <c r="Q28" s="79"/>
    </row>
    <row r="29" spans="1:17" ht="14.25">
      <c r="A29" s="439" t="s">
        <v>205</v>
      </c>
      <c r="B29" s="395"/>
      <c r="C29" s="395"/>
      <c r="D29" s="395"/>
      <c r="E29" s="142">
        <v>9.651529193697868</v>
      </c>
      <c r="F29" s="142">
        <v>10.433303085299455</v>
      </c>
      <c r="G29" s="141">
        <f>F29*1.31</f>
        <v>13.667627041742287</v>
      </c>
      <c r="H29" s="144">
        <f>(F29/E29)-1</f>
        <v>0.0810000027883726</v>
      </c>
      <c r="I29" s="144">
        <f>(G29/F29)-1</f>
        <v>0.31000000000000005</v>
      </c>
      <c r="J29" s="144">
        <f>H29+I29</f>
        <v>0.39100000278837266</v>
      </c>
      <c r="K29" s="141">
        <f>E29*(1+J29)</f>
        <v>13.425277135345794</v>
      </c>
      <c r="L29" s="81"/>
      <c r="M29" s="81"/>
      <c r="N29" s="81"/>
      <c r="O29" s="79"/>
      <c r="P29" s="79"/>
      <c r="Q29" s="79"/>
    </row>
    <row r="30" spans="1:17" ht="14.25">
      <c r="A30" s="464" t="s">
        <v>209</v>
      </c>
      <c r="B30" s="465"/>
      <c r="C30" s="465"/>
      <c r="D30" s="465"/>
      <c r="E30" s="142">
        <v>15.091954022988507</v>
      </c>
      <c r="F30" s="142">
        <v>16.177981651376147</v>
      </c>
      <c r="G30" s="81"/>
      <c r="H30" s="144">
        <f>(F30/E30)-1</f>
        <v>0.07196070348036909</v>
      </c>
      <c r="I30" s="144">
        <v>0.1</v>
      </c>
      <c r="J30" s="144">
        <f>H30+I30</f>
        <v>0.1719607034803691</v>
      </c>
      <c r="K30" s="141">
        <f>E30*(1+J30)</f>
        <v>17.687177053674997</v>
      </c>
      <c r="L30" s="81"/>
      <c r="M30" s="81"/>
      <c r="N30" s="81"/>
      <c r="O30" s="79"/>
      <c r="P30" s="79"/>
      <c r="Q30" s="79"/>
    </row>
    <row r="31" spans="1:17" ht="14.25">
      <c r="A31" s="439" t="s">
        <v>210</v>
      </c>
      <c r="B31" s="395"/>
      <c r="C31" s="395"/>
      <c r="D31" s="395"/>
      <c r="E31" s="142">
        <v>12.709550118389897</v>
      </c>
      <c r="F31" s="142">
        <v>16.901986754966888</v>
      </c>
      <c r="G31" s="81"/>
      <c r="H31" s="144">
        <f>(F31/E31)-1</f>
        <v>0.32986506977228136</v>
      </c>
      <c r="I31" s="144">
        <v>0.1</v>
      </c>
      <c r="J31" s="144">
        <f>H31+I31</f>
        <v>0.42986506977228134</v>
      </c>
      <c r="K31" s="141">
        <f>E31*(1+J31)</f>
        <v>18.172941766805874</v>
      </c>
      <c r="L31" s="81"/>
      <c r="M31" s="81"/>
      <c r="N31" s="81"/>
      <c r="O31" s="79"/>
      <c r="P31" s="79"/>
      <c r="Q31" s="79"/>
    </row>
    <row r="32" spans="1:17" ht="14.25" customHeight="1">
      <c r="A32" s="466" t="s">
        <v>211</v>
      </c>
      <c r="B32" s="466"/>
      <c r="C32" s="466"/>
      <c r="D32" s="466"/>
      <c r="E32" s="466"/>
      <c r="F32" s="466"/>
      <c r="G32" s="466"/>
      <c r="H32" s="466"/>
      <c r="I32" s="466"/>
      <c r="J32" s="466"/>
      <c r="K32" s="81"/>
      <c r="L32" s="81"/>
      <c r="M32" s="81"/>
      <c r="N32" s="81"/>
      <c r="O32" s="79"/>
      <c r="P32" s="79"/>
      <c r="Q32" s="79"/>
    </row>
    <row r="33" spans="1:17" ht="12.75">
      <c r="A33" s="80"/>
      <c r="B33" s="80"/>
      <c r="C33" s="80"/>
      <c r="D33" s="81"/>
      <c r="E33" s="81"/>
      <c r="F33" s="81"/>
      <c r="G33" s="81"/>
      <c r="H33" s="81"/>
      <c r="I33" s="81"/>
      <c r="J33" s="81"/>
      <c r="K33" s="81"/>
      <c r="L33" s="81"/>
      <c r="M33" s="81"/>
      <c r="N33" s="81"/>
      <c r="O33" s="79"/>
      <c r="P33" s="79"/>
      <c r="Q33" s="79"/>
    </row>
    <row r="34" spans="1:17" ht="12.75">
      <c r="A34" s="80"/>
      <c r="B34" s="80"/>
      <c r="C34" s="80"/>
      <c r="D34" s="81"/>
      <c r="E34" s="81"/>
      <c r="F34" s="81"/>
      <c r="G34" s="81"/>
      <c r="H34" s="81"/>
      <c r="I34" s="81"/>
      <c r="J34" s="81"/>
      <c r="K34" s="81"/>
      <c r="L34" s="81"/>
      <c r="M34" s="81"/>
      <c r="N34" s="81"/>
      <c r="O34" s="79"/>
      <c r="P34" s="79"/>
      <c r="Q34" s="79"/>
    </row>
    <row r="35" spans="1:17" ht="12.75">
      <c r="A35" s="80"/>
      <c r="B35" s="80"/>
      <c r="C35" s="80"/>
      <c r="D35" s="81"/>
      <c r="E35" s="81"/>
      <c r="F35" s="81"/>
      <c r="G35" s="81"/>
      <c r="H35" s="81"/>
      <c r="I35" s="81"/>
      <c r="J35" s="81"/>
      <c r="K35" s="81"/>
      <c r="L35" s="81"/>
      <c r="M35" s="81"/>
      <c r="N35" s="81"/>
      <c r="O35" s="79"/>
      <c r="P35" s="79"/>
      <c r="Q35" s="79"/>
    </row>
    <row r="36" spans="1:17" ht="12.75">
      <c r="A36" s="80"/>
      <c r="B36" s="80"/>
      <c r="C36" s="80"/>
      <c r="D36" s="81"/>
      <c r="E36" s="81"/>
      <c r="F36" s="81"/>
      <c r="G36" s="81"/>
      <c r="H36" s="81"/>
      <c r="I36" s="81"/>
      <c r="J36" s="81"/>
      <c r="K36" s="81"/>
      <c r="L36" s="81"/>
      <c r="M36" s="81"/>
      <c r="N36" s="81"/>
      <c r="O36" s="79"/>
      <c r="P36" s="79"/>
      <c r="Q36" s="79"/>
    </row>
    <row r="37" spans="1:17" ht="12.75">
      <c r="A37" s="80"/>
      <c r="B37" s="80"/>
      <c r="C37" s="80"/>
      <c r="D37" s="81"/>
      <c r="E37" s="81"/>
      <c r="F37" s="81"/>
      <c r="G37" s="81"/>
      <c r="H37" s="81"/>
      <c r="I37" s="81"/>
      <c r="J37" s="81"/>
      <c r="K37" s="81"/>
      <c r="L37" s="81"/>
      <c r="M37" s="81"/>
      <c r="N37" s="81"/>
      <c r="O37" s="79"/>
      <c r="P37" s="79"/>
      <c r="Q37" s="79"/>
    </row>
    <row r="38" spans="1:17" ht="12.75">
      <c r="A38" s="80"/>
      <c r="B38" s="80"/>
      <c r="C38" s="80"/>
      <c r="D38" s="81"/>
      <c r="E38" s="81"/>
      <c r="F38" s="81"/>
      <c r="G38" s="81"/>
      <c r="H38" s="81"/>
      <c r="I38" s="81"/>
      <c r="J38" s="81"/>
      <c r="K38" s="81"/>
      <c r="L38" s="81"/>
      <c r="M38" s="81"/>
      <c r="N38" s="81"/>
      <c r="O38" s="79"/>
      <c r="P38" s="79"/>
      <c r="Q38" s="79"/>
    </row>
    <row r="39" spans="1:17" ht="12.75">
      <c r="A39" s="80"/>
      <c r="B39" s="80"/>
      <c r="C39" s="80"/>
      <c r="D39" s="81"/>
      <c r="E39" s="81"/>
      <c r="F39" s="81"/>
      <c r="G39" s="81"/>
      <c r="H39" s="81"/>
      <c r="I39" s="81"/>
      <c r="J39" s="81"/>
      <c r="K39" s="81"/>
      <c r="L39" s="81"/>
      <c r="M39" s="81"/>
      <c r="N39" s="81"/>
      <c r="O39" s="79"/>
      <c r="P39" s="79"/>
      <c r="Q39" s="79"/>
    </row>
    <row r="40" spans="1:17" ht="12.75">
      <c r="A40" s="80"/>
      <c r="B40" s="80"/>
      <c r="C40" s="80"/>
      <c r="D40" s="81"/>
      <c r="E40" s="81"/>
      <c r="F40" s="81"/>
      <c r="G40" s="81"/>
      <c r="H40" s="81"/>
      <c r="I40" s="81"/>
      <c r="J40" s="81"/>
      <c r="K40" s="81"/>
      <c r="L40" s="81"/>
      <c r="M40" s="81"/>
      <c r="N40" s="81"/>
      <c r="O40" s="79"/>
      <c r="P40" s="79"/>
      <c r="Q40" s="79"/>
    </row>
    <row r="41" spans="1:17" ht="12.75">
      <c r="A41" s="80"/>
      <c r="B41" s="80"/>
      <c r="C41" s="80"/>
      <c r="D41" s="81"/>
      <c r="E41" s="81"/>
      <c r="F41" s="81"/>
      <c r="G41" s="81"/>
      <c r="H41" s="81"/>
      <c r="I41" s="81"/>
      <c r="J41" s="81"/>
      <c r="K41" s="81"/>
      <c r="L41" s="81"/>
      <c r="M41" s="81"/>
      <c r="N41" s="81"/>
      <c r="O41" s="79"/>
      <c r="P41" s="79"/>
      <c r="Q41" s="79"/>
    </row>
    <row r="42" spans="1:17" ht="12.75">
      <c r="A42" s="80"/>
      <c r="B42" s="80"/>
      <c r="C42" s="80"/>
      <c r="D42" s="81"/>
      <c r="E42" s="81"/>
      <c r="F42" s="81"/>
      <c r="G42" s="81"/>
      <c r="H42" s="81"/>
      <c r="I42" s="81"/>
      <c r="J42" s="81"/>
      <c r="K42" s="81"/>
      <c r="L42" s="81"/>
      <c r="M42" s="81"/>
      <c r="N42" s="81"/>
      <c r="O42" s="79"/>
      <c r="P42" s="79"/>
      <c r="Q42" s="79"/>
    </row>
    <row r="43" spans="1:17" ht="12.75">
      <c r="A43" s="80"/>
      <c r="B43" s="80"/>
      <c r="C43" s="80"/>
      <c r="D43" s="81"/>
      <c r="E43" s="81"/>
      <c r="F43" s="81"/>
      <c r="G43" s="81"/>
      <c r="H43" s="81"/>
      <c r="I43" s="81"/>
      <c r="J43" s="81"/>
      <c r="K43" s="81"/>
      <c r="L43" s="81"/>
      <c r="M43" s="81"/>
      <c r="N43" s="81"/>
      <c r="O43" s="79"/>
      <c r="P43" s="79"/>
      <c r="Q43" s="79"/>
    </row>
    <row r="44" spans="1:17" ht="12.75">
      <c r="A44" s="80"/>
      <c r="B44" s="80"/>
      <c r="C44" s="80"/>
      <c r="D44" s="81"/>
      <c r="E44" s="81"/>
      <c r="F44" s="81"/>
      <c r="G44" s="81"/>
      <c r="H44" s="81"/>
      <c r="I44" s="81"/>
      <c r="J44" s="81"/>
      <c r="K44" s="81"/>
      <c r="L44" s="81"/>
      <c r="M44" s="81"/>
      <c r="N44" s="81"/>
      <c r="O44" s="79"/>
      <c r="P44" s="79"/>
      <c r="Q44" s="79"/>
    </row>
    <row r="45" spans="1:17" ht="12.75">
      <c r="A45" s="80"/>
      <c r="B45" s="80"/>
      <c r="C45" s="80"/>
      <c r="D45" s="81"/>
      <c r="E45" s="81"/>
      <c r="F45" s="81"/>
      <c r="G45" s="81"/>
      <c r="H45" s="81"/>
      <c r="I45" s="81"/>
      <c r="J45" s="81"/>
      <c r="K45" s="81"/>
      <c r="L45" s="81"/>
      <c r="M45" s="81"/>
      <c r="N45" s="81"/>
      <c r="O45" s="79"/>
      <c r="P45" s="79"/>
      <c r="Q45" s="79"/>
    </row>
    <row r="46" spans="1:17" ht="12.75">
      <c r="A46" s="80"/>
      <c r="B46" s="80"/>
      <c r="C46" s="80"/>
      <c r="D46" s="81"/>
      <c r="E46" s="81"/>
      <c r="F46" s="81"/>
      <c r="G46" s="81"/>
      <c r="H46" s="81"/>
      <c r="I46" s="81"/>
      <c r="J46" s="81"/>
      <c r="K46" s="81"/>
      <c r="L46" s="81"/>
      <c r="M46" s="81"/>
      <c r="N46" s="81"/>
      <c r="O46" s="79"/>
      <c r="P46" s="79"/>
      <c r="Q46" s="79"/>
    </row>
    <row r="47" spans="1:17" ht="12.75">
      <c r="A47" s="80"/>
      <c r="B47" s="80"/>
      <c r="C47" s="80"/>
      <c r="D47" s="81"/>
      <c r="E47" s="81"/>
      <c r="F47" s="81"/>
      <c r="G47" s="81"/>
      <c r="H47" s="81"/>
      <c r="I47" s="81"/>
      <c r="J47" s="81"/>
      <c r="K47" s="81"/>
      <c r="L47" s="81"/>
      <c r="M47" s="81"/>
      <c r="N47" s="81"/>
      <c r="O47" s="79"/>
      <c r="P47" s="79"/>
      <c r="Q47" s="79"/>
    </row>
    <row r="48" spans="1:17" ht="12.75">
      <c r="A48" s="80"/>
      <c r="B48" s="80"/>
      <c r="C48" s="80"/>
      <c r="D48" s="81"/>
      <c r="E48" s="81"/>
      <c r="F48" s="81"/>
      <c r="G48" s="81"/>
      <c r="H48" s="81"/>
      <c r="I48" s="81"/>
      <c r="J48" s="81"/>
      <c r="K48" s="81"/>
      <c r="L48" s="81"/>
      <c r="M48" s="81"/>
      <c r="N48" s="81"/>
      <c r="O48" s="79"/>
      <c r="P48" s="79"/>
      <c r="Q48" s="79"/>
    </row>
    <row r="49" spans="4:17" ht="12.75">
      <c r="D49" s="79"/>
      <c r="E49" s="79"/>
      <c r="F49" s="79"/>
      <c r="G49" s="79"/>
      <c r="H49" s="79"/>
      <c r="I49" s="79"/>
      <c r="J49" s="79"/>
      <c r="K49" s="79"/>
      <c r="L49" s="79"/>
      <c r="M49" s="79"/>
      <c r="N49" s="79"/>
      <c r="O49" s="79"/>
      <c r="P49" s="79"/>
      <c r="Q49" s="79"/>
    </row>
    <row r="50" spans="4:17" ht="12.75">
      <c r="D50" s="79"/>
      <c r="E50" s="79"/>
      <c r="F50" s="79"/>
      <c r="G50" s="79"/>
      <c r="H50" s="79"/>
      <c r="I50" s="79"/>
      <c r="J50" s="79"/>
      <c r="K50" s="79"/>
      <c r="L50" s="79"/>
      <c r="M50" s="79"/>
      <c r="N50" s="79"/>
      <c r="O50" s="79"/>
      <c r="P50" s="79"/>
      <c r="Q50" s="79"/>
    </row>
  </sheetData>
  <mergeCells count="39">
    <mergeCell ref="A31:D31"/>
    <mergeCell ref="A32:J32"/>
    <mergeCell ref="A3:M3"/>
    <mergeCell ref="A4:A5"/>
    <mergeCell ref="A7:D8"/>
    <mergeCell ref="J7:M8"/>
    <mergeCell ref="E8:G8"/>
    <mergeCell ref="A10:D11"/>
    <mergeCell ref="J10:M11"/>
    <mergeCell ref="A28:D28"/>
    <mergeCell ref="O5:Q5"/>
    <mergeCell ref="O6:Q6"/>
    <mergeCell ref="S6:Y6"/>
    <mergeCell ref="A30:D30"/>
    <mergeCell ref="A21:C21"/>
    <mergeCell ref="A22:C22"/>
    <mergeCell ref="A23:C23"/>
    <mergeCell ref="A18:C18"/>
    <mergeCell ref="A19:C19"/>
    <mergeCell ref="A20:C20"/>
    <mergeCell ref="O3:Y3"/>
    <mergeCell ref="O7:Q7"/>
    <mergeCell ref="S7:Y7"/>
    <mergeCell ref="A17:C17"/>
    <mergeCell ref="A13:M13"/>
    <mergeCell ref="A14:M14"/>
    <mergeCell ref="O4:Q4"/>
    <mergeCell ref="E11:G11"/>
    <mergeCell ref="A12:M12"/>
    <mergeCell ref="S4:Y5"/>
    <mergeCell ref="A29:D29"/>
    <mergeCell ref="A15:P15"/>
    <mergeCell ref="A16:D16"/>
    <mergeCell ref="A25:P25"/>
    <mergeCell ref="E17:P17"/>
    <mergeCell ref="E18:P18"/>
    <mergeCell ref="A24:C24"/>
    <mergeCell ref="A26:C26"/>
    <mergeCell ref="A27:C2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agezen</dc:creator>
  <cp:keywords/>
  <dc:description>Revisions:
v2: Reflects Project Budget from Burak Inanc email of 6/28/07
Created on 08/24/07 by renaming "Table 5.40-49 06012007 SCA.no IMT, BCLC.v 2.xls"</dc:description>
  <cp:lastModifiedBy>defuser</cp:lastModifiedBy>
  <cp:lastPrinted>2008-02-01T15:41:55Z</cp:lastPrinted>
  <dcterms:created xsi:type="dcterms:W3CDTF">2007-03-04T08:04:24Z</dcterms:created>
  <dcterms:modified xsi:type="dcterms:W3CDTF">2008-02-21T21:34:28Z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