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345" windowWidth="12480" windowHeight="8130" tabRatio="660" firstSheet="1" activeTab="1"/>
  </bookViews>
  <sheets>
    <sheet name="User's Guide" sheetId="1" r:id="rId1"/>
    <sheet name="Project Description" sheetId="2" r:id="rId2"/>
    <sheet name="ERR &amp; Sensitivity Analysis" sheetId="3" r:id="rId3"/>
    <sheet name="Data &amp; Assumptions" sheetId="4" r:id="rId4"/>
    <sheet name="Registry Upgrade, Khashaa Reg." sheetId="5" r:id="rId5"/>
    <sheet name="Data tables" sheetId="6" r:id="rId6"/>
  </sheets>
  <externalReferences>
    <externalReference r:id="rId9"/>
  </externalReferences>
  <definedNames>
    <definedName name="_Toc154479390" localSheetId="5">'Data tables'!$C$13</definedName>
    <definedName name="Class1_wo_expt">#REF!</definedName>
    <definedName name="Class2_wo_expt">#REF!</definedName>
    <definedName name="Class3_wo_expt">#REF!</definedName>
    <definedName name="death_rate_stage_III_T">'[1]Diabetes'!$C$26</definedName>
    <definedName name="death_rate_stage_III_UT">'[1]Diabetes'!$C$25</definedName>
    <definedName name="death_rate_stage_IV_T">'[1]Hypertension'!$C$28</definedName>
    <definedName name="death_rate_stage_IV_UT">'[1]Hypertension'!$C$27</definedName>
    <definedName name="I_to_II_T_W">'[1]Hypertension'!$J$82</definedName>
    <definedName name="I_to_II_T_WO">'[1]Hypertension'!$J$32</definedName>
    <definedName name="I_to_II_UT">'[1]Hypertension'!$E$32</definedName>
    <definedName name="II_t0_III_T_WO">'[1]Hypertension'!$J$33</definedName>
    <definedName name="II_t0_III_UT">'[1]Hypertension'!$E$33</definedName>
    <definedName name="II_to_III_T_W">'[1]Hypertension'!$J$83</definedName>
    <definedName name="II_to_III_UT">'[1]Diabetes'!$E$31</definedName>
    <definedName name="III_to_IV_T_W">'[1]Hypertension'!$J$84</definedName>
    <definedName name="III_to_IV_T_WO">'[1]Hypertension'!$J$34</definedName>
    <definedName name="III_to_IV_UT">'[1]Hypertension'!$E$34</definedName>
    <definedName name="income_p">'[1]Hypertension'!$E$6</definedName>
    <definedName name="pop_growth">'[1]Hypertension'!$C$5</definedName>
    <definedName name="_xlnm.Print_Area" localSheetId="3">'Data &amp; Assumptions'!$A$1:$M$196</definedName>
  </definedNames>
  <calcPr fullCalcOnLoad="1"/>
</workbook>
</file>

<file path=xl/comments4.xml><?xml version="1.0" encoding="utf-8"?>
<comments xmlns="http://schemas.openxmlformats.org/spreadsheetml/2006/main">
  <authors>
    <author>Steve Anderson</author>
  </authors>
  <commentList>
    <comment ref="F43" authorId="0">
      <text>
        <r>
          <rPr>
            <sz val="8"/>
            <rFont val="Tahoma"/>
            <family val="0"/>
          </rPr>
          <t>"In Mongolia" = in UB and 8 other pillar center cities</t>
        </r>
      </text>
    </comment>
    <comment ref="E51" authorId="0">
      <text>
        <r>
          <rPr>
            <sz val="8"/>
            <rFont val="Tahoma"/>
            <family val="0"/>
          </rPr>
          <t>"Days" = working days</t>
        </r>
      </text>
    </comment>
    <comment ref="D50" authorId="0">
      <text>
        <r>
          <rPr>
            <sz val="8"/>
            <rFont val="Tahoma"/>
            <family val="0"/>
          </rPr>
          <t>Conflicting data on p. 112 of Proposal</t>
        </r>
      </text>
    </comment>
    <comment ref="F68" authorId="0">
      <text>
        <r>
          <rPr>
            <sz val="8"/>
            <rFont val="Tahoma"/>
            <family val="0"/>
          </rPr>
          <t>Supporting evidence unclear</t>
        </r>
      </text>
    </comment>
    <comment ref="F90" authorId="0">
      <text>
        <r>
          <rPr>
            <b/>
            <sz val="8"/>
            <rFont val="Tahoma"/>
            <family val="0"/>
          </rPr>
          <t>Steve Anderson:</t>
        </r>
        <r>
          <rPr>
            <sz val="8"/>
            <rFont val="Tahoma"/>
            <family val="0"/>
          </rPr>
          <t xml:space="preserve">
Basically, a different figure from the above</t>
        </r>
      </text>
    </comment>
    <comment ref="F97" authorId="0">
      <text>
        <r>
          <rPr>
            <sz val="8"/>
            <rFont val="Tahoma"/>
            <family val="0"/>
          </rPr>
          <t>Usually entails buying an apartment; less frequently renovation</t>
        </r>
      </text>
    </comment>
    <comment ref="F96" authorId="0">
      <text>
        <r>
          <rPr>
            <sz val="8"/>
            <rFont val="Tahoma"/>
            <family val="0"/>
          </rPr>
          <t>Primarily apartment dwellers take out consumer loans</t>
        </r>
      </text>
    </comment>
    <comment ref="F61" authorId="0">
      <text>
        <r>
          <rPr>
            <sz val="8"/>
            <rFont val="Tahoma"/>
            <family val="0"/>
          </rPr>
          <t>Includes plot survey, notary, registration fees</t>
        </r>
      </text>
    </comment>
    <comment ref="F69" authorId="0">
      <text>
        <r>
          <rPr>
            <sz val="8"/>
            <rFont val="Tahoma"/>
            <family val="0"/>
          </rPr>
          <t>ADB (MON-1847) survey of households who had advertised in the newspaper to sell plots/houses (&gt;60 people contacted; 45 respondents)</t>
        </r>
      </text>
    </comment>
    <comment ref="F70" authorId="0">
      <text>
        <r>
          <rPr>
            <sz val="8"/>
            <rFont val="Tahoma"/>
            <family val="0"/>
          </rPr>
          <t>ADB (MON-1847) survey of households who had advertised in the newspaper to sell plots/houses (&gt;60 people contacted; 45 respondents)</t>
        </r>
      </text>
    </comment>
    <comment ref="F71" authorId="0">
      <text>
        <r>
          <rPr>
            <sz val="8"/>
            <rFont val="Tahoma"/>
            <family val="0"/>
          </rPr>
          <t>ADB (MON-1847) survey of households who had advertised in the newspaper to sell plots/houses (&gt;60 people contacted; 45 respondents).
(Product of averages, rather than average of total prices)</t>
        </r>
      </text>
    </comment>
    <comment ref="F72" authorId="0">
      <text>
        <r>
          <rPr>
            <sz val="8"/>
            <rFont val="Tahoma"/>
            <family val="0"/>
          </rPr>
          <t>ADB (MON-1847) survey of households who had advertised in the newspaper to sell plots/houses (&gt;60 people contacted; 45 respondents)</t>
        </r>
      </text>
    </comment>
    <comment ref="F73" authorId="0">
      <text>
        <r>
          <rPr>
            <sz val="8"/>
            <rFont val="Tahoma"/>
            <family val="0"/>
          </rPr>
          <t>ADB (MON-1847) survey of households who had advertised in the newspaper to sell plots/houses (&gt;60 people contacted; 45 respondents)</t>
        </r>
      </text>
    </comment>
    <comment ref="F74" authorId="0">
      <text>
        <r>
          <rPr>
            <sz val="8"/>
            <rFont val="Tahoma"/>
            <family val="0"/>
          </rPr>
          <t>ADB (MON-1847) survey of households who had advertised in the newspaper to sell plots/houses (&gt;60 people contacted; 45 respondents).
(Product of averages, rather than average of total prices)</t>
        </r>
      </text>
    </comment>
    <comment ref="F101" authorId="0">
      <text>
        <r>
          <rPr>
            <sz val="8"/>
            <rFont val="Tahoma"/>
            <family val="0"/>
          </rPr>
          <t>Includes expand/repair house, renovate or buy ger, build new house (can be disaggregated)</t>
        </r>
      </text>
    </comment>
    <comment ref="F102" authorId="0">
      <text>
        <r>
          <rPr>
            <sz val="8"/>
            <rFont val="Tahoma"/>
            <family val="0"/>
          </rPr>
          <t>Includes expand/repair house, renovate or buy ger, build new house (can be disaggregated)</t>
        </r>
      </text>
    </comment>
    <comment ref="F103" authorId="0">
      <text>
        <r>
          <rPr>
            <sz val="8"/>
            <rFont val="Tahoma"/>
            <family val="0"/>
          </rPr>
          <t>Includes expand/repair house, renovate or buy ger, build new house (can be disaggregated)</t>
        </r>
      </text>
    </comment>
    <comment ref="F104" authorId="0">
      <text>
        <r>
          <rPr>
            <sz val="8"/>
            <rFont val="Tahoma"/>
            <family val="0"/>
          </rPr>
          <t>Includes expand/repair house, renovate or buy ger, build new house (can be disaggregated)</t>
        </r>
      </text>
    </comment>
    <comment ref="F60" authorId="0">
      <text>
        <r>
          <rPr>
            <sz val="8"/>
            <rFont val="Tahoma"/>
            <family val="0"/>
          </rPr>
          <t>Assumes half must notarize contract; 20% must do cadastral mapping</t>
        </r>
      </text>
    </comment>
    <comment ref="F116" authorId="0">
      <text>
        <r>
          <rPr>
            <sz val="8"/>
            <rFont val="Tahoma"/>
            <family val="0"/>
          </rPr>
          <t>Khan and Xas Banks are the only ones who do significant lending in the ger areas.</t>
        </r>
      </text>
    </comment>
    <comment ref="F117" authorId="0">
      <text>
        <r>
          <rPr>
            <sz val="8"/>
            <rFont val="Tahoma"/>
            <family val="0"/>
          </rPr>
          <t>Khan and Xas Banks are the only ones who do significant lending in the ger areas.</t>
        </r>
      </text>
    </comment>
    <comment ref="F113" authorId="0">
      <text>
        <r>
          <rPr>
            <sz val="8"/>
            <rFont val="Tahoma"/>
            <family val="0"/>
          </rPr>
          <t>Loan terms "up to 5y" are specified in Leonard's note</t>
        </r>
      </text>
    </comment>
    <comment ref="D114" authorId="0">
      <text>
        <r>
          <rPr>
            <sz val="8"/>
            <rFont val="Tahoma"/>
            <family val="0"/>
          </rPr>
          <t>Compare NPLs/(total gross loans) = 5.5% a/o June 2006 (IMF SISA Jan 2007), assume housing moderately higher defaults</t>
        </r>
      </text>
    </comment>
    <comment ref="J105" authorId="0">
      <text>
        <r>
          <rPr>
            <sz val="8"/>
            <rFont val="Tahoma"/>
            <family val="0"/>
          </rPr>
          <t>See computation for details</t>
        </r>
      </text>
    </comment>
    <comment ref="F123" authorId="0">
      <text>
        <r>
          <rPr>
            <sz val="8"/>
            <rFont val="Tahoma"/>
            <family val="0"/>
          </rPr>
          <t>World Bank (2003). Nicaragua Land Policy and Administration (Report No. 26683-NI)</t>
        </r>
      </text>
    </comment>
    <comment ref="F124" authorId="0">
      <text>
        <r>
          <rPr>
            <sz val="8"/>
            <rFont val="Tahoma"/>
            <family val="0"/>
          </rPr>
          <t xml:space="preserve">Timothy Besley (1995). Property Rights and Investment Incentives: Theory and Evidence from Ghana. </t>
        </r>
        <r>
          <rPr>
            <i/>
            <sz val="8"/>
            <rFont val="Tahoma"/>
            <family val="2"/>
          </rPr>
          <t xml:space="preserve">JPE </t>
        </r>
        <r>
          <rPr>
            <sz val="8"/>
            <rFont val="Tahoma"/>
            <family val="2"/>
          </rPr>
          <t>(October) v. 103, no. 5.</t>
        </r>
      </text>
    </comment>
    <comment ref="F125" authorId="0">
      <text>
        <r>
          <rPr>
            <sz val="8"/>
            <rFont val="Tahoma"/>
            <family val="0"/>
          </rPr>
          <t xml:space="preserve">Timothy Besley (1995). Property Rights and Investment Incentives: Theory and Evidence from Ghana. </t>
        </r>
        <r>
          <rPr>
            <i/>
            <sz val="8"/>
            <rFont val="Tahoma"/>
            <family val="2"/>
          </rPr>
          <t xml:space="preserve">JPE </t>
        </r>
        <r>
          <rPr>
            <sz val="8"/>
            <rFont val="Tahoma"/>
            <family val="2"/>
          </rPr>
          <t>(October) v. 103, no. 5.</t>
        </r>
      </text>
    </comment>
    <comment ref="F126" authorId="0">
      <text>
        <r>
          <rPr>
            <sz val="8"/>
            <rFont val="Tahoma"/>
            <family val="0"/>
          </rPr>
          <t>Michael R. Carter and Pedro Olint (2000) "Getting Institutions 'Right' For Whom: Credit Constraints and the Impact of Property Rights on the Quantity and Composition of Investment." U. Wisconsin-Madison, Staff Paper No. 443</t>
        </r>
      </text>
    </comment>
    <comment ref="F127" authorId="0">
      <text>
        <r>
          <rPr>
            <sz val="8"/>
            <rFont val="Tahoma"/>
            <family val="0"/>
          </rPr>
          <t xml:space="preserve">Gershon Feder and Akihiko Nishio (1999). "The Benefits of Land Registration and Titling: Economic and Social Perspectives" </t>
        </r>
        <r>
          <rPr>
            <i/>
            <sz val="8"/>
            <rFont val="Tahoma"/>
            <family val="2"/>
          </rPr>
          <t xml:space="preserve">Land Use Policy </t>
        </r>
        <r>
          <rPr>
            <sz val="8"/>
            <rFont val="Tahoma"/>
            <family val="2"/>
          </rPr>
          <t>15(1).</t>
        </r>
      </text>
    </comment>
    <comment ref="F128" authorId="0">
      <text>
        <r>
          <rPr>
            <sz val="8"/>
            <rFont val="Tahoma"/>
            <family val="0"/>
          </rPr>
          <t xml:space="preserve">Gershon Feder and Akihiko Nishio (1999). "The Benefits of Land Registration and Titling: Economic and Social Perspectives" </t>
        </r>
        <r>
          <rPr>
            <i/>
            <sz val="8"/>
            <rFont val="Tahoma"/>
            <family val="2"/>
          </rPr>
          <t xml:space="preserve">Land Use Policy </t>
        </r>
        <r>
          <rPr>
            <sz val="8"/>
            <rFont val="Tahoma"/>
            <family val="2"/>
          </rPr>
          <t>15(1).</t>
        </r>
      </text>
    </comment>
    <comment ref="F129" authorId="0">
      <text>
        <r>
          <rPr>
            <sz val="8"/>
            <rFont val="Tahoma"/>
            <family val="0"/>
          </rPr>
          <t>John Antle et al. (2003). "Endogeneity of Land Titling and Farm Investments: Evidence from the Peruvian Andes." Working Paper, Dep't of Ag Econ and Economics, Montana State Univ.</t>
        </r>
      </text>
    </comment>
    <comment ref="F130" authorId="0">
      <text>
        <r>
          <rPr>
            <sz val="8"/>
            <rFont val="Tahoma"/>
            <family val="0"/>
          </rPr>
          <t xml:space="preserve">Hanan Jacoby and Bart Minten (2005). "Is Land Titling in Sub-Saharan Africa Cost-Effective? Evidence from Madagascar." </t>
        </r>
      </text>
    </comment>
    <comment ref="F149" authorId="0">
      <text>
        <r>
          <rPr>
            <sz val="8"/>
            <rFont val="Tahoma"/>
            <family val="0"/>
          </rPr>
          <t>Not investment in fixed assets on the hashaa, per se, but all investments by the households sharing a hashaa.</t>
        </r>
      </text>
    </comment>
    <comment ref="F150" authorId="0">
      <text>
        <r>
          <rPr>
            <sz val="8"/>
            <rFont val="Tahoma"/>
            <family val="0"/>
          </rPr>
          <t xml:space="preserve">Avg annl inv for all hashaas
= %titled*(Investment|titled)
    + %not titled*(Investment|not titled)
</t>
        </r>
      </text>
    </comment>
    <comment ref="F141" authorId="0">
      <text>
        <r>
          <rPr>
            <sz val="8"/>
            <rFont val="Tahoma"/>
            <family val="0"/>
          </rPr>
          <t xml:space="preserve">Assume this rate applies also to 2006, and then is allowed to grow (implicitly) in accordance with an increasing fraction of titled hashaas. </t>
        </r>
      </text>
    </comment>
    <comment ref="F142" authorId="0">
      <text>
        <r>
          <rPr>
            <sz val="8"/>
            <rFont val="Tahoma"/>
            <family val="0"/>
          </rPr>
          <t>Assume that this growth rate applies until savings rate as a % of GDP hits the cap (see below), after which point it is constant.</t>
        </r>
      </text>
    </comment>
    <comment ref="G154" authorId="0">
      <text>
        <r>
          <rPr>
            <sz val="8"/>
            <rFont val="Tahoma"/>
            <family val="0"/>
          </rPr>
          <t>Source of NPL data:
IMF SISA (Jan 2007), p. 81 (Table 35: Financial Soundness Indicators for the Banking Sector)</t>
        </r>
      </text>
    </comment>
  </commentList>
</comments>
</file>

<file path=xl/comments5.xml><?xml version="1.0" encoding="utf-8"?>
<comments xmlns="http://schemas.openxmlformats.org/spreadsheetml/2006/main">
  <authors>
    <author>Steve Anderson</author>
    <author>Andersonsc</author>
  </authors>
  <commentList>
    <comment ref="D42" authorId="0">
      <text>
        <r>
          <rPr>
            <sz val="8"/>
            <rFont val="Tahoma"/>
            <family val="0"/>
          </rPr>
          <t>Hangai region</t>
        </r>
      </text>
    </comment>
    <comment ref="P24" authorId="0">
      <text>
        <r>
          <rPr>
            <sz val="8"/>
            <rFont val="Tahoma"/>
            <family val="0"/>
          </rPr>
          <t>Estimate, based on CHF description of process</t>
        </r>
      </text>
    </comment>
    <comment ref="I315" authorId="0">
      <text>
        <r>
          <rPr>
            <sz val="8"/>
            <rFont val="Tahoma"/>
            <family val="0"/>
          </rPr>
          <t>Proposal, p. 128
(Netting out Peri-urban costs)</t>
        </r>
      </text>
    </comment>
    <comment ref="P22" authorId="0">
      <text>
        <r>
          <rPr>
            <sz val="8"/>
            <rFont val="Tahoma"/>
            <family val="0"/>
          </rPr>
          <t>Approximation from following two years</t>
        </r>
      </text>
    </comment>
    <comment ref="D30" authorId="0">
      <text>
        <r>
          <rPr>
            <sz val="8"/>
            <rFont val="Tahoma"/>
            <family val="0"/>
          </rPr>
          <t xml:space="preserve">Assumes a wp/wop differential fraction of  privatized hashaas registered with 1-year lag from year of privatization.
Without project uses 2006 data on average rate of registration for privatized hashaas. </t>
        </r>
      </text>
    </comment>
    <comment ref="C58" authorId="0">
      <text>
        <r>
          <rPr>
            <sz val="8"/>
            <rFont val="Tahoma"/>
            <family val="0"/>
          </rPr>
          <t>Assume initial and incremental registration numbers are proportional to extant privatizations (see numbers at right)</t>
        </r>
      </text>
    </comment>
    <comment ref="M58" authorId="0">
      <text>
        <r>
          <rPr>
            <sz val="8"/>
            <rFont val="Tahoma"/>
            <family val="0"/>
          </rPr>
          <t>From proposal</t>
        </r>
      </text>
    </comment>
    <comment ref="F97" authorId="0">
      <text>
        <r>
          <rPr>
            <sz val="8"/>
            <rFont val="Tahoma"/>
            <family val="0"/>
          </rPr>
          <t>Same for all cities</t>
        </r>
      </text>
    </comment>
    <comment ref="F172" authorId="0">
      <text>
        <r>
          <rPr>
            <sz val="8"/>
            <rFont val="Tahoma"/>
            <family val="0"/>
          </rPr>
          <t>Based on assumed leverage ratio from "Data &amp; Assumptions" worksheet</t>
        </r>
      </text>
    </comment>
    <comment ref="D14" authorId="0">
      <text>
        <r>
          <rPr>
            <sz val="8"/>
            <rFont val="Tahoma"/>
            <family val="0"/>
          </rPr>
          <t>Source for 2007-11:
IMF Article IV Consultation (Jan. 2007), p. 27 (Table 6: MTMF 2003-11).
Source for 2012 onward:
MCC assumptions.</t>
        </r>
      </text>
    </comment>
    <comment ref="D199" authorId="0">
      <text>
        <r>
          <rPr>
            <sz val="8"/>
            <rFont val="Tahoma"/>
            <family val="0"/>
          </rPr>
          <t xml:space="preserve">Assume this rate applies also to 2006, and then is allowed to grow (implicitly) in accordance with an increasing fraction of titled hashaas. </t>
        </r>
      </text>
    </comment>
    <comment ref="D15" authorId="0">
      <text>
        <r>
          <rPr>
            <sz val="8"/>
            <rFont val="Tahoma"/>
            <family val="0"/>
          </rPr>
          <t>2006 estimate: 
IMF SISA (Jan. 2007), p. 47 (Table 1 - Mongolia: Basic Data)
2007-onward:
MCC estimates</t>
        </r>
      </text>
    </comment>
    <comment ref="D203" authorId="0">
      <text>
        <r>
          <rPr>
            <sz val="8"/>
            <rFont val="Tahoma"/>
            <family val="0"/>
          </rPr>
          <t>Not investment in fixed assets on the hashaa, per se, but all investments by the households sharing a hashaa.</t>
        </r>
      </text>
    </comment>
    <comment ref="D205" authorId="0">
      <text>
        <r>
          <rPr>
            <sz val="8"/>
            <rFont val="Tahoma"/>
            <family val="0"/>
          </rPr>
          <t>Not investment in fixed assets on the hashaa, per se, but all investments by the households sharing a hashaa.</t>
        </r>
      </text>
    </comment>
    <comment ref="D207" authorId="0">
      <text>
        <r>
          <rPr>
            <sz val="8"/>
            <rFont val="Tahoma"/>
            <family val="0"/>
          </rPr>
          <t>Not investment in fixed assets on the hashaa, per se, but all investments by the households sharing a hashaa.</t>
        </r>
      </text>
    </comment>
    <comment ref="F209" authorId="0">
      <text>
        <r>
          <rPr>
            <sz val="8"/>
            <rFont val="Tahoma"/>
            <family val="0"/>
          </rPr>
          <t>Assume same proportions across cities as for total funds invested due to financial intermediation.</t>
        </r>
      </text>
    </comment>
    <comment ref="E242" authorId="0">
      <text>
        <r>
          <rPr>
            <sz val="8"/>
            <rFont val="Tahoma"/>
            <family val="0"/>
          </rPr>
          <t>Primarily apartment dwellers take out consumer loans</t>
        </r>
      </text>
    </comment>
    <comment ref="E248" authorId="0">
      <text>
        <r>
          <rPr>
            <sz val="8"/>
            <rFont val="Tahoma"/>
            <family val="0"/>
          </rPr>
          <t>Usually entails buying an apartment; less frequently renovation</t>
        </r>
      </text>
    </comment>
    <comment ref="E99" authorId="0">
      <text>
        <r>
          <rPr>
            <sz val="8"/>
            <rFont val="Tahoma"/>
            <family val="0"/>
          </rPr>
          <t>Initial distribution over years (all cities)</t>
        </r>
      </text>
    </comment>
    <comment ref="O36" authorId="1">
      <text>
        <r>
          <rPr>
            <sz val="8"/>
            <rFont val="Tahoma"/>
            <family val="0"/>
          </rPr>
          <t xml:space="preserve">US$500 added to empty hasha price as the estimated price of a ger itself.  </t>
        </r>
      </text>
    </comment>
  </commentList>
</comments>
</file>

<file path=xl/comments6.xml><?xml version="1.0" encoding="utf-8"?>
<comments xmlns="http://schemas.openxmlformats.org/spreadsheetml/2006/main">
  <authors>
    <author>Steve Anderson</author>
  </authors>
  <commentList>
    <comment ref="AM99" authorId="0">
      <text>
        <r>
          <rPr>
            <b/>
            <sz val="8"/>
            <rFont val="Tahoma"/>
            <family val="0"/>
          </rPr>
          <t>Steve Anderson:</t>
        </r>
        <r>
          <rPr>
            <sz val="8"/>
            <rFont val="Tahoma"/>
            <family val="0"/>
          </rPr>
          <t xml:space="preserve">
Captures effects since privatization law, an omits trend from very small base in 2001.</t>
        </r>
      </text>
    </comment>
  </commentList>
</comments>
</file>

<file path=xl/sharedStrings.xml><?xml version="1.0" encoding="utf-8"?>
<sst xmlns="http://schemas.openxmlformats.org/spreadsheetml/2006/main" count="1172" uniqueCount="502">
  <si>
    <t xml:space="preserve">The Property Rights Project will help Mongolians obtain secure, long-term rights to the suburban land they occupy, and promote investments in home improvement and business activities.  In a banking sector marked by high interest spreads, the Project will encourage financial institutions to reduce the risk premium on credit by providing their customers with a more secure source of collateral and encourage the emergence of new mortgage-related and other asset-dependent financial products.  This Project will improve the accuracy, accessibility and efficiency of the formal system for recognizing and transferring land rights and will facilitate issuance of up to 75,000 privatized and registered land titles to suburban landholders. </t>
  </si>
  <si>
    <t>Investments by businesses and households</t>
  </si>
  <si>
    <t>Savings in loan processing costs</t>
  </si>
  <si>
    <t>Increased property values for owners of recently-privatized urban plots</t>
  </si>
  <si>
    <t>Worksheets in this file</t>
  </si>
  <si>
    <t>ERR &amp; Sensitivity Analysis</t>
  </si>
  <si>
    <t>Registry Upgrade, Khashaa Reg.</t>
  </si>
  <si>
    <t>A brief summary of the project's key parameters and ERR calculations.</t>
  </si>
  <si>
    <t>Date</t>
  </si>
  <si>
    <t>Spreadsheet version</t>
  </si>
  <si>
    <t>Investment memo, final</t>
  </si>
  <si>
    <t>Percentage of "unprivatized" hashaas which are turned over to their owners each year, with project</t>
  </si>
  <si>
    <t>Calculated increase in investment</t>
  </si>
  <si>
    <t xml:space="preserve">Average rate of return premium above lending rate for microenterprise investments </t>
  </si>
  <si>
    <t>Summary</t>
  </si>
  <si>
    <t>Last updated:</t>
  </si>
  <si>
    <t>MCC Estimate</t>
  </si>
  <si>
    <t>User Input</t>
  </si>
  <si>
    <r>
      <t xml:space="preserve">MCC Estimated ERR </t>
    </r>
    <r>
      <rPr>
        <b/>
        <sz val="8"/>
        <rFont val="Arial"/>
        <family val="2"/>
      </rPr>
      <t>(as of 8/16/07)</t>
    </r>
    <r>
      <rPr>
        <b/>
        <sz val="10"/>
        <rFont val="Arial"/>
        <family val="2"/>
      </rPr>
      <t>:</t>
    </r>
  </si>
  <si>
    <t>Specific</t>
  </si>
  <si>
    <t xml:space="preserve">   More Info</t>
  </si>
  <si>
    <r>
      <t xml:space="preserve">   </t>
    </r>
    <r>
      <rPr>
        <u val="single"/>
        <sz val="10"/>
        <color indexed="12"/>
        <rFont val="Arial"/>
        <family val="0"/>
      </rPr>
      <t>Project Description</t>
    </r>
  </si>
  <si>
    <r>
      <t xml:space="preserve">   </t>
    </r>
    <r>
      <rPr>
        <u val="single"/>
        <sz val="10"/>
        <color indexed="12"/>
        <rFont val="Arial"/>
        <family val="0"/>
      </rPr>
      <t>User's Guide</t>
    </r>
  </si>
  <si>
    <t>Last updated:  8/16/2007</t>
  </si>
  <si>
    <t>Parameter type</t>
  </si>
  <si>
    <t>1.      Improve the formal system of privatizing and registering land rights.  Specifically, MCC funding will support:</t>
  </si>
  <si>
    <t xml:space="preserve">        a.      A commission of stakeholders and technical experts to study the obstacles that affect the ability of Mongolian 
                 citizens to privatize and register land efficiently and cost-effectively, to make recommendations on how to reduce 
                 such obstacles, and to work with government agencies, parliament and non-government specialists and interest 
                 groups to substantially implement the recommendations.</t>
  </si>
  <si>
    <t xml:space="preserve">        b.      An upgrade of the geospatial infrastructure necessary for accurate land parcel mapping, including provision of 
                 Continually Operating Reference Stations (CORS), supply of Global Positioning System (GPS) equipment to 
                 regional land offices, and training on the use of each.</t>
  </si>
  <si>
    <t xml:space="preserve">        c.      Capacity building for land offices, including creation and support of land market specialist positions to help citizens 
                 resolve issues related to land privatization and registration, and training of land office staff in land law, land mapping, 
                 use of satellite imagery, and processing of applications for privatization of ger area land plots.</t>
  </si>
  <si>
    <t xml:space="preserve">        d.      An upgrade of the State Registry’s central office space, information technology platform and business processes, 
                 establishment of offices in at least four districts of Ulaanbaatar, and similar upgrades of State Registry offices in 
                 eight regional centers around the country; and</t>
  </si>
  <si>
    <t xml:space="preserve">        e.      Identification and management of environmental, social, health and safety impacts associated with implementation of 
                 this activity, consistent with MCC Environmental Guidelines and World Bank Operational Policy 4.12.</t>
  </si>
  <si>
    <t>2.      Privatize and register approximately 75,000 land plots – known as hashaa plots - in the ger areas of Ulaanbaatar and eight 
         regional centers.  Specifically, MCC funding will support</t>
  </si>
  <si>
    <t xml:space="preserve">        d.      Identification and management of environmental, social, health and safety impacts associated with implementation of 
                 this activity, consistent with MCC Environmental Guidelines and World Bank Operational Policy 4.12.</t>
  </si>
  <si>
    <t>MCC funding will be used to:</t>
  </si>
  <si>
    <t>1.      Increased security of ownership implies a higher propensity to invest as enforceability of property rights becomes both 
         more credible and less costly under the Project</t>
  </si>
  <si>
    <t>2.      For the portion of investments for which people wish to borrow funds, recognizing and securing these property rights 
         confers to potential borrowers the option of pledging property as collateral for loans. More secure property rights 
         should increase financial institutions’ willingness to lend. In the longer run, as a track record with the use of property 
         as collateral develops, terms of secured loans more favorable to borrowers should emerge, leading also to increased 
         loan volumes for residential and small commercial lending.</t>
  </si>
  <si>
    <t>Select the parameter type (summary or specific) from the drop-down list in B8, then change the "User Input" cells in the table below to see the effect on the compact's Economic Rate of Return (ERR) and net benefits (see chart below).  Be sure to reset all summary parameters to their original values ("MCC Estimate" values) before changing specific parameters. To reset all values to the default MCC estimates, click the "Reset Parameters" button at right.</t>
  </si>
  <si>
    <t>80 - 100%</t>
  </si>
  <si>
    <t>All summary parameters set to initial values?</t>
  </si>
  <si>
    <t>Actual costs as a percentage of estimated costs</t>
  </si>
  <si>
    <t>Actual benefits as a percentage of estimated benefits</t>
  </si>
  <si>
    <t>Cost Scenario</t>
  </si>
  <si>
    <t>Benefit Scenario</t>
  </si>
  <si>
    <t>Project Description</t>
  </si>
  <si>
    <t>One should read this sheet first, as it offers a summary of the project, a list of components, and states the economic rationale for the project.</t>
  </si>
  <si>
    <t>Returns from externally financed and internally financed investments</t>
  </si>
  <si>
    <t>Average annual real price increase for "improved" hashaas (hashaas in which major investments have been made) in Ulaan Bataar, with project</t>
  </si>
  <si>
    <t xml:space="preserve">   The inability of Mongolians to easily register and obtain clear titles to their land poses an obstacle to economic growth. The Property Rights Project will help Mongolian citizens obtain secure, long-term rights to the suburban and peri-urban land (the small plots of land located in the crowded suburbs around Ulaanbaatar and other cities) they occupy, and promote investments in home improvement, business activities and agricultural productivity. In a banking sector marked by high interest spreads, the Compact will encourage financial institutions to reduce the risk premium on credit by providing their customers with a more secure source of collateral and encourage the emergence of new mortgage-related and other asset-dependent financial products.</t>
  </si>
  <si>
    <t xml:space="preserve">   The Property Rights Project will improve the accuracy, accessibility and efficiency of the formal system for recognizing and transferring land rights and will facilitate issuance of up to 75,000 privatized and registered land titles to suburban landholders. The Project also will introduce a long-term leasing system on peri-urban rangeland and other incentives (such as technical assistance, wells, animal shelters and fences) that will enable leaseholders to increase income from this land significantly by improving range and livestock management.</t>
  </si>
  <si>
    <t xml:space="preserve">   Finally, streamlining the Registry’s business processes and making its information available through the National Land Information System should reduce the transactions costs associated with property transactions. This is expected to lead to modest savings in loan processing and other administrative costs.</t>
  </si>
  <si>
    <t xml:space="preserve">   The rationale for the urban registry component of the Property Rights Project is primarily based on increased property values for owners of recently-privatized urban plots. Liquidity of the property market is expected to increase with regularization of property rights, and this should also stimulate investment. Investments in property—both buying property and investing to improve existing property—would be increased via two channels:</t>
  </si>
  <si>
    <t>The worksheet specifies the benefit and cost streams both with the MCC investment and without it.  The benefit streams primarily derive from increases in land values and growth in investments that become possible once land registration allows a greater number of households access to credit.</t>
  </si>
  <si>
    <t xml:space="preserve">        a.      Provision of fully privatized and registered ownership rights to the land plots of low and middle income households</t>
  </si>
  <si>
    <t xml:space="preserve">        b.      Identification of main utility corridors</t>
  </si>
  <si>
    <t xml:space="preserve">        c.      Mapping of public land areas (parks, schools, public buildings, etc.) within the ger areas</t>
  </si>
  <si>
    <t>Components</t>
  </si>
  <si>
    <t>Economic Rationale</t>
  </si>
  <si>
    <t>Data tables</t>
  </si>
  <si>
    <t>This worksheet details the substantiated data used as key parameters in the ERR calculation, as well as parameters for which assumptions were drawn from broader professional expertise.</t>
  </si>
  <si>
    <t>Upgrade of State Registry/Land Offices, Completing Privatization/Registration of Khashaa Plots</t>
  </si>
  <si>
    <t>Registration</t>
  </si>
  <si>
    <t>Cost per transaction</t>
  </si>
  <si>
    <t>Total processing time per transaction</t>
  </si>
  <si>
    <t>Time spent "transacting"</t>
  </si>
  <si>
    <t>#</t>
  </si>
  <si>
    <t>Registration files in UB</t>
  </si>
  <si>
    <t>Unit</t>
  </si>
  <si>
    <t>Number</t>
  </si>
  <si>
    <t>Description</t>
  </si>
  <si>
    <t>Source</t>
  </si>
  <si>
    <t>Registration files in branch offices in rural areas</t>
  </si>
  <si>
    <t>Registry upgrade, Khashaa registration</t>
  </si>
  <si>
    <t>Erdenet</t>
  </si>
  <si>
    <t>Darkhan</t>
  </si>
  <si>
    <t>Investment</t>
  </si>
  <si>
    <t>Suburban</t>
  </si>
  <si>
    <t>Privatization</t>
  </si>
  <si>
    <t>Regional centers</t>
  </si>
  <si>
    <t xml:space="preserve">Number of citizens requested for land privatization presently possess the land </t>
  </si>
  <si>
    <t xml:space="preserve">Number of citizens obtained land privatization right </t>
  </si>
  <si>
    <t>Darhan</t>
  </si>
  <si>
    <t>Choibalsan</t>
  </si>
  <si>
    <t>Uliastai</t>
  </si>
  <si>
    <t>Kharhorin</t>
  </si>
  <si>
    <t>Zuunmod</t>
  </si>
  <si>
    <t>Khovd</t>
  </si>
  <si>
    <t>Undurhaan</t>
  </si>
  <si>
    <t>Total</t>
  </si>
  <si>
    <t>Folder "CHF docs"</t>
  </si>
  <si>
    <t>Pre-Registry (e.g., notary) and Registry fees</t>
  </si>
  <si>
    <t>File "PR Working Group cost &amp; regional data.Mar 2007.pdf"</t>
  </si>
  <si>
    <t># HH and ha by city; costs of cadastral mapping/registration, re-registration, inst'l strengthening (LMDs, SR), legal framework</t>
  </si>
  <si>
    <t># HH, ha by UB district and ownership status, 2003-05</t>
  </si>
  <si>
    <t>File "Landownership process.xls"</t>
  </si>
  <si>
    <t>General data</t>
  </si>
  <si>
    <t>Exchange rate</t>
  </si>
  <si>
    <t>www.oanda.com</t>
  </si>
  <si>
    <t>Property-based financial intermediation</t>
  </si>
  <si>
    <t>Fraction of landowners who a/o 10/06 had obtained a loan backed by a land mortgage</t>
  </si>
  <si>
    <t>Proposal (12/29/06), 99</t>
  </si>
  <si>
    <t>General property statistics</t>
  </si>
  <si>
    <r>
      <t>Fraction of total hashaas in Mongolia given to their owners ("</t>
    </r>
    <r>
      <rPr>
        <i/>
        <sz val="10"/>
        <rFont val="Arial"/>
        <family val="2"/>
      </rPr>
      <t>privatized</t>
    </r>
    <r>
      <rPr>
        <sz val="10"/>
        <rFont val="Arial"/>
        <family val="0"/>
      </rPr>
      <t>")</t>
    </r>
  </si>
  <si>
    <t>Number of hashaas in UB and 8 other pillar center cities, 2003</t>
  </si>
  <si>
    <t>Of the above figure, number of hashaas in UB</t>
  </si>
  <si>
    <t>Proposal (12/29/06), 100</t>
  </si>
  <si>
    <t>Property privatization &amp; registration statistics</t>
  </si>
  <si>
    <t>Exchange rate, Tugrik/$US</t>
  </si>
  <si>
    <t>Number of  households in UB, 2006</t>
  </si>
  <si>
    <t>Number of  Hasha in UB, 2006</t>
  </si>
  <si>
    <r>
      <t>Number of Privatized</t>
    </r>
    <r>
      <rPr>
        <b/>
        <sz val="10"/>
        <rFont val="Arial"/>
        <family val="2"/>
      </rPr>
      <t xml:space="preserve"> </t>
    </r>
    <r>
      <rPr>
        <sz val="10"/>
        <rFont val="Arial"/>
        <family val="2"/>
      </rPr>
      <t>Hasha in UB, 2006</t>
    </r>
  </si>
  <si>
    <r>
      <t>Number of Registered</t>
    </r>
    <r>
      <rPr>
        <b/>
        <sz val="10"/>
        <rFont val="Arial"/>
        <family val="2"/>
      </rPr>
      <t xml:space="preserve"> </t>
    </r>
    <r>
      <rPr>
        <sz val="10"/>
        <rFont val="Arial"/>
        <family val="2"/>
      </rPr>
      <t>Hasha in UB, 2006</t>
    </r>
  </si>
  <si>
    <t>Proposal (12/29/06), 102</t>
  </si>
  <si>
    <t>Proposal (12/29/06), 103</t>
  </si>
  <si>
    <t>Fraction of people in UB ger area benefiting from MCC project</t>
  </si>
  <si>
    <t>ha</t>
  </si>
  <si>
    <t>No</t>
  </si>
  <si>
    <t>Service type</t>
  </si>
  <si>
    <t xml:space="preserve">Total as of (2002-2005)  </t>
  </si>
  <si>
    <t>number</t>
  </si>
  <si>
    <t xml:space="preserve">State registration of total property rights </t>
  </si>
  <si>
    <t xml:space="preserve">Initial registration and certification of ownership rights </t>
  </si>
  <si>
    <t>Out of which</t>
  </si>
  <si>
    <t>Privatized land from the state at no cost</t>
  </si>
  <si>
    <t>-</t>
  </si>
  <si>
    <t>Privatized apartment from the state at no cost</t>
  </si>
  <si>
    <t>Other immovable properties</t>
  </si>
  <si>
    <t>Inquiries</t>
  </si>
  <si>
    <t>Other registrations  /preliminary remarks, corrections, changes, etc /</t>
  </si>
  <si>
    <t xml:space="preserve">Total contracts </t>
  </si>
  <si>
    <t xml:space="preserve">Out of which </t>
  </si>
  <si>
    <t>Morgage Contracts</t>
  </si>
  <si>
    <t>Contracts of sale and purchase</t>
  </si>
  <si>
    <t>Gift Contract</t>
  </si>
  <si>
    <t>Will and Heritage</t>
  </si>
  <si>
    <t>Registration of other contracts</t>
  </si>
  <si>
    <t>Total individual records</t>
  </si>
  <si>
    <t>Some indicators of registration activities</t>
  </si>
  <si>
    <t xml:space="preserve">Types of Contracts to Transfer Ownership Rights </t>
  </si>
  <si>
    <t>Service Types</t>
  </si>
  <si>
    <t>Total Cost of the Constract to Transfer Ownership Rights (Tugrugs)</t>
  </si>
  <si>
    <t xml:space="preserve">Service charge </t>
  </si>
  <si>
    <t>To buy and to sell</t>
  </si>
  <si>
    <t xml:space="preserve">Up to 10.000.000 </t>
  </si>
  <si>
    <t xml:space="preserve">Up to 10.000.001-100.000.000 </t>
  </si>
  <si>
    <t>Above 100.000.001</t>
  </si>
  <si>
    <t>To give</t>
  </si>
  <si>
    <t xml:space="preserve">To exchange </t>
  </si>
  <si>
    <t xml:space="preserve">Each parties of the Contract without depending on property cost, size and purpose </t>
  </si>
  <si>
    <t xml:space="preserve">To inherit </t>
  </si>
  <si>
    <t xml:space="preserve">Not depending on property cost, size and purpose </t>
  </si>
  <si>
    <t xml:space="preserve">By court decision </t>
  </si>
  <si>
    <t>Not depending on property cost, size and purpose</t>
  </si>
  <si>
    <t xml:space="preserve">By Owner’s request </t>
  </si>
  <si>
    <t xml:space="preserve">Sold at auction </t>
  </si>
  <si>
    <t>days</t>
  </si>
  <si>
    <t>(Proposal Table 2, a/o Dec 31, 2005), p. 110</t>
  </si>
  <si>
    <t>Table 3 (Proposal pp. 110-111)</t>
  </si>
  <si>
    <t>Proposal (12/29/06), 111</t>
  </si>
  <si>
    <t>Typical processing time at State Registry</t>
  </si>
  <si>
    <t xml:space="preserve">Number of citizen requested for land privatization  </t>
  </si>
  <si>
    <t>Number of households got land privatization right</t>
  </si>
  <si>
    <t>Total land privatization request and permission in regional centers</t>
  </si>
  <si>
    <t>Number of citizen who has hasha plots in regional centers</t>
  </si>
  <si>
    <t>Number of citizens applied  in new area for land privatization</t>
  </si>
  <si>
    <t>Number of citizens obtained land privatization right in new area</t>
  </si>
  <si>
    <t>Number of citizen who has hasha plots in new area in regional centers</t>
  </si>
  <si>
    <t>UB district</t>
  </si>
  <si>
    <t>Bayangol</t>
  </si>
  <si>
    <t>Bayanzurh</t>
  </si>
  <si>
    <t>Sukhbaatar</t>
  </si>
  <si>
    <t>Songinohairhan</t>
  </si>
  <si>
    <t>Khan-Uul</t>
  </si>
  <si>
    <t>Chingeltei</t>
  </si>
  <si>
    <t>Baganuur</t>
  </si>
  <si>
    <t>Bagakhangai</t>
  </si>
  <si>
    <t>Nalaih</t>
  </si>
  <si>
    <t>Number of citizen requested for land privatization application</t>
  </si>
  <si>
    <t>Total land privatization request and permission in UB</t>
  </si>
  <si>
    <t>Number of citizen who has hasha plots in UB</t>
  </si>
  <si>
    <t>Number of citizen who has hasha plots in new area in UB</t>
  </si>
  <si>
    <t>Number of hashaas in UB that cannot obtain privatization permits (due to conflict with infrastructure ROWs, etc.)</t>
  </si>
  <si>
    <t>Proposal (12/29/06), 117</t>
  </si>
  <si>
    <t>Number of hashaas in Mongolia privatized to date</t>
  </si>
  <si>
    <t>Proposal (12/29/06), 113</t>
  </si>
  <si>
    <t>$</t>
  </si>
  <si>
    <t>Proposal (12/29/06), 114</t>
  </si>
  <si>
    <t>Cost of cadastral measurement and cartography per hashaa in UB</t>
  </si>
  <si>
    <t>Increase in hashaa price due to registration</t>
  </si>
  <si>
    <t>Proposal (12/29/06), 131</t>
  </si>
  <si>
    <t>Kharkhorin</t>
  </si>
  <si>
    <t>Undurkhaan</t>
  </si>
  <si>
    <t>Number of HH in Darkhan with privatized land that have taken out loans</t>
  </si>
  <si>
    <t>Total number of weeks for privatization and registration process in Darkhan</t>
  </si>
  <si>
    <t>Percent of hasha plots in Darkhan that have been privatized</t>
  </si>
  <si>
    <t>Minimum title-based loan in Darkhan</t>
  </si>
  <si>
    <t>Number of registered properties in Darkhan</t>
  </si>
  <si>
    <t>Fraction of privatized HH in ger area near Darkhan</t>
  </si>
  <si>
    <t>Fraction of CHF loans for business purposes</t>
  </si>
  <si>
    <t>Fraction of CHF loans for consumer purposes</t>
  </si>
  <si>
    <t>Fraction of CHF loans for housing purchase</t>
  </si>
  <si>
    <t>Khas Bank gives loans up to this amount for empty hashaa plots</t>
  </si>
  <si>
    <t>Khas, Khan Bank annual interest rate</t>
  </si>
  <si>
    <t>%</t>
  </si>
  <si>
    <t>Current cost of property registration</t>
  </si>
  <si>
    <t>Copy of ADB project documents for MON-1847</t>
  </si>
  <si>
    <r>
      <t>2005 average house price per m</t>
    </r>
    <r>
      <rPr>
        <vertAlign val="superscript"/>
        <sz val="10"/>
        <rFont val="Arial"/>
        <family val="2"/>
      </rPr>
      <t>2</t>
    </r>
    <r>
      <rPr>
        <sz val="10"/>
        <rFont val="Arial"/>
        <family val="2"/>
      </rPr>
      <t xml:space="preserve">, UB ger areas survey </t>
    </r>
  </si>
  <si>
    <t xml:space="preserve">2005 average house size, UB ger areas survey </t>
  </si>
  <si>
    <r>
      <t>2005 average plot price per m</t>
    </r>
    <r>
      <rPr>
        <vertAlign val="superscript"/>
        <sz val="10"/>
        <rFont val="Arial"/>
        <family val="2"/>
      </rPr>
      <t>2</t>
    </r>
    <r>
      <rPr>
        <sz val="10"/>
        <rFont val="Arial"/>
        <family val="2"/>
      </rPr>
      <t xml:space="preserve">, UB ger areas survey </t>
    </r>
  </si>
  <si>
    <t xml:space="preserve">2005 average plot size, UB ger areas survey </t>
  </si>
  <si>
    <r>
      <t>2005 average house price</t>
    </r>
    <r>
      <rPr>
        <sz val="10"/>
        <rFont val="Arial"/>
        <family val="2"/>
      </rPr>
      <t xml:space="preserve">, UB ger areas survey </t>
    </r>
  </si>
  <si>
    <r>
      <t>2005 average plot price</t>
    </r>
    <r>
      <rPr>
        <sz val="10"/>
        <rFont val="Arial"/>
        <family val="2"/>
      </rPr>
      <t xml:space="preserve">, UB ger areas survey </t>
    </r>
  </si>
  <si>
    <t>Downtown</t>
  </si>
  <si>
    <t>Empty hashaa</t>
  </si>
  <si>
    <t>Ger</t>
  </si>
  <si>
    <t>Cumulative number of hashaas privatized</t>
  </si>
  <si>
    <r>
      <t xml:space="preserve">Fraction of privatized hashaas in Mongolia currently </t>
    </r>
    <r>
      <rPr>
        <i/>
        <sz val="10"/>
        <rFont val="Arial"/>
        <family val="2"/>
      </rPr>
      <t>registered</t>
    </r>
  </si>
  <si>
    <r>
      <t xml:space="preserve">Fraction of privatized hashaas in Mongolia </t>
    </r>
    <r>
      <rPr>
        <sz val="10"/>
        <rFont val="Arial"/>
        <family val="2"/>
      </rPr>
      <t>registered by end of project</t>
    </r>
  </si>
  <si>
    <t>Cumulative number of hashaas registered</t>
  </si>
  <si>
    <t>$US</t>
  </si>
  <si>
    <t>Units</t>
  </si>
  <si>
    <t>Housing improvement loans by NBFIs in Darkhan &amp; Zuunmod, 2004</t>
  </si>
  <si>
    <t>JFPR handout, Prop Rts folder</t>
  </si>
  <si>
    <t>Average size of housing improvement loans by NBFIs in Darkhan &amp; Zuunmod, 2004</t>
  </si>
  <si>
    <t>Housing improvement loans by NBFIs in UB, 2004</t>
  </si>
  <si>
    <t>Average size of housing improvement loans by NBFIs in UB, 2004</t>
  </si>
  <si>
    <t>Current cost of property privatization</t>
  </si>
  <si>
    <t>CHF "Ger initiative" docs</t>
  </si>
  <si>
    <t>Total time to privatize</t>
  </si>
  <si>
    <t>Tugrik/$</t>
  </si>
  <si>
    <t>Number of hashaas registered</t>
  </si>
  <si>
    <t>Rental price as fraction of sales price</t>
  </si>
  <si>
    <t xml:space="preserve">Fixed </t>
  </si>
  <si>
    <t>quantities</t>
  </si>
  <si>
    <t>Ulaanbataar</t>
  </si>
  <si>
    <t>Assumption</t>
  </si>
  <si>
    <t>Total number of hashaas in UB and 8 pillar center cities</t>
  </si>
  <si>
    <t>Average number of households per hashaa</t>
  </si>
  <si>
    <t>Average number of hectares per household</t>
  </si>
  <si>
    <t>Average number of hectares per hashaa</t>
  </si>
  <si>
    <t>Annex 1.2 - Basic data</t>
  </si>
  <si>
    <t>Costs ($US)</t>
  </si>
  <si>
    <t>Number of househols got land privatization right</t>
  </si>
  <si>
    <t>Number of hashaas privatized by year</t>
  </si>
  <si>
    <t>Inflation rate 2005</t>
  </si>
  <si>
    <t>Inflation rate 2006</t>
  </si>
  <si>
    <t>WDI</t>
  </si>
  <si>
    <t>Average (annual) real rental price of registered land</t>
  </si>
  <si>
    <t># of privatizations</t>
  </si>
  <si>
    <t>Cumulative numbers of registered hashas by city</t>
  </si>
  <si>
    <t>IMF SISA, Jan 2007, Table 32, p. 78</t>
  </si>
  <si>
    <t>Growth rate in value of credit extended to private real estate sector, 2001-2006 (mid-year)</t>
  </si>
  <si>
    <t>Year</t>
  </si>
  <si>
    <t>Total credit to non-government sector</t>
  </si>
  <si>
    <t>2006 
(Jan-Jun)</t>
  </si>
  <si>
    <t xml:space="preserve">   Value of credit 
   extended to private 
   real estate sector</t>
  </si>
  <si>
    <t xml:space="preserve">   Of this, fraction to 
   real estate sector</t>
  </si>
  <si>
    <t>--</t>
  </si>
  <si>
    <t>CAGR,
2001-2006 (first half)</t>
  </si>
  <si>
    <t>Estimated value of credit extended to individuals in real estate sector</t>
  </si>
  <si>
    <t>CAGR,
2003-2006 (first half)</t>
  </si>
  <si>
    <t>(Source: IMF SISA, Jan 2007, Table 32, p. 78)</t>
  </si>
  <si>
    <t>Fraction of total nongovernment credit given to individuals</t>
  </si>
  <si>
    <t>Depreciation rate for houses to convert house values to imputed rents</t>
  </si>
  <si>
    <t>Depreciation rate for gers to convert ger values to imputed rents</t>
  </si>
  <si>
    <t>Xac Bank average loan size, small business</t>
  </si>
  <si>
    <t>Xac Bank average loan size, consumption loan</t>
  </si>
  <si>
    <t>Savings per loan in processing cost that National Land Information System will save</t>
  </si>
  <si>
    <t>Lending rate (Khaan Bank), ger residents</t>
  </si>
  <si>
    <t>Leonard Rolfes, Notes from Loan Officer Meetings, March 28, 2007</t>
  </si>
  <si>
    <t>Lending rate (Xac Bank), apt. mortgages</t>
  </si>
  <si>
    <t>Lending rate (Xac Bank), consumption loans</t>
  </si>
  <si>
    <t>Lending rate (Xac Bank), ger residents</t>
  </si>
  <si>
    <t>Xac Bank estimated current number of ger area clients in Mongolia</t>
  </si>
  <si>
    <t>Khaan Bank estimated current number of ger area clients in Mongolia</t>
  </si>
  <si>
    <t>Rate of privatization for unprivatized households in UB, 2005</t>
  </si>
  <si>
    <t>CAGR of value of credit extended to individuals in real estate sector, 2003-2006 (mid-year)</t>
  </si>
  <si>
    <t>Average degree of leverage (= loan principal as fraction of total investment) for ger residents' borrowing</t>
  </si>
  <si>
    <t>Aggregate imputed property/housing rental flows for registered hashas by city</t>
  </si>
  <si>
    <t>Aggregate property/housing values for registered hashas by city</t>
  </si>
  <si>
    <t>y</t>
  </si>
  <si>
    <t>Average term of loans to ger residents</t>
  </si>
  <si>
    <t>Fraction of Khaan Bank borrowers using immovable property to secure their loans</t>
  </si>
  <si>
    <t>Maximum loan value as a fraction of property value</t>
  </si>
  <si>
    <t>Average loan value as a fraction of maximum loan value (above), e.g., 75% of 60% implies average loan value = 45% of property value</t>
  </si>
  <si>
    <t>Fraction of currently registered hasha plots who have outstanding bank credit</t>
  </si>
  <si>
    <t>Fraction of currently registered hasha plots who have obtained bank credit (2006) (assume equal to # of loans outstanding)</t>
  </si>
  <si>
    <t>Y1</t>
  </si>
  <si>
    <t>Y2</t>
  </si>
  <si>
    <t>Y3</t>
  </si>
  <si>
    <t>Y4</t>
  </si>
  <si>
    <t>Ulaanbataar total, Y1-Y4</t>
  </si>
  <si>
    <t>Darkhan total, Y1-Y4</t>
  </si>
  <si>
    <t>Erdenet total, Y1-Y4</t>
  </si>
  <si>
    <t>Khovd total, Y1-Y4</t>
  </si>
  <si>
    <t>Choibalsan total, Y1-Y4</t>
  </si>
  <si>
    <t>Uliastai total, Y1-Y4</t>
  </si>
  <si>
    <t>Kharkhorin total, Y1-Y4</t>
  </si>
  <si>
    <t>Zuunmod total, Y1-Y4</t>
  </si>
  <si>
    <t>Undurkhaan total, Y1-Y4</t>
  </si>
  <si>
    <t>Average loan default rate</t>
  </si>
  <si>
    <t>Outstanding loan amounts by city</t>
  </si>
  <si>
    <t>Improved</t>
  </si>
  <si>
    <t>Unimproved</t>
  </si>
  <si>
    <t>Upper bound on lending to individuals for real estate</t>
  </si>
  <si>
    <t>Inflation rate 2004</t>
  </si>
  <si>
    <t>Inflation rate 2003 (CPI)</t>
  </si>
  <si>
    <r>
      <t>Average size of hashaas in UB, m</t>
    </r>
    <r>
      <rPr>
        <vertAlign val="superscript"/>
        <sz val="10"/>
        <rFont val="Arial"/>
        <family val="2"/>
      </rPr>
      <t>2</t>
    </r>
  </si>
  <si>
    <t>Average prices of hashaas in UB, nominal $</t>
  </si>
  <si>
    <t>Average prices of hashaas in UB, real 2006 $</t>
  </si>
  <si>
    <r>
      <t>Average price/m</t>
    </r>
    <r>
      <rPr>
        <vertAlign val="superscript"/>
        <sz val="10"/>
        <rFont val="Arial"/>
        <family val="2"/>
      </rPr>
      <t>2</t>
    </r>
    <r>
      <rPr>
        <sz val="10"/>
        <rFont val="Arial"/>
        <family val="0"/>
      </rPr>
      <t xml:space="preserve"> of hashaas in UB, nominal $/m</t>
    </r>
    <r>
      <rPr>
        <vertAlign val="superscript"/>
        <sz val="10"/>
        <rFont val="Arial"/>
        <family val="2"/>
      </rPr>
      <t>2</t>
    </r>
  </si>
  <si>
    <r>
      <t>Average price/m</t>
    </r>
    <r>
      <rPr>
        <vertAlign val="superscript"/>
        <sz val="10"/>
        <rFont val="Arial"/>
        <family val="2"/>
      </rPr>
      <t>2</t>
    </r>
    <r>
      <rPr>
        <sz val="10"/>
        <rFont val="Arial"/>
        <family val="0"/>
      </rPr>
      <t xml:space="preserve"> of hashaas in UB, real 2006$/m</t>
    </r>
    <r>
      <rPr>
        <vertAlign val="superscript"/>
        <sz val="10"/>
        <rFont val="Arial"/>
        <family val="2"/>
      </rPr>
      <t>2</t>
    </r>
  </si>
  <si>
    <t>Conversion factor 2003--&gt;2006</t>
  </si>
  <si>
    <t>Conversion factor 2004--&gt;2006</t>
  </si>
  <si>
    <t>Conversion factor 2005--&gt;2006</t>
  </si>
  <si>
    <t>Property values (See also table at AZ 187)</t>
  </si>
  <si>
    <t>AAGR,</t>
  </si>
  <si>
    <t>2003-05</t>
  </si>
  <si>
    <t>Computed from CHF 2005 survey</t>
  </si>
  <si>
    <t>Assumption, based on above</t>
  </si>
  <si>
    <t>Note</t>
  </si>
  <si>
    <t>As of June 2006, real estate loans comprised 2.5% (see calculation for "Upper bound on lending to individuals for real estate" above) of total bank credit, so it is safe to assume that interest rates are approximately invariant to lending volume over the course of project.</t>
  </si>
  <si>
    <t>Assume that above loan amounts are matched by own funds at the following levels</t>
  </si>
  <si>
    <t>Intermediated investment</t>
  </si>
  <si>
    <t>Borrowed funds invested</t>
  </si>
  <si>
    <t>Own funds invested</t>
  </si>
  <si>
    <t>Total funds invested due to financial intermediation</t>
  </si>
  <si>
    <t>Ratio of own capital to loan capital in intermediated investment</t>
  </si>
  <si>
    <t>Total (= Intermediated + Unintermediated)</t>
  </si>
  <si>
    <t>Investment impacts of titling from the literature</t>
  </si>
  <si>
    <t>Net increase in investment in Paraguay study</t>
  </si>
  <si>
    <t>Increase in amount of investment for titled as a percentage of untitled farmers in Thailand</t>
  </si>
  <si>
    <t>Increase in amount of investment for titled as a percentage of untitled farmers in Honduras</t>
  </si>
  <si>
    <t>Increase in propensity of investment under "full registration" in Nicaragua study</t>
  </si>
  <si>
    <t>Increase in probability of investment under "rights without approval" in Ghana study--Wassa region</t>
  </si>
  <si>
    <t>Increase in probability of investment with title acquisition in Peru</t>
  </si>
  <si>
    <t>Investment assumptions</t>
  </si>
  <si>
    <t>Increase in probability of investment under "rights with/without approval" in Ghana study--Anloga region</t>
  </si>
  <si>
    <t>Fraction of population who save</t>
  </si>
  <si>
    <t>HIES-LSMS 2003, p. 31</t>
  </si>
  <si>
    <t>Fraction of population who invest</t>
  </si>
  <si>
    <t>Gross domestic savings as % of GDP, 2004</t>
  </si>
  <si>
    <t>Assumed equal to above</t>
  </si>
  <si>
    <t>Mongolia at a glance (WB), using 2005 GDP, pop'n figures</t>
  </si>
  <si>
    <t>Real GDP growth rate, 2006</t>
  </si>
  <si>
    <t>Computed</t>
  </si>
  <si>
    <t>Increase in probability of investment with title in Madagascar</t>
  </si>
  <si>
    <t>Fraction of savings invested</t>
  </si>
  <si>
    <t>Mean of increase of probability of investment from above studies</t>
  </si>
  <si>
    <t>Fraction of total hashaas in Mongolia registered</t>
  </si>
  <si>
    <t>Household size</t>
  </si>
  <si>
    <t>HIES-LSMS 2003, p. 17</t>
  </si>
  <si>
    <t>Average annual savings (all sources) per capita</t>
  </si>
  <si>
    <t>Average annual savings (HH only) per capita</t>
  </si>
  <si>
    <t>HH savings as a fraction of total savings</t>
  </si>
  <si>
    <t>Average annual savings (all sources) per capita, 2006</t>
  </si>
  <si>
    <t>Average annual savings (HH only) per capita, 2006</t>
  </si>
  <si>
    <t>Average annual investment per titled hashaa, 2006</t>
  </si>
  <si>
    <t>Average annual rate of growth in gross domestic savings as % of GDP, 1999-2004</t>
  </si>
  <si>
    <t>General economic data</t>
  </si>
  <si>
    <t>Real GDP growth</t>
  </si>
  <si>
    <t>Cap on gross domestic savings as % of GDP</t>
  </si>
  <si>
    <t>Gross domestic savings as % of GDP</t>
  </si>
  <si>
    <t>Rate of population growth</t>
  </si>
  <si>
    <t>Real GDP per capita growth</t>
  </si>
  <si>
    <t>Population growth rate, 2006</t>
  </si>
  <si>
    <t>Real GDP per capita</t>
  </si>
  <si>
    <t>$2006 per person</t>
  </si>
  <si>
    <t>Population, 2006 (mid-year)</t>
  </si>
  <si>
    <t>IMF SISA (Jan 2007), p. 47, Table 1 - Mongolia: Basic Data</t>
  </si>
  <si>
    <t>Macroeconomy, Population</t>
  </si>
  <si>
    <t>Unintermediated (own funds; for all cities)</t>
  </si>
  <si>
    <t>Mean of increase of amount of investment due to titling from above studies</t>
  </si>
  <si>
    <t>Average annual investment per capita (unregistered)</t>
  </si>
  <si>
    <t>Average annual investment per hashaa (unregistered)</t>
  </si>
  <si>
    <t>Average annual investment per capita (unregistered), 2006</t>
  </si>
  <si>
    <t>Average annual investment per hashaa (unregistered), 2006</t>
  </si>
  <si>
    <t>Average annual investment per hashaa (registered)</t>
  </si>
  <si>
    <r>
      <t xml:space="preserve">Percent hashaas </t>
    </r>
    <r>
      <rPr>
        <u val="single"/>
        <sz val="10"/>
        <rFont val="Arial"/>
        <family val="2"/>
      </rPr>
      <t>unregistered</t>
    </r>
    <r>
      <rPr>
        <sz val="10"/>
        <rFont val="Arial"/>
        <family val="2"/>
      </rPr>
      <t xml:space="preserve"> </t>
    </r>
    <r>
      <rPr>
        <sz val="10"/>
        <rFont val="Arial"/>
        <family val="0"/>
      </rPr>
      <t>in UB and 8 pillar center cities</t>
    </r>
  </si>
  <si>
    <r>
      <t xml:space="preserve">Percent hashaas </t>
    </r>
    <r>
      <rPr>
        <u val="single"/>
        <sz val="10"/>
        <rFont val="Arial"/>
        <family val="2"/>
      </rPr>
      <t>registered</t>
    </r>
    <r>
      <rPr>
        <sz val="10"/>
        <rFont val="Arial"/>
        <family val="2"/>
      </rPr>
      <t xml:space="preserve"> </t>
    </r>
    <r>
      <rPr>
        <sz val="10"/>
        <rFont val="Arial"/>
        <family val="0"/>
      </rPr>
      <t>in UB and 8 pillar center cities</t>
    </r>
  </si>
  <si>
    <t>Fraction of above increase expected to apply in Mongolia</t>
  </si>
  <si>
    <t>Mean of increase of amount of investment due to property registration in Mongolia</t>
  </si>
  <si>
    <t>Key assumption</t>
  </si>
  <si>
    <t>Average annual investment per hashaa (wtd avg of unregistered &amp; registered)</t>
  </si>
  <si>
    <t xml:space="preserve">Average annual investment </t>
  </si>
  <si>
    <t>TOTAL</t>
  </si>
  <si>
    <t>By city:</t>
  </si>
  <si>
    <t>Business purpose loans</t>
  </si>
  <si>
    <t>Returns</t>
  </si>
  <si>
    <t>Consumer purpose loans</t>
  </si>
  <si>
    <t>Housing loans</t>
  </si>
  <si>
    <t>Average interest rate for ger residents' business loans</t>
  </si>
  <si>
    <t>See data above</t>
  </si>
  <si>
    <t>Assumed equal to NPL/total gross loans, 2006</t>
  </si>
  <si>
    <t>Default rate (% of volume of lending)</t>
  </si>
  <si>
    <t>Average rate of return premium above lending rate for microenterprise investments not in default</t>
  </si>
  <si>
    <t>Average rate of return for microenterprise investments in default</t>
  </si>
  <si>
    <t>Average returns (accounting for defaults)</t>
  </si>
  <si>
    <t>Average real rates of return on investment</t>
  </si>
  <si>
    <t>Fraction of local VA in turnover</t>
  </si>
  <si>
    <t>Turnover = Consumer spending = Loan principal</t>
  </si>
  <si>
    <t>Payoff related to value added: Assume</t>
  </si>
  <si>
    <t>Hashaa with winter house</t>
  </si>
  <si>
    <t>Empty hashaa + Ger</t>
  </si>
  <si>
    <t>Cashflow worksheet</t>
  </si>
  <si>
    <t>Fraction of total investment for housing purchase</t>
  </si>
  <si>
    <t>Total housing investments by city</t>
  </si>
  <si>
    <t>Aggregate imputed housing rental flows for winter houses on hashas by city</t>
  </si>
  <si>
    <t>Nominal GDP (= Real GDP for 2006 base year)</t>
  </si>
  <si>
    <t>$/person</t>
  </si>
  <si>
    <t>Nominal GDP (=Real GDP) per capita, 2006</t>
  </si>
  <si>
    <t>Returns from business loans</t>
  </si>
  <si>
    <t>Returns from consumer loans</t>
  </si>
  <si>
    <t>Returns from housing loans</t>
  </si>
  <si>
    <t>Returns on investments</t>
  </si>
  <si>
    <t>Benefits ($US2006)</t>
  </si>
  <si>
    <r>
      <t>$/m</t>
    </r>
    <r>
      <rPr>
        <i/>
        <vertAlign val="superscript"/>
        <sz val="10"/>
        <rFont val="Arial"/>
        <family val="2"/>
      </rPr>
      <t>2</t>
    </r>
  </si>
  <si>
    <r>
      <t>m</t>
    </r>
    <r>
      <rPr>
        <i/>
        <vertAlign val="superscript"/>
        <sz val="10"/>
        <rFont val="Arial"/>
        <family val="2"/>
      </rPr>
      <t>2</t>
    </r>
  </si>
  <si>
    <t>Savings in processing costs per loan due to NLIS investment</t>
  </si>
  <si>
    <t>Distribution</t>
  </si>
  <si>
    <t>Key:</t>
  </si>
  <si>
    <r>
      <t xml:space="preserve">Bold italic </t>
    </r>
    <r>
      <rPr>
        <sz val="10"/>
        <rFont val="Arial"/>
        <family val="0"/>
      </rPr>
      <t>figures directly enter the ERR net benefit stream</t>
    </r>
  </si>
  <si>
    <r>
      <t>Bold</t>
    </r>
    <r>
      <rPr>
        <sz val="10"/>
        <rFont val="Arial"/>
        <family val="0"/>
      </rPr>
      <t xml:space="preserve"> denotes totals</t>
    </r>
  </si>
  <si>
    <t>Without project scenario</t>
  </si>
  <si>
    <t>With project scenario</t>
  </si>
  <si>
    <t>Assumed national privatization rate for unprivatized households, WITH PROJECT (2005-)</t>
  </si>
  <si>
    <t>Assumption based on above row (rate of privatization)</t>
  </si>
  <si>
    <t>Assumption based on 2 rows above (rate of privatization)</t>
  </si>
  <si>
    <t>Average annual real price increase for improved hashaa in UB, WITH PROJECT</t>
  </si>
  <si>
    <t>Average annual real price increase for improved hashaa in other cities, WITH PROJECT</t>
  </si>
  <si>
    <t>Assumed national privatization rate for unprivatized households, WITHOUT PROJECT (2005-) as a fraction of with-project rate (above)</t>
  </si>
  <si>
    <t>Assumption (linked to outlined cell at top left)</t>
  </si>
  <si>
    <t>Currently registered hasha plots who have obtained bank credit (2006) WITHOUT PROJECT as a fraction of those who have done so with project</t>
  </si>
  <si>
    <t>Growth in above fraction from 2007, WITH PROJECT</t>
  </si>
  <si>
    <t>TOTAL GROSS BENEFITS ($US2006)</t>
  </si>
  <si>
    <t>TOTAL NET BENEFITS ($US2006) - all cities, with project beginning 2007</t>
  </si>
  <si>
    <t>Average annual real price increase for unimproved hashaa in other cities, 2005 WITH PROJECT</t>
  </si>
  <si>
    <t>Average annual real price increase for unimproved hashaa in UB, 2005 WITH PROJECT</t>
  </si>
  <si>
    <t>Average annual real price increase (beginning in 2007) for unimproved hashaa in UB, WITHOUT PROJECT as a fraction of with-project rate of price increase</t>
  </si>
  <si>
    <t>Average annual real price increase (beginning in 2007) for improved hashaa in UB, WITHOUT PROJECT, as a fraction of with-project rate of price increase</t>
  </si>
  <si>
    <t>Average annual real price increase (beginning in 2007) for unimproved hashaa in other cities, WITHOUT PROJECT, as a fraction of with-project rate of price increase</t>
  </si>
  <si>
    <t>Average annual real price increase (beginning in 2007) for improved hashaa in other cities, WITHOUT PROJECT, as a fraction of with-project rate of price increase</t>
  </si>
  <si>
    <t>Year-on-year decay rate of real price increases for hashaas, WITH &amp; WITHOUT PROJECT</t>
  </si>
  <si>
    <r>
      <t xml:space="preserve">Percentage increase in registration rate for privatized hashaas, beginning 2009 (based on above </t>
    </r>
    <r>
      <rPr>
        <i/>
        <sz val="10"/>
        <rFont val="Arial"/>
        <family val="2"/>
      </rPr>
      <t xml:space="preserve">average </t>
    </r>
    <r>
      <rPr>
        <sz val="10"/>
        <rFont val="Arial"/>
        <family val="0"/>
      </rPr>
      <t>rate for fraction of privatized hashaas currently registered)</t>
    </r>
  </si>
  <si>
    <t>Incremental (WP-WOP) benefits &amp; costs</t>
  </si>
  <si>
    <t>ERR =</t>
  </si>
  <si>
    <t>ERR</t>
  </si>
  <si>
    <t>General notes</t>
  </si>
  <si>
    <t>Keep in mind the average numbers of HH/hashaa (under "General property statistics" above).  The analysis here is in terms of hashaas, so to compute impacts per HH, we need to divide by this figure.</t>
  </si>
  <si>
    <t>Price of ger + hashaa (i.e., "unimproved hashaa"), by city</t>
  </si>
  <si>
    <t>For Registry Upgrade, Khashaa Reg. project alone</t>
  </si>
  <si>
    <t>Summary: Total number of HH access new credit in given year</t>
  </si>
  <si>
    <t>Project costs, incl. project admin.</t>
  </si>
  <si>
    <t># Hashaas registered, Compact Y1</t>
  </si>
  <si>
    <t># Hashaas registered, Compact Y2</t>
  </si>
  <si>
    <t># Hashaas registered, Compact Y3</t>
  </si>
  <si>
    <t># Hashaas registered, Compact Y4</t>
  </si>
  <si>
    <t># Hashaas registered, Compact Y5</t>
  </si>
  <si>
    <t xml:space="preserve">Sum = </t>
  </si>
  <si>
    <t>Value of an average improvement</t>
  </si>
  <si>
    <t>Assumption - use this as minimum gap btw. improved/unimproved value</t>
  </si>
  <si>
    <t>CHF 2005 survey appears to be an anomaly - use unimproved price increase</t>
  </si>
  <si>
    <t>HIES-LSMS 2002-03, p. 71 (App. B) (made more conservative)</t>
  </si>
  <si>
    <t>Compact year</t>
  </si>
  <si>
    <t>0 (CIF)</t>
  </si>
  <si>
    <t>Program admin + M&amp;E</t>
  </si>
  <si>
    <t>(2007 here = calendar year 2008 (CIF year))</t>
  </si>
  <si>
    <t>Incremental benefits net of all but MCC costs</t>
  </si>
  <si>
    <t>ERR and sensitivity analysis</t>
  </si>
  <si>
    <t>Description of key parameters</t>
  </si>
  <si>
    <t>Parameter values</t>
  </si>
  <si>
    <t xml:space="preserve">Values used in ERR computation </t>
  </si>
  <si>
    <t xml:space="preserve">Economic rate of return (ERR): </t>
  </si>
  <si>
    <t>Data &amp; Assumptions</t>
  </si>
  <si>
    <t>Internal documents, "M&amp;E of Activities: Property Rights indicators"</t>
  </si>
  <si>
    <t>12/06 Meeting Notes, 20</t>
  </si>
  <si>
    <t>12/06 Meeting Notes, 22</t>
  </si>
  <si>
    <t>12/06 Meeting Notes, 23</t>
  </si>
  <si>
    <t>12/06 Meeting Notes, 25</t>
  </si>
  <si>
    <t>Internal communication 3/22/07</t>
  </si>
  <si>
    <t>12/06 Meeting Notes, 12</t>
  </si>
  <si>
    <t>12/06 Meeting Notes, 26</t>
  </si>
  <si>
    <t>12/06 Meeting Notes, 27</t>
  </si>
  <si>
    <t>Contractor analysis</t>
  </si>
  <si>
    <t>Increase in value of investment due to property registration</t>
  </si>
  <si>
    <t>0 - 118%</t>
  </si>
  <si>
    <t>The worksheet offers detailed data tables from external or partner sources that were used as part of the ERR calculations</t>
  </si>
  <si>
    <t>0.1 - 18.6%</t>
  </si>
  <si>
    <t>0 - 6%</t>
  </si>
  <si>
    <t>0 - 14%</t>
  </si>
  <si>
    <t>Number of Hashaas registered annually (in Year 2 and later)</t>
  </si>
  <si>
    <t>15,000 - 21,000</t>
  </si>
  <si>
    <t>Mongolia: Property Registration</t>
  </si>
  <si>
    <t>Project name</t>
  </si>
  <si>
    <t>Property Rights – Registry</t>
  </si>
  <si>
    <t>Amount of MCC funds</t>
  </si>
  <si>
    <t>$16.7 million</t>
  </si>
  <si>
    <t>Estimated ERR and time horizon</t>
  </si>
  <si>
    <t>38% over 20 years</t>
  </si>
  <si>
    <t>Benefit streams included in ERR</t>
  </si>
  <si>
    <t>Costs included in ERR (other than costs borne by MCC)</t>
  </si>
  <si>
    <t>Project description</t>
  </si>
  <si>
    <t>Plausible Range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</si>
</sst>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 #,##0.0_);_(* \(#,##0.0\);_(* &quot;-&quot;??_);_(@_)"/>
    <numFmt numFmtId="171" formatCode="_(* #,##0_);_(* \(#,##0\);_(* &quot;-&quot;??_);_(@_)"/>
    <numFmt numFmtId="172" formatCode="0.000"/>
    <numFmt numFmtId="173" formatCode="0.0000"/>
    <numFmt numFmtId="174" formatCode="_(* #,##0.0_);_(* \(#,##0.0\);_(* &quot;-&quot;?_);_(@_)"/>
    <numFmt numFmtId="175" formatCode="_(&quot;$&quot;* #,##0.0_);_(&quot;$&quot;* \(#,##0.0\);_(&quot;$&quot;* &quot;-&quot;??_);_(@_)"/>
    <numFmt numFmtId="176" formatCode="_(&quot;$&quot;* #,##0_);_(&quot;$&quot;* \(#,##0\);_(&quot;$&quot;* &quot;-&quot;??_);_(@_)"/>
    <numFmt numFmtId="177" formatCode="#,##0.0_);\(#,##0.0\)"/>
    <numFmt numFmtId="178" formatCode="0.00000"/>
    <numFmt numFmtId="179" formatCode="0.000000"/>
    <numFmt numFmtId="180" formatCode="0.0E+00"/>
    <numFmt numFmtId="181" formatCode="0.0000000"/>
    <numFmt numFmtId="182" formatCode="_(* #,##0.000_);_(* \(#,##0.000\);_(* &quot;-&quot;??_);_(@_)"/>
    <numFmt numFmtId="183" formatCode="0.000%"/>
    <numFmt numFmtId="184" formatCode="0.0000%"/>
    <numFmt numFmtId="185" formatCode="0.00000%"/>
    <numFmt numFmtId="186" formatCode="0.000000%"/>
    <numFmt numFmtId="187" formatCode="0.0000000%"/>
    <numFmt numFmtId="188" formatCode="_ * #,##0_ ;_ * \-#,##0_ ;_ * &quot;-&quot;??_ ;_ @_ "/>
    <numFmt numFmtId="189" formatCode="#,##0.0000000000"/>
    <numFmt numFmtId="190" formatCode="0.00,,"/>
    <numFmt numFmtId="191" formatCode="#,##0.0"/>
    <numFmt numFmtId="192" formatCode="#,##0.000"/>
    <numFmt numFmtId="193" formatCode="0.0,,"/>
  </numFmts>
  <fonts count="39">
    <font>
      <sz val="10"/>
      <name val="Arial"/>
      <family val="0"/>
    </font>
    <font>
      <b/>
      <sz val="10"/>
      <name val="Arial"/>
      <family val="2"/>
    </font>
    <font>
      <sz val="8"/>
      <name val="Arial"/>
      <family val="0"/>
    </font>
    <font>
      <b/>
      <sz val="12"/>
      <name val="Arial"/>
      <family val="2"/>
    </font>
    <font>
      <sz val="8"/>
      <name val="Tahoma"/>
      <family val="0"/>
    </font>
    <font>
      <b/>
      <sz val="8"/>
      <name val="Tahoma"/>
      <family val="0"/>
    </font>
    <font>
      <i/>
      <sz val="10"/>
      <name val="Arial"/>
      <family val="2"/>
    </font>
    <font>
      <sz val="10"/>
      <name val="Times New Roman"/>
      <family val="1"/>
    </font>
    <font>
      <sz val="12"/>
      <name val="Times New Roman"/>
      <family val="1"/>
    </font>
    <font>
      <b/>
      <sz val="12"/>
      <name val="Times New Roman"/>
      <family val="1"/>
    </font>
    <font>
      <u val="single"/>
      <sz val="10"/>
      <color indexed="12"/>
      <name val="Arial"/>
      <family val="0"/>
    </font>
    <font>
      <b/>
      <sz val="13"/>
      <name val="Times New Roman"/>
      <family val="1"/>
    </font>
    <font>
      <b/>
      <sz val="13"/>
      <color indexed="8"/>
      <name val="Times New Roman"/>
      <family val="1"/>
    </font>
    <font>
      <sz val="12"/>
      <color indexed="8"/>
      <name val="Times New Roman"/>
      <family val="1"/>
    </font>
    <font>
      <b/>
      <sz val="12"/>
      <color indexed="8"/>
      <name val="Times New Roman"/>
      <family val="1"/>
    </font>
    <font>
      <vertAlign val="superscript"/>
      <sz val="10"/>
      <name val="Arial"/>
      <family val="2"/>
    </font>
    <font>
      <i/>
      <sz val="8"/>
      <name val="Tahoma"/>
      <family val="2"/>
    </font>
    <font>
      <sz val="10"/>
      <color indexed="10"/>
      <name val="Arial"/>
      <family val="0"/>
    </font>
    <font>
      <u val="single"/>
      <sz val="10"/>
      <name val="Arial"/>
      <family val="2"/>
    </font>
    <font>
      <b/>
      <i/>
      <sz val="10"/>
      <name val="Arial"/>
      <family val="2"/>
    </font>
    <font>
      <i/>
      <vertAlign val="superscript"/>
      <sz val="10"/>
      <name val="Arial"/>
      <family val="2"/>
    </font>
    <font>
      <u val="single"/>
      <sz val="10"/>
      <color indexed="36"/>
      <name val="Arial"/>
      <family val="0"/>
    </font>
    <font>
      <b/>
      <sz val="10"/>
      <color indexed="23"/>
      <name val="Arial"/>
      <family val="2"/>
    </font>
    <font>
      <sz val="10"/>
      <color indexed="23"/>
      <name val="Arial"/>
      <family val="2"/>
    </font>
    <font>
      <sz val="14.75"/>
      <name val="Arial"/>
      <family val="0"/>
    </font>
    <font>
      <sz val="12"/>
      <name val="Arial"/>
      <family val="0"/>
    </font>
    <font>
      <b/>
      <sz val="14.75"/>
      <name val="Arial"/>
      <family val="2"/>
    </font>
    <font>
      <b/>
      <sz val="16"/>
      <name val="Arial"/>
      <family val="2"/>
    </font>
    <font>
      <sz val="14"/>
      <name val="Arial"/>
      <family val="2"/>
    </font>
    <font>
      <b/>
      <sz val="10"/>
      <color indexed="9"/>
      <name val="Arial"/>
      <family val="2"/>
    </font>
    <font>
      <b/>
      <sz val="10"/>
      <color indexed="12"/>
      <name val="Arial"/>
      <family val="2"/>
    </font>
    <font>
      <sz val="10"/>
      <color indexed="12"/>
      <name val="Arial"/>
      <family val="0"/>
    </font>
    <font>
      <sz val="9.25"/>
      <name val="Arial"/>
      <family val="0"/>
    </font>
    <font>
      <b/>
      <sz val="11.25"/>
      <name val="Arial"/>
      <family val="0"/>
    </font>
    <font>
      <sz val="8"/>
      <color indexed="17"/>
      <name val="Arial"/>
      <family val="2"/>
    </font>
    <font>
      <b/>
      <sz val="8"/>
      <name val="Arial"/>
      <family val="2"/>
    </font>
    <font>
      <b/>
      <sz val="10"/>
      <color indexed="55"/>
      <name val="Arial"/>
      <family val="2"/>
    </font>
    <font>
      <sz val="10"/>
      <color indexed="9"/>
      <name val="Arial"/>
      <family val="2"/>
    </font>
    <font>
      <b/>
      <sz val="8.75"/>
      <name val="Arial"/>
      <family val="2"/>
    </font>
  </fonts>
  <fills count="11">
    <fill>
      <patternFill/>
    </fill>
    <fill>
      <patternFill patternType="gray125"/>
    </fill>
    <fill>
      <patternFill patternType="solid">
        <fgColor indexed="27"/>
        <bgColor indexed="64"/>
      </patternFill>
    </fill>
    <fill>
      <patternFill patternType="lightGray">
        <fgColor indexed="8"/>
        <bgColor indexed="22"/>
      </patternFill>
    </fill>
    <fill>
      <patternFill patternType="gray125">
        <fgColor indexed="8"/>
        <bgColor indexed="22"/>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66">
    <border>
      <left/>
      <right/>
      <top/>
      <bottom/>
      <diagonal/>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color indexed="8"/>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double"/>
      <right style="thin"/>
      <top style="double"/>
      <bottom style="double"/>
    </border>
    <border>
      <left style="double"/>
      <right style="thin"/>
      <top>
        <color indexed="63"/>
      </top>
      <bottom style="thin"/>
    </border>
    <border>
      <left style="double"/>
      <right style="thin"/>
      <top style="thin"/>
      <bottom style="thin"/>
    </border>
    <border>
      <left style="double"/>
      <right style="thin"/>
      <top>
        <color indexed="63"/>
      </top>
      <bottom>
        <color indexed="63"/>
      </bottom>
    </border>
    <border>
      <left style="double"/>
      <right style="thin"/>
      <top style="thin"/>
      <bottom>
        <color indexed="63"/>
      </bottom>
    </border>
    <border>
      <left>
        <color indexed="63"/>
      </left>
      <right style="thin"/>
      <top style="thin"/>
      <bottom style="mediu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double"/>
      <top style="double"/>
      <bottom style="double"/>
    </border>
    <border>
      <left style="thin"/>
      <right style="double"/>
      <top>
        <color indexed="63"/>
      </top>
      <bottom>
        <color indexed="63"/>
      </bottom>
    </border>
    <border>
      <left style="thin"/>
      <right style="double"/>
      <top style="thin"/>
      <bottom style="thin"/>
    </border>
    <border>
      <left style="thin"/>
      <right style="double"/>
      <top>
        <color indexed="63"/>
      </top>
      <bottom style="thin"/>
    </border>
    <border>
      <left style="thin"/>
      <right style="double"/>
      <top style="thin"/>
      <bottom>
        <color indexed="63"/>
      </bottom>
    </border>
    <border>
      <left>
        <color indexed="63"/>
      </left>
      <right style="double"/>
      <top>
        <color indexed="63"/>
      </top>
      <bottom>
        <color indexed="63"/>
      </bottom>
    </border>
    <border>
      <left style="double"/>
      <right style="thin"/>
      <top>
        <color indexed="63"/>
      </top>
      <bottom style="double"/>
    </border>
    <border>
      <left>
        <color indexed="63"/>
      </left>
      <right style="double"/>
      <top>
        <color indexed="63"/>
      </top>
      <bottom style="double"/>
    </border>
    <border>
      <left style="medium"/>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98">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Alignment="1">
      <alignment horizontal="center"/>
    </xf>
    <xf numFmtId="0" fontId="6" fillId="0" borderId="0" xfId="0" applyFont="1" applyAlignment="1">
      <alignment/>
    </xf>
    <xf numFmtId="0" fontId="8" fillId="0" borderId="1" xfId="0" applyFont="1" applyBorder="1" applyAlignment="1">
      <alignment horizontal="justify" wrapText="1"/>
    </xf>
    <xf numFmtId="0" fontId="8" fillId="2" borderId="2" xfId="0" applyFont="1" applyFill="1" applyBorder="1" applyAlignment="1">
      <alignment horizontal="justify" vertical="top" wrapText="1"/>
    </xf>
    <xf numFmtId="0" fontId="8" fillId="2" borderId="2" xfId="0" applyFont="1" applyFill="1" applyBorder="1" applyAlignment="1">
      <alignment horizontal="center" wrapText="1"/>
    </xf>
    <xf numFmtId="0" fontId="9" fillId="0" borderId="1" xfId="0" applyFont="1" applyBorder="1" applyAlignment="1">
      <alignment horizontal="justify" wrapText="1"/>
    </xf>
    <xf numFmtId="0" fontId="9" fillId="2" borderId="2" xfId="0" applyFont="1" applyFill="1" applyBorder="1" applyAlignment="1">
      <alignment horizontal="justify" wrapText="1"/>
    </xf>
    <xf numFmtId="0" fontId="9" fillId="2" borderId="2" xfId="0" applyFont="1" applyFill="1" applyBorder="1" applyAlignment="1">
      <alignment horizontal="center" wrapText="1"/>
    </xf>
    <xf numFmtId="0" fontId="10" fillId="0" borderId="0" xfId="20" applyAlignment="1">
      <alignment/>
    </xf>
    <xf numFmtId="0" fontId="0" fillId="0" borderId="0" xfId="0" applyFont="1" applyAlignment="1">
      <alignment/>
    </xf>
    <xf numFmtId="0" fontId="0" fillId="0" borderId="0" xfId="0" applyAlignment="1">
      <alignment wrapText="1"/>
    </xf>
    <xf numFmtId="9" fontId="0" fillId="0" borderId="0" xfId="21" applyAlignment="1">
      <alignment horizontal="center"/>
    </xf>
    <xf numFmtId="0" fontId="0" fillId="0" borderId="0" xfId="0" applyFill="1" applyBorder="1" applyAlignment="1">
      <alignment/>
    </xf>
    <xf numFmtId="0" fontId="1" fillId="0" borderId="0" xfId="0" applyFont="1" applyAlignment="1">
      <alignment wrapText="1"/>
    </xf>
    <xf numFmtId="0" fontId="0" fillId="0" borderId="0" xfId="0" applyFont="1" applyAlignment="1">
      <alignment wrapText="1"/>
    </xf>
    <xf numFmtId="0" fontId="0" fillId="0" borderId="0" xfId="0" applyAlignment="1">
      <alignment/>
    </xf>
    <xf numFmtId="0" fontId="1" fillId="0" borderId="0" xfId="0" applyFont="1" applyBorder="1" applyAlignment="1">
      <alignment/>
    </xf>
    <xf numFmtId="0" fontId="0" fillId="0" borderId="0" xfId="0" applyFont="1" applyBorder="1" applyAlignment="1">
      <alignment horizontal="justify" vertical="top" wrapText="1"/>
    </xf>
    <xf numFmtId="0" fontId="0" fillId="0" borderId="0" xfId="0" applyFont="1" applyBorder="1" applyAlignment="1">
      <alignment/>
    </xf>
    <xf numFmtId="0" fontId="9" fillId="3" borderId="3" xfId="0" applyFont="1" applyFill="1" applyBorder="1" applyAlignment="1">
      <alignment horizontal="justify" vertical="top" wrapText="1"/>
    </xf>
    <xf numFmtId="0" fontId="9" fillId="0" borderId="3" xfId="0" applyFont="1" applyBorder="1" applyAlignment="1">
      <alignment horizontal="justify" wrapText="1"/>
    </xf>
    <xf numFmtId="0" fontId="8" fillId="0" borderId="2" xfId="0" applyFont="1" applyBorder="1" applyAlignment="1">
      <alignment horizontal="justify" wrapText="1"/>
    </xf>
    <xf numFmtId="3" fontId="9" fillId="0" borderId="2" xfId="0" applyNumberFormat="1" applyFont="1" applyBorder="1" applyAlignment="1">
      <alignment horizontal="justify" wrapText="1"/>
    </xf>
    <xf numFmtId="0" fontId="8" fillId="3" borderId="1" xfId="0" applyFont="1" applyFill="1" applyBorder="1" applyAlignment="1">
      <alignment horizontal="justify" vertical="top" wrapText="1"/>
    </xf>
    <xf numFmtId="0" fontId="9" fillId="4" borderId="2" xfId="0" applyFont="1" applyFill="1" applyBorder="1" applyAlignment="1">
      <alignment horizontal="justify" wrapText="1"/>
    </xf>
    <xf numFmtId="3" fontId="9" fillId="4" borderId="2" xfId="0" applyNumberFormat="1" applyFont="1" applyFill="1" applyBorder="1" applyAlignment="1">
      <alignment horizontal="justify" wrapText="1"/>
    </xf>
    <xf numFmtId="3" fontId="8" fillId="0" borderId="2" xfId="0" applyNumberFormat="1" applyFont="1" applyBorder="1" applyAlignment="1">
      <alignment horizontal="justify" wrapText="1"/>
    </xf>
    <xf numFmtId="0" fontId="8" fillId="3" borderId="1" xfId="0" applyFont="1" applyFill="1" applyBorder="1" applyAlignment="1">
      <alignment horizontal="justify" wrapText="1"/>
    </xf>
    <xf numFmtId="0" fontId="11" fillId="4" borderId="2" xfId="0" applyFont="1" applyFill="1" applyBorder="1" applyAlignment="1">
      <alignment wrapText="1"/>
    </xf>
    <xf numFmtId="3" fontId="8" fillId="4" borderId="2" xfId="0" applyNumberFormat="1" applyFont="1" applyFill="1" applyBorder="1" applyAlignment="1">
      <alignment horizontal="justify" wrapText="1"/>
    </xf>
    <xf numFmtId="0" fontId="9" fillId="0" borderId="2" xfId="0" applyFont="1" applyBorder="1" applyAlignment="1">
      <alignment horizontal="justify" wrapText="1"/>
    </xf>
    <xf numFmtId="0" fontId="12" fillId="0" borderId="0" xfId="0" applyFont="1" applyAlignment="1">
      <alignment horizontal="justify"/>
    </xf>
    <xf numFmtId="0" fontId="13" fillId="0" borderId="0" xfId="0" applyFont="1" applyAlignment="1">
      <alignment horizontal="justify"/>
    </xf>
    <xf numFmtId="0" fontId="13" fillId="0" borderId="4" xfId="0" applyFont="1" applyBorder="1" applyAlignment="1">
      <alignment horizontal="justify" wrapText="1"/>
    </xf>
    <xf numFmtId="0" fontId="13" fillId="0" borderId="2" xfId="0" applyFont="1" applyBorder="1" applyAlignment="1">
      <alignment horizontal="justify" wrapText="1"/>
    </xf>
    <xf numFmtId="0" fontId="13" fillId="0" borderId="1" xfId="0" applyFont="1" applyBorder="1" applyAlignment="1">
      <alignment horizontal="justify" wrapText="1"/>
    </xf>
    <xf numFmtId="0" fontId="13" fillId="0" borderId="2" xfId="0" applyFont="1" applyBorder="1" applyAlignment="1">
      <alignment horizontal="justify" vertical="top" wrapText="1"/>
    </xf>
    <xf numFmtId="0" fontId="14" fillId="0" borderId="5" xfId="0" applyFont="1" applyBorder="1" applyAlignment="1">
      <alignment horizontal="center" wrapText="1"/>
    </xf>
    <xf numFmtId="0" fontId="14" fillId="0" borderId="3" xfId="0" applyFont="1" applyBorder="1" applyAlignment="1">
      <alignment horizontal="center" wrapText="1"/>
    </xf>
    <xf numFmtId="0" fontId="7" fillId="0" borderId="3" xfId="0" applyFont="1" applyBorder="1" applyAlignment="1">
      <alignment horizontal="center" wrapText="1"/>
    </xf>
    <xf numFmtId="0" fontId="7" fillId="0" borderId="2" xfId="0" applyFont="1" applyBorder="1" applyAlignment="1">
      <alignment horizontal="center" wrapText="1"/>
    </xf>
    <xf numFmtId="0" fontId="0" fillId="0" borderId="0" xfId="0" applyAlignment="1">
      <alignment horizontal="center" wrapText="1"/>
    </xf>
    <xf numFmtId="0" fontId="7" fillId="0" borderId="1" xfId="0" applyFont="1" applyBorder="1" applyAlignment="1">
      <alignment horizontal="center" wrapText="1"/>
    </xf>
    <xf numFmtId="0" fontId="8" fillId="0" borderId="1" xfId="0" applyFont="1" applyBorder="1" applyAlignment="1">
      <alignment horizontal="justify" vertical="center" wrapText="1"/>
    </xf>
    <xf numFmtId="0" fontId="8" fillId="2" borderId="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8" fillId="2" borderId="4" xfId="0" applyFont="1" applyFill="1" applyBorder="1" applyAlignment="1">
      <alignment horizontal="center" wrapText="1"/>
    </xf>
    <xf numFmtId="0" fontId="7" fillId="0" borderId="0" xfId="0" applyFont="1" applyAlignment="1">
      <alignment horizontal="center" vertical="center"/>
    </xf>
    <xf numFmtId="0" fontId="8" fillId="2" borderId="2" xfId="0" applyFont="1" applyFill="1" applyBorder="1" applyAlignment="1">
      <alignment horizontal="justify"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Alignment="1">
      <alignment vertical="center" wrapText="1"/>
    </xf>
    <xf numFmtId="0" fontId="0" fillId="0" borderId="0" xfId="0" applyFont="1" applyAlignment="1">
      <alignment/>
    </xf>
    <xf numFmtId="9" fontId="0" fillId="0" borderId="0" xfId="21" applyNumberFormat="1" applyAlignment="1">
      <alignment horizontal="center"/>
    </xf>
    <xf numFmtId="0" fontId="0" fillId="0" borderId="7" xfId="0" applyBorder="1" applyAlignment="1">
      <alignment/>
    </xf>
    <xf numFmtId="0" fontId="0" fillId="0" borderId="8" xfId="0" applyBorder="1" applyAlignment="1">
      <alignment/>
    </xf>
    <xf numFmtId="1" fontId="0" fillId="0" borderId="0" xfId="0" applyNumberFormat="1" applyAlignment="1">
      <alignment/>
    </xf>
    <xf numFmtId="0" fontId="6" fillId="0" borderId="0" xfId="0" applyFont="1" applyAlignment="1">
      <alignment horizontal="center"/>
    </xf>
    <xf numFmtId="2" fontId="0" fillId="0" borderId="0" xfId="0" applyNumberFormat="1" applyAlignment="1">
      <alignment/>
    </xf>
    <xf numFmtId="9" fontId="0" fillId="0" borderId="0" xfId="0" applyNumberFormat="1" applyAlignment="1">
      <alignment/>
    </xf>
    <xf numFmtId="0" fontId="0" fillId="0" borderId="0" xfId="0" applyFont="1" applyBorder="1" applyAlignment="1">
      <alignment vertical="center"/>
    </xf>
    <xf numFmtId="171" fontId="0" fillId="0" borderId="0" xfId="15" applyNumberFormat="1" applyAlignment="1">
      <alignment/>
    </xf>
    <xf numFmtId="171" fontId="6" fillId="0" borderId="0" xfId="15" applyNumberFormat="1" applyFont="1" applyAlignment="1">
      <alignment horizontal="center"/>
    </xf>
    <xf numFmtId="171" fontId="0" fillId="0" borderId="0" xfId="15" applyNumberFormat="1" applyAlignment="1">
      <alignment/>
    </xf>
    <xf numFmtId="0" fontId="0" fillId="0" borderId="0" xfId="0" applyAlignment="1">
      <alignment horizontal="right"/>
    </xf>
    <xf numFmtId="0" fontId="0" fillId="0" borderId="0" xfId="0" applyFont="1" applyFill="1" applyBorder="1" applyAlignment="1">
      <alignment horizontal="justify" vertical="top" wrapText="1"/>
    </xf>
    <xf numFmtId="1" fontId="0" fillId="0" borderId="9" xfId="0" applyNumberFormat="1" applyBorder="1" applyAlignment="1">
      <alignment/>
    </xf>
    <xf numFmtId="1" fontId="0" fillId="0" borderId="0" xfId="0" applyNumberFormat="1" applyAlignment="1">
      <alignment horizontal="center"/>
    </xf>
    <xf numFmtId="169" fontId="0" fillId="0" borderId="0" xfId="21" applyNumberFormat="1" applyAlignment="1">
      <alignment/>
    </xf>
    <xf numFmtId="169" fontId="0" fillId="0" borderId="9" xfId="21" applyNumberFormat="1" applyBorder="1" applyAlignment="1">
      <alignment/>
    </xf>
    <xf numFmtId="1" fontId="0" fillId="0" borderId="0" xfId="0" applyNumberFormat="1" applyBorder="1" applyAlignment="1">
      <alignment/>
    </xf>
    <xf numFmtId="169" fontId="0" fillId="0" borderId="0" xfId="21" applyNumberFormat="1" applyBorder="1" applyAlignment="1">
      <alignment/>
    </xf>
    <xf numFmtId="0" fontId="6" fillId="0" borderId="0" xfId="0" applyFont="1" applyAlignment="1" quotePrefix="1">
      <alignment horizontal="left"/>
    </xf>
    <xf numFmtId="0" fontId="6" fillId="0" borderId="0" xfId="0" applyFont="1" applyAlignment="1">
      <alignment horizontal="left"/>
    </xf>
    <xf numFmtId="0" fontId="0" fillId="0" borderId="0" xfId="0" applyBorder="1" applyAlignment="1">
      <alignment horizontal="center" vertical="center"/>
    </xf>
    <xf numFmtId="0" fontId="0" fillId="0" borderId="7" xfId="0" applyBorder="1" applyAlignment="1">
      <alignment wrapText="1"/>
    </xf>
    <xf numFmtId="171" fontId="0" fillId="0" borderId="0" xfId="15" applyNumberFormat="1" applyBorder="1" applyAlignment="1">
      <alignment/>
    </xf>
    <xf numFmtId="169" fontId="0" fillId="0" borderId="0" xfId="0" applyNumberFormat="1" applyBorder="1" applyAlignment="1">
      <alignment/>
    </xf>
    <xf numFmtId="171" fontId="0" fillId="0" borderId="0" xfId="0" applyNumberFormat="1" applyBorder="1" applyAlignment="1">
      <alignment/>
    </xf>
    <xf numFmtId="10" fontId="0" fillId="0" borderId="0" xfId="0" applyNumberFormat="1" applyBorder="1" applyAlignment="1">
      <alignment/>
    </xf>
    <xf numFmtId="0" fontId="0" fillId="0" borderId="10" xfId="0" applyBorder="1" applyAlignment="1">
      <alignment wrapText="1"/>
    </xf>
    <xf numFmtId="0" fontId="0" fillId="0" borderId="8" xfId="0" applyBorder="1" applyAlignment="1">
      <alignment horizontal="center" vertical="center"/>
    </xf>
    <xf numFmtId="171" fontId="0" fillId="0" borderId="8" xfId="0" applyNumberFormat="1"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171" fontId="0" fillId="0" borderId="14" xfId="15" applyNumberFormat="1" applyBorder="1" applyAlignment="1">
      <alignment/>
    </xf>
    <xf numFmtId="169" fontId="0" fillId="0" borderId="14" xfId="21" applyNumberFormat="1" applyBorder="1" applyAlignment="1">
      <alignment/>
    </xf>
    <xf numFmtId="171" fontId="0" fillId="0" borderId="14" xfId="0" applyNumberFormat="1" applyBorder="1" applyAlignment="1">
      <alignment/>
    </xf>
    <xf numFmtId="9" fontId="0" fillId="0" borderId="14" xfId="0" applyNumberFormat="1" applyBorder="1" applyAlignment="1">
      <alignment/>
    </xf>
    <xf numFmtId="171" fontId="0" fillId="0" borderId="15" xfId="0" applyNumberFormat="1" applyBorder="1" applyAlignment="1">
      <alignment/>
    </xf>
    <xf numFmtId="0" fontId="0" fillId="0" borderId="13" xfId="0" applyBorder="1" applyAlignment="1">
      <alignment horizontal="center" vertical="center" wrapText="1"/>
    </xf>
    <xf numFmtId="9" fontId="0" fillId="0" borderId="14" xfId="21" applyBorder="1" applyAlignment="1">
      <alignment horizontal="center"/>
    </xf>
    <xf numFmtId="0" fontId="0" fillId="0" borderId="14" xfId="0" applyBorder="1" applyAlignment="1" quotePrefix="1">
      <alignment horizontal="center"/>
    </xf>
    <xf numFmtId="9" fontId="0" fillId="0" borderId="15" xfId="21" applyBorder="1" applyAlignment="1">
      <alignment horizontal="center"/>
    </xf>
    <xf numFmtId="0" fontId="0" fillId="0" borderId="16" xfId="0" applyBorder="1" applyAlignment="1">
      <alignment horizontal="center" vertical="center" wrapText="1"/>
    </xf>
    <xf numFmtId="9" fontId="0" fillId="0" borderId="17" xfId="21" applyBorder="1" applyAlignment="1">
      <alignment/>
    </xf>
    <xf numFmtId="0" fontId="0" fillId="0" borderId="17" xfId="0" applyBorder="1" applyAlignment="1" quotePrefix="1">
      <alignment horizontal="center"/>
    </xf>
    <xf numFmtId="9" fontId="0" fillId="0" borderId="18" xfId="21" applyBorder="1" applyAlignment="1">
      <alignment/>
    </xf>
    <xf numFmtId="0" fontId="0" fillId="5" borderId="19" xfId="0" applyFill="1" applyBorder="1" applyAlignment="1">
      <alignment/>
    </xf>
    <xf numFmtId="0" fontId="0" fillId="5" borderId="20" xfId="0" applyFill="1" applyBorder="1" applyAlignment="1">
      <alignment/>
    </xf>
    <xf numFmtId="0" fontId="0" fillId="5" borderId="21" xfId="0" applyFill="1" applyBorder="1" applyAlignment="1">
      <alignment/>
    </xf>
    <xf numFmtId="0" fontId="0" fillId="5" borderId="8" xfId="0" applyFill="1" applyBorder="1" applyAlignment="1">
      <alignment/>
    </xf>
    <xf numFmtId="0" fontId="0" fillId="5" borderId="15" xfId="0" applyFill="1" applyBorder="1" applyAlignment="1">
      <alignment/>
    </xf>
    <xf numFmtId="0" fontId="0" fillId="5" borderId="18" xfId="0" applyFill="1" applyBorder="1" applyAlignment="1">
      <alignment/>
    </xf>
    <xf numFmtId="0" fontId="1" fillId="5" borderId="22" xfId="0" applyFont="1" applyFill="1" applyBorder="1" applyAlignment="1">
      <alignment/>
    </xf>
    <xf numFmtId="0" fontId="1" fillId="5" borderId="10" xfId="0" applyFont="1" applyFill="1" applyBorder="1" applyAlignment="1">
      <alignment/>
    </xf>
    <xf numFmtId="176" fontId="0" fillId="0" borderId="0" xfId="17" applyNumberFormat="1" applyAlignment="1">
      <alignment/>
    </xf>
    <xf numFmtId="169" fontId="0" fillId="0" borderId="0" xfId="21" applyNumberFormat="1" applyAlignment="1">
      <alignment horizontal="center"/>
    </xf>
    <xf numFmtId="0" fontId="0" fillId="0" borderId="0" xfId="0" applyFont="1" applyBorder="1" applyAlignment="1">
      <alignment horizontal="justify" vertical="center" wrapText="1"/>
    </xf>
    <xf numFmtId="0" fontId="0" fillId="0" borderId="4" xfId="0" applyBorder="1" applyAlignment="1">
      <alignment/>
    </xf>
    <xf numFmtId="0" fontId="0" fillId="0" borderId="0" xfId="0" applyAlignment="1">
      <alignment horizontal="left" wrapText="1" indent="2"/>
    </xf>
    <xf numFmtId="0" fontId="0" fillId="0" borderId="0" xfId="0" applyAlignment="1">
      <alignment horizontal="left" vertical="center" wrapText="1"/>
    </xf>
    <xf numFmtId="9" fontId="0" fillId="0" borderId="0" xfId="21" applyAlignment="1">
      <alignment/>
    </xf>
    <xf numFmtId="0" fontId="1" fillId="0" borderId="0" xfId="0" applyFont="1" applyBorder="1" applyAlignment="1">
      <alignment vertical="center"/>
    </xf>
    <xf numFmtId="1" fontId="1" fillId="0" borderId="0" xfId="0" applyNumberFormat="1" applyFont="1" applyAlignment="1">
      <alignment horizontal="center"/>
    </xf>
    <xf numFmtId="1" fontId="1" fillId="0" borderId="0" xfId="0" applyNumberFormat="1" applyFont="1" applyAlignment="1">
      <alignment/>
    </xf>
    <xf numFmtId="171" fontId="1" fillId="0" borderId="0" xfId="15" applyNumberFormat="1" applyFont="1" applyAlignment="1">
      <alignment/>
    </xf>
    <xf numFmtId="0" fontId="0" fillId="0" borderId="9" xfId="0" applyBorder="1" applyAlignment="1">
      <alignment/>
    </xf>
    <xf numFmtId="0" fontId="0" fillId="0" borderId="23" xfId="0" applyBorder="1" applyAlignment="1">
      <alignment/>
    </xf>
    <xf numFmtId="0" fontId="0" fillId="0" borderId="7" xfId="0" applyBorder="1" applyAlignment="1">
      <alignment horizontal="right"/>
    </xf>
    <xf numFmtId="0" fontId="0" fillId="0" borderId="24" xfId="0" applyBorder="1" applyAlignment="1">
      <alignment/>
    </xf>
    <xf numFmtId="0" fontId="0" fillId="0" borderId="0" xfId="0" applyBorder="1" applyAlignment="1">
      <alignment/>
    </xf>
    <xf numFmtId="0" fontId="0" fillId="0" borderId="4" xfId="0" applyFill="1" applyBorder="1" applyAlignment="1">
      <alignment/>
    </xf>
    <xf numFmtId="0" fontId="0" fillId="0" borderId="10" xfId="0" applyFont="1" applyBorder="1" applyAlignment="1">
      <alignment vertical="top"/>
    </xf>
    <xf numFmtId="0" fontId="0" fillId="0" borderId="25" xfId="0" applyFont="1" applyBorder="1" applyAlignment="1">
      <alignment vertical="top"/>
    </xf>
    <xf numFmtId="0" fontId="0" fillId="0" borderId="26" xfId="0" applyBorder="1" applyAlignment="1">
      <alignment/>
    </xf>
    <xf numFmtId="0" fontId="0" fillId="0" borderId="24" xfId="0" applyFill="1" applyBorder="1" applyAlignment="1">
      <alignment/>
    </xf>
    <xf numFmtId="2" fontId="0" fillId="0" borderId="23" xfId="0" applyNumberFormat="1" applyBorder="1" applyAlignment="1">
      <alignment/>
    </xf>
    <xf numFmtId="1" fontId="0" fillId="0" borderId="23" xfId="0" applyNumberFormat="1" applyBorder="1" applyAlignment="1">
      <alignment/>
    </xf>
    <xf numFmtId="2" fontId="0" fillId="0" borderId="0" xfId="0" applyNumberFormat="1" applyBorder="1" applyAlignment="1">
      <alignment/>
    </xf>
    <xf numFmtId="2" fontId="0" fillId="0" borderId="4" xfId="0" applyNumberFormat="1" applyBorder="1" applyAlignment="1">
      <alignment/>
    </xf>
    <xf numFmtId="1" fontId="0" fillId="0" borderId="4" xfId="0" applyNumberFormat="1" applyBorder="1" applyAlignment="1">
      <alignment/>
    </xf>
    <xf numFmtId="1" fontId="0" fillId="0" borderId="26" xfId="0" applyNumberFormat="1" applyBorder="1" applyAlignment="1">
      <alignment/>
    </xf>
    <xf numFmtId="1" fontId="0" fillId="0" borderId="24" xfId="0" applyNumberFormat="1" applyBorder="1" applyAlignment="1">
      <alignment/>
    </xf>
    <xf numFmtId="2" fontId="0" fillId="0" borderId="15" xfId="0" applyNumberFormat="1" applyBorder="1" applyAlignment="1">
      <alignment/>
    </xf>
    <xf numFmtId="2" fontId="0" fillId="0" borderId="8" xfId="0" applyNumberFormat="1" applyBorder="1" applyAlignment="1">
      <alignment/>
    </xf>
    <xf numFmtId="2" fontId="0" fillId="0" borderId="2" xfId="0" applyNumberFormat="1" applyBorder="1" applyAlignment="1">
      <alignment/>
    </xf>
    <xf numFmtId="0" fontId="0" fillId="0" borderId="0" xfId="0" applyFill="1" applyAlignment="1">
      <alignment/>
    </xf>
    <xf numFmtId="1" fontId="0" fillId="0" borderId="0" xfId="0" applyNumberFormat="1" applyFill="1" applyAlignment="1">
      <alignment/>
    </xf>
    <xf numFmtId="169" fontId="0" fillId="0" borderId="27" xfId="21" applyNumberFormat="1" applyBorder="1" applyAlignment="1">
      <alignment/>
    </xf>
    <xf numFmtId="169" fontId="0" fillId="0" borderId="1" xfId="21" applyNumberFormat="1" applyBorder="1" applyAlignment="1">
      <alignment/>
    </xf>
    <xf numFmtId="0" fontId="0" fillId="0" borderId="28" xfId="0" applyBorder="1" applyAlignment="1">
      <alignment horizontal="center"/>
    </xf>
    <xf numFmtId="0" fontId="0" fillId="0" borderId="27" xfId="0" applyBorder="1" applyAlignment="1">
      <alignment horizontal="center"/>
    </xf>
    <xf numFmtId="0" fontId="0" fillId="0" borderId="0" xfId="0" applyFill="1" applyAlignment="1">
      <alignment vertical="center" wrapText="1"/>
    </xf>
    <xf numFmtId="0" fontId="0" fillId="0" borderId="0" xfId="0" applyFill="1" applyAlignment="1">
      <alignment vertical="center"/>
    </xf>
    <xf numFmtId="171" fontId="0" fillId="0" borderId="0" xfId="0" applyNumberFormat="1" applyAlignment="1">
      <alignment/>
    </xf>
    <xf numFmtId="2" fontId="6" fillId="0" borderId="0" xfId="0" applyNumberFormat="1" applyFont="1" applyAlignment="1">
      <alignment/>
    </xf>
    <xf numFmtId="0" fontId="0" fillId="0" borderId="0" xfId="0" applyAlignment="1">
      <alignment horizontal="left"/>
    </xf>
    <xf numFmtId="0" fontId="0" fillId="0" borderId="0" xfId="20" applyFont="1" applyAlignment="1">
      <alignment/>
    </xf>
    <xf numFmtId="0" fontId="17" fillId="0" borderId="0" xfId="0" applyFont="1" applyAlignment="1">
      <alignment/>
    </xf>
    <xf numFmtId="0" fontId="6" fillId="0" borderId="0" xfId="0" applyFont="1" applyAlignment="1">
      <alignment vertical="center"/>
    </xf>
    <xf numFmtId="169" fontId="0" fillId="0" borderId="0" xfId="0" applyNumberFormat="1" applyAlignment="1">
      <alignment/>
    </xf>
    <xf numFmtId="0" fontId="0" fillId="0" borderId="0" xfId="0" applyFont="1" applyBorder="1" applyAlignment="1">
      <alignment vertical="top"/>
    </xf>
    <xf numFmtId="1" fontId="0" fillId="0" borderId="0" xfId="0" applyNumberFormat="1" applyAlignment="1">
      <alignment vertical="center"/>
    </xf>
    <xf numFmtId="0" fontId="0" fillId="0" borderId="0" xfId="0" applyAlignment="1">
      <alignment horizontal="left" wrapText="1"/>
    </xf>
    <xf numFmtId="0" fontId="0" fillId="0" borderId="0" xfId="0" applyFill="1" applyBorder="1" applyAlignment="1">
      <alignment horizontal="center"/>
    </xf>
    <xf numFmtId="2" fontId="0" fillId="0" borderId="29" xfId="0" applyNumberFormat="1" applyBorder="1" applyAlignment="1">
      <alignment/>
    </xf>
    <xf numFmtId="2" fontId="0" fillId="0" borderId="14" xfId="0" applyNumberFormat="1" applyBorder="1" applyAlignment="1">
      <alignment/>
    </xf>
    <xf numFmtId="2" fontId="0" fillId="0" borderId="17" xfId="0" applyNumberFormat="1" applyBorder="1" applyAlignment="1">
      <alignment/>
    </xf>
    <xf numFmtId="2" fontId="1" fillId="0" borderId="30" xfId="0" applyNumberFormat="1" applyFont="1" applyBorder="1" applyAlignment="1">
      <alignment/>
    </xf>
    <xf numFmtId="2" fontId="1" fillId="0" borderId="31" xfId="0" applyNumberFormat="1" applyFont="1" applyBorder="1" applyAlignment="1">
      <alignment/>
    </xf>
    <xf numFmtId="2" fontId="0" fillId="0" borderId="32" xfId="0" applyNumberFormat="1" applyBorder="1" applyAlignment="1">
      <alignment/>
    </xf>
    <xf numFmtId="2" fontId="0" fillId="0" borderId="26" xfId="0" applyNumberFormat="1" applyBorder="1" applyAlignment="1">
      <alignment/>
    </xf>
    <xf numFmtId="2" fontId="1" fillId="0" borderId="32" xfId="0" applyNumberFormat="1" applyFont="1" applyBorder="1" applyAlignment="1">
      <alignment/>
    </xf>
    <xf numFmtId="2" fontId="1" fillId="0" borderId="26" xfId="0" applyNumberFormat="1" applyFont="1" applyBorder="1" applyAlignment="1">
      <alignment/>
    </xf>
    <xf numFmtId="2" fontId="1" fillId="0" borderId="33" xfId="0" applyNumberFormat="1" applyFont="1" applyBorder="1" applyAlignment="1">
      <alignment/>
    </xf>
    <xf numFmtId="2" fontId="1" fillId="0" borderId="34" xfId="0" applyNumberFormat="1" applyFont="1" applyBorder="1" applyAlignment="1">
      <alignment/>
    </xf>
    <xf numFmtId="0" fontId="0" fillId="0" borderId="0" xfId="0" applyFont="1" applyFill="1" applyBorder="1" applyAlignment="1">
      <alignment horizontal="justify" vertical="center" wrapText="1"/>
    </xf>
    <xf numFmtId="2" fontId="1" fillId="0" borderId="35" xfId="0" applyNumberFormat="1" applyFont="1" applyBorder="1" applyAlignment="1">
      <alignment/>
    </xf>
    <xf numFmtId="2" fontId="1" fillId="0" borderId="36" xfId="0" applyNumberFormat="1" applyFont="1" applyBorder="1" applyAlignment="1">
      <alignment/>
    </xf>
    <xf numFmtId="0" fontId="3" fillId="0" borderId="0" xfId="0" applyFont="1" applyFill="1" applyAlignment="1">
      <alignment/>
    </xf>
    <xf numFmtId="0" fontId="0" fillId="0" borderId="0" xfId="0" applyFont="1" applyFill="1" applyAlignment="1">
      <alignment/>
    </xf>
    <xf numFmtId="49" fontId="0" fillId="0" borderId="0" xfId="20" applyNumberFormat="1" applyFont="1" applyFill="1" applyAlignment="1">
      <alignment/>
    </xf>
    <xf numFmtId="1" fontId="6" fillId="0" borderId="0" xfId="0" applyNumberFormat="1" applyFont="1" applyAlignment="1">
      <alignment horizontal="center"/>
    </xf>
    <xf numFmtId="0" fontId="6" fillId="0" borderId="0" xfId="0" applyFont="1" applyAlignment="1">
      <alignment horizontal="center" wrapText="1"/>
    </xf>
    <xf numFmtId="0" fontId="19" fillId="0" borderId="0" xfId="0" applyFont="1" applyAlignment="1">
      <alignment horizontal="center"/>
    </xf>
    <xf numFmtId="0" fontId="6" fillId="0" borderId="0" xfId="0" applyFont="1" applyAlignment="1">
      <alignment horizontal="center" vertical="center"/>
    </xf>
    <xf numFmtId="9" fontId="6" fillId="0" borderId="0" xfId="21" applyFont="1" applyAlignment="1">
      <alignment horizontal="center"/>
    </xf>
    <xf numFmtId="0" fontId="6" fillId="0" borderId="0" xfId="0" applyFont="1" applyFill="1" applyAlignment="1">
      <alignment horizontal="center"/>
    </xf>
    <xf numFmtId="0" fontId="6" fillId="0" borderId="0" xfId="0" applyFont="1" applyBorder="1" applyAlignment="1">
      <alignment horizontal="center"/>
    </xf>
    <xf numFmtId="0" fontId="0" fillId="0" borderId="0" xfId="0" applyFont="1" applyAlignment="1">
      <alignment horizontal="right"/>
    </xf>
    <xf numFmtId="1" fontId="19" fillId="0" borderId="0" xfId="0" applyNumberFormat="1" applyFont="1" applyAlignment="1">
      <alignment horizontal="center"/>
    </xf>
    <xf numFmtId="171" fontId="19" fillId="0" borderId="0" xfId="15" applyNumberFormat="1" applyFont="1" applyAlignment="1">
      <alignment horizontal="center"/>
    </xf>
    <xf numFmtId="0" fontId="19" fillId="0" borderId="0" xfId="0" applyFont="1" applyAlignment="1">
      <alignment wrapText="1"/>
    </xf>
    <xf numFmtId="0" fontId="19" fillId="0" borderId="0" xfId="0" applyFont="1" applyAlignment="1">
      <alignment/>
    </xf>
    <xf numFmtId="169" fontId="19" fillId="0" borderId="0" xfId="21" applyNumberFormat="1" applyFont="1" applyBorder="1" applyAlignment="1">
      <alignment/>
    </xf>
    <xf numFmtId="1" fontId="19" fillId="0" borderId="0" xfId="0" applyNumberFormat="1" applyFont="1" applyAlignment="1">
      <alignment/>
    </xf>
    <xf numFmtId="0" fontId="19" fillId="0" borderId="0" xfId="0" applyFont="1" applyBorder="1" applyAlignment="1">
      <alignment vertical="center"/>
    </xf>
    <xf numFmtId="37" fontId="19" fillId="0" borderId="0" xfId="15" applyNumberFormat="1" applyFont="1" applyAlignment="1">
      <alignment/>
    </xf>
    <xf numFmtId="171" fontId="19" fillId="0" borderId="0" xfId="15" applyNumberFormat="1" applyFont="1" applyAlignment="1">
      <alignment/>
    </xf>
    <xf numFmtId="171" fontId="19" fillId="0" borderId="0" xfId="15" applyNumberFormat="1" applyFont="1" applyBorder="1" applyAlignment="1">
      <alignment vertical="center"/>
    </xf>
    <xf numFmtId="171" fontId="19" fillId="0" borderId="0" xfId="15" applyNumberFormat="1" applyFont="1" applyBorder="1" applyAlignment="1">
      <alignment/>
    </xf>
    <xf numFmtId="0" fontId="19" fillId="0" borderId="0" xfId="0" applyFont="1" applyAlignment="1">
      <alignment horizontal="left"/>
    </xf>
    <xf numFmtId="0" fontId="1" fillId="0" borderId="0" xfId="0" applyFont="1" applyAlignment="1">
      <alignment horizontal="left"/>
    </xf>
    <xf numFmtId="0" fontId="0" fillId="6" borderId="0" xfId="0" applyFill="1" applyAlignment="1">
      <alignment/>
    </xf>
    <xf numFmtId="171" fontId="0" fillId="6" borderId="0" xfId="15" applyNumberFormat="1" applyFill="1" applyAlignment="1">
      <alignment/>
    </xf>
    <xf numFmtId="0" fontId="19" fillId="6" borderId="0" xfId="0" applyFont="1" applyFill="1" applyAlignment="1">
      <alignment/>
    </xf>
    <xf numFmtId="171" fontId="19" fillId="6" borderId="0" xfId="15" applyNumberFormat="1" applyFont="1" applyFill="1" applyAlignment="1">
      <alignment/>
    </xf>
    <xf numFmtId="0" fontId="1" fillId="6" borderId="0" xfId="0" applyFont="1" applyFill="1" applyAlignment="1">
      <alignment/>
    </xf>
    <xf numFmtId="3" fontId="0" fillId="0" borderId="0" xfId="21" applyNumberFormat="1" applyAlignment="1">
      <alignment/>
    </xf>
    <xf numFmtId="171" fontId="0" fillId="0" borderId="0" xfId="15" applyNumberFormat="1" applyFill="1" applyAlignment="1">
      <alignment/>
    </xf>
    <xf numFmtId="2" fontId="19" fillId="0" borderId="0" xfId="0" applyNumberFormat="1" applyFont="1" applyAlignment="1">
      <alignment/>
    </xf>
    <xf numFmtId="0" fontId="19" fillId="0" borderId="0" xfId="0" applyFont="1" applyAlignment="1">
      <alignment/>
    </xf>
    <xf numFmtId="171" fontId="19" fillId="0" borderId="0" xfId="0" applyNumberFormat="1" applyFont="1" applyAlignment="1">
      <alignment/>
    </xf>
    <xf numFmtId="37" fontId="19" fillId="0" borderId="0" xfId="0" applyNumberFormat="1" applyFont="1" applyAlignment="1">
      <alignment/>
    </xf>
    <xf numFmtId="171" fontId="0" fillId="0" borderId="0" xfId="15" applyNumberFormat="1" applyFont="1" applyAlignment="1">
      <alignment/>
    </xf>
    <xf numFmtId="3" fontId="19" fillId="0" borderId="0" xfId="0" applyNumberFormat="1" applyFont="1" applyAlignment="1">
      <alignment/>
    </xf>
    <xf numFmtId="169" fontId="1" fillId="0" borderId="0" xfId="21" applyNumberFormat="1" applyFont="1" applyAlignment="1">
      <alignment/>
    </xf>
    <xf numFmtId="171" fontId="1" fillId="0" borderId="0" xfId="0" applyNumberFormat="1" applyFont="1" applyAlignment="1">
      <alignment/>
    </xf>
    <xf numFmtId="0" fontId="1" fillId="0" borderId="0" xfId="0" applyFont="1" applyAlignment="1">
      <alignment/>
    </xf>
    <xf numFmtId="3" fontId="19" fillId="0" borderId="0" xfId="0" applyNumberFormat="1" applyFont="1" applyAlignment="1">
      <alignment/>
    </xf>
    <xf numFmtId="171" fontId="0" fillId="0" borderId="0" xfId="0" applyNumberFormat="1" applyFill="1" applyAlignment="1">
      <alignment/>
    </xf>
    <xf numFmtId="0" fontId="19" fillId="0" borderId="0" xfId="0" applyFont="1" applyFill="1" applyAlignment="1">
      <alignment/>
    </xf>
    <xf numFmtId="0" fontId="19" fillId="0" borderId="0" xfId="0" applyFont="1" applyFill="1" applyAlignment="1">
      <alignment/>
    </xf>
    <xf numFmtId="0" fontId="19" fillId="0" borderId="0" xfId="0" applyFont="1" applyFill="1" applyBorder="1" applyAlignment="1">
      <alignment vertical="center"/>
    </xf>
    <xf numFmtId="1" fontId="19" fillId="0" borderId="0" xfId="0" applyNumberFormat="1" applyFont="1" applyFill="1" applyAlignment="1">
      <alignment horizontal="center"/>
    </xf>
    <xf numFmtId="1" fontId="19" fillId="0" borderId="0" xfId="0" applyNumberFormat="1" applyFont="1" applyFill="1" applyAlignment="1">
      <alignment/>
    </xf>
    <xf numFmtId="171" fontId="19" fillId="0" borderId="0" xfId="0" applyNumberFormat="1" applyFont="1" applyFill="1" applyAlignment="1">
      <alignment/>
    </xf>
    <xf numFmtId="171" fontId="19" fillId="0" borderId="5" xfId="0" applyNumberFormat="1" applyFont="1" applyFill="1" applyBorder="1" applyAlignment="1">
      <alignment/>
    </xf>
    <xf numFmtId="171" fontId="19" fillId="0" borderId="0" xfId="0" applyNumberFormat="1" applyFont="1" applyFill="1" applyBorder="1" applyAlignment="1">
      <alignment/>
    </xf>
    <xf numFmtId="171" fontId="0" fillId="0" borderId="0" xfId="0" applyNumberFormat="1" applyFill="1" applyBorder="1" applyAlignment="1">
      <alignment/>
    </xf>
    <xf numFmtId="0" fontId="0" fillId="0" borderId="0" xfId="0" applyFill="1" applyAlignment="1">
      <alignment/>
    </xf>
    <xf numFmtId="0" fontId="0" fillId="0" borderId="0" xfId="0" applyFont="1" applyFill="1" applyBorder="1" applyAlignment="1">
      <alignment vertical="center"/>
    </xf>
    <xf numFmtId="1" fontId="6" fillId="0" borderId="0" xfId="0" applyNumberFormat="1" applyFont="1" applyFill="1" applyAlignment="1">
      <alignment horizontal="center"/>
    </xf>
    <xf numFmtId="0" fontId="1" fillId="0" borderId="0" xfId="0" applyFont="1" applyFill="1" applyAlignment="1">
      <alignment/>
    </xf>
    <xf numFmtId="0" fontId="1" fillId="0" borderId="0" xfId="0" applyFont="1" applyFill="1" applyAlignment="1">
      <alignment/>
    </xf>
    <xf numFmtId="0" fontId="1" fillId="0" borderId="0" xfId="0" applyFont="1" applyFill="1" applyBorder="1" applyAlignment="1">
      <alignment vertical="center"/>
    </xf>
    <xf numFmtId="1" fontId="1" fillId="0" borderId="0" xfId="0" applyNumberFormat="1" applyFont="1" applyFill="1" applyAlignment="1">
      <alignment/>
    </xf>
    <xf numFmtId="171" fontId="1" fillId="0" borderId="0" xfId="0" applyNumberFormat="1" applyFont="1" applyFill="1" applyAlignment="1">
      <alignment/>
    </xf>
    <xf numFmtId="0" fontId="0" fillId="0" borderId="0" xfId="0" applyFill="1" applyAlignment="1">
      <alignment wrapText="1"/>
    </xf>
    <xf numFmtId="186" fontId="0" fillId="0" borderId="0" xfId="21" applyNumberFormat="1" applyFill="1" applyAlignment="1">
      <alignment/>
    </xf>
    <xf numFmtId="0" fontId="1" fillId="0" borderId="0" xfId="0" applyFont="1" applyFill="1" applyAlignment="1">
      <alignment wrapText="1"/>
    </xf>
    <xf numFmtId="0" fontId="6" fillId="0" borderId="0" xfId="0" applyFont="1" applyFill="1" applyAlignment="1">
      <alignment/>
    </xf>
    <xf numFmtId="43" fontId="0" fillId="0" borderId="0" xfId="0" applyNumberFormat="1" applyFill="1" applyAlignment="1">
      <alignment/>
    </xf>
    <xf numFmtId="185" fontId="0" fillId="0" borderId="0" xfId="21" applyNumberFormat="1" applyFill="1" applyAlignment="1">
      <alignment/>
    </xf>
    <xf numFmtId="171" fontId="1" fillId="0" borderId="0" xfId="15" applyNumberFormat="1" applyFont="1" applyFill="1" applyAlignment="1">
      <alignment/>
    </xf>
    <xf numFmtId="169" fontId="0" fillId="0" borderId="0" xfId="0" applyNumberFormat="1" applyFill="1" applyAlignment="1">
      <alignment/>
    </xf>
    <xf numFmtId="169" fontId="0" fillId="0" borderId="0" xfId="21" applyNumberFormat="1" applyFill="1" applyAlignment="1">
      <alignment/>
    </xf>
    <xf numFmtId="37" fontId="19" fillId="0" borderId="0" xfId="15" applyNumberFormat="1" applyFont="1" applyFill="1" applyAlignment="1">
      <alignment/>
    </xf>
    <xf numFmtId="171" fontId="19" fillId="0" borderId="0" xfId="15" applyNumberFormat="1" applyFont="1" applyFill="1" applyAlignment="1">
      <alignment/>
    </xf>
    <xf numFmtId="9" fontId="0" fillId="0" borderId="0" xfId="21" applyNumberFormat="1" applyFill="1" applyAlignment="1">
      <alignment/>
    </xf>
    <xf numFmtId="3" fontId="19" fillId="0" borderId="0" xfId="0" applyNumberFormat="1" applyFont="1" applyFill="1" applyAlignment="1">
      <alignment/>
    </xf>
    <xf numFmtId="3" fontId="19" fillId="0" borderId="0" xfId="0" applyNumberFormat="1" applyFont="1" applyFill="1" applyAlignment="1">
      <alignment/>
    </xf>
    <xf numFmtId="1" fontId="1" fillId="0" borderId="0" xfId="0" applyNumberFormat="1" applyFont="1" applyFill="1" applyAlignment="1">
      <alignment horizontal="center"/>
    </xf>
    <xf numFmtId="9" fontId="0" fillId="0" borderId="0" xfId="21" applyFill="1" applyAlignment="1">
      <alignment/>
    </xf>
    <xf numFmtId="0" fontId="19" fillId="0" borderId="0" xfId="0" applyFont="1" applyFill="1" applyAlignment="1">
      <alignment horizontal="center"/>
    </xf>
    <xf numFmtId="171" fontId="0" fillId="0" borderId="0" xfId="15" applyNumberFormat="1" applyFont="1" applyFill="1" applyAlignment="1">
      <alignment/>
    </xf>
    <xf numFmtId="37" fontId="19" fillId="0" borderId="0" xfId="0" applyNumberFormat="1" applyFont="1" applyFill="1" applyAlignment="1">
      <alignment/>
    </xf>
    <xf numFmtId="0" fontId="1" fillId="7" borderId="11" xfId="0" applyFont="1" applyFill="1" applyBorder="1" applyAlignment="1">
      <alignment/>
    </xf>
    <xf numFmtId="0" fontId="0" fillId="7" borderId="12" xfId="0" applyFill="1" applyBorder="1" applyAlignment="1">
      <alignment/>
    </xf>
    <xf numFmtId="172" fontId="0" fillId="0" borderId="0" xfId="0" applyNumberFormat="1" applyFill="1" applyAlignment="1">
      <alignment/>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171" fontId="0" fillId="0" borderId="0" xfId="15" applyNumberFormat="1" applyFont="1" applyFill="1" applyAlignment="1">
      <alignment horizontal="right"/>
    </xf>
    <xf numFmtId="169" fontId="0" fillId="0" borderId="0" xfId="21" applyNumberFormat="1" applyFont="1" applyFill="1" applyAlignment="1">
      <alignment horizontal="right"/>
    </xf>
    <xf numFmtId="172" fontId="0" fillId="0" borderId="0" xfId="21" applyNumberFormat="1" applyFont="1" applyFill="1" applyAlignment="1">
      <alignment horizontal="right"/>
    </xf>
    <xf numFmtId="180" fontId="0" fillId="0" borderId="0" xfId="21" applyNumberFormat="1" applyFont="1" applyFill="1" applyAlignment="1">
      <alignment horizontal="right"/>
    </xf>
    <xf numFmtId="171" fontId="0" fillId="0" borderId="0" xfId="15" applyNumberFormat="1" applyFont="1" applyFill="1" applyAlignment="1">
      <alignment horizontal="center"/>
    </xf>
    <xf numFmtId="170" fontId="0" fillId="0" borderId="0" xfId="15" applyNumberFormat="1" applyFont="1" applyFill="1" applyAlignment="1">
      <alignment horizontal="right"/>
    </xf>
    <xf numFmtId="9" fontId="0" fillId="0" borderId="0" xfId="21" applyFont="1" applyFill="1" applyAlignment="1">
      <alignment horizontal="center"/>
    </xf>
    <xf numFmtId="9" fontId="0" fillId="0" borderId="0" xfId="0" applyNumberFormat="1" applyFont="1" applyFill="1" applyAlignment="1">
      <alignment horizontal="center"/>
    </xf>
    <xf numFmtId="171" fontId="0" fillId="0" borderId="0" xfId="15" applyNumberFormat="1" applyFont="1" applyFill="1" applyBorder="1" applyAlignment="1">
      <alignment horizontal="center" vertical="top" wrapText="1"/>
    </xf>
    <xf numFmtId="169" fontId="0" fillId="0" borderId="0" xfId="21" applyNumberFormat="1" applyFont="1" applyFill="1" applyBorder="1" applyAlignment="1">
      <alignment horizontal="center"/>
    </xf>
    <xf numFmtId="2" fontId="0" fillId="0" borderId="0" xfId="21" applyNumberFormat="1" applyFont="1" applyFill="1" applyBorder="1" applyAlignment="1">
      <alignment horizontal="center"/>
    </xf>
    <xf numFmtId="171" fontId="1" fillId="0" borderId="0" xfId="15" applyNumberFormat="1" applyFont="1" applyFill="1" applyAlignment="1">
      <alignment horizontal="center"/>
    </xf>
    <xf numFmtId="169" fontId="0" fillId="0" borderId="0" xfId="0" applyNumberFormat="1" applyFont="1" applyFill="1" applyAlignment="1">
      <alignment horizontal="center"/>
    </xf>
    <xf numFmtId="169" fontId="0" fillId="0" borderId="0" xfId="0" applyNumberFormat="1" applyFont="1" applyFill="1" applyAlignment="1">
      <alignment horizontal="center" vertical="center"/>
    </xf>
    <xf numFmtId="171" fontId="0" fillId="0" borderId="0" xfId="15" applyNumberFormat="1" applyFont="1" applyFill="1" applyBorder="1" applyAlignment="1">
      <alignment horizontal="center" vertical="center" wrapText="1"/>
    </xf>
    <xf numFmtId="9" fontId="0" fillId="0" borderId="0" xfId="21" applyFont="1" applyFill="1" applyBorder="1" applyAlignment="1">
      <alignment horizontal="center" vertical="center" wrapText="1"/>
    </xf>
    <xf numFmtId="9" fontId="0" fillId="0" borderId="0" xfId="21" applyFont="1" applyFill="1" applyBorder="1" applyAlignment="1">
      <alignment horizontal="center" vertical="top" wrapText="1"/>
    </xf>
    <xf numFmtId="2" fontId="0" fillId="0" borderId="0" xfId="21" applyNumberFormat="1" applyFont="1" applyFill="1" applyBorder="1" applyAlignment="1">
      <alignment horizontal="center" vertical="top" wrapText="1"/>
    </xf>
    <xf numFmtId="1" fontId="0" fillId="0" borderId="0" xfId="21" applyNumberFormat="1" applyFont="1" applyFill="1" applyBorder="1" applyAlignment="1">
      <alignment horizontal="center" vertical="top" wrapText="1"/>
    </xf>
    <xf numFmtId="169" fontId="0" fillId="0" borderId="0" xfId="21" applyNumberFormat="1" applyFont="1" applyFill="1" applyBorder="1" applyAlignment="1">
      <alignment horizontal="center" vertical="top" wrapText="1"/>
    </xf>
    <xf numFmtId="169" fontId="0" fillId="0" borderId="0" xfId="21" applyNumberFormat="1" applyFont="1" applyFill="1" applyBorder="1" applyAlignment="1">
      <alignment horizontal="center" vertical="center" wrapText="1"/>
    </xf>
    <xf numFmtId="171" fontId="0" fillId="0" borderId="0" xfId="21" applyNumberFormat="1" applyFont="1" applyFill="1" applyBorder="1" applyAlignment="1">
      <alignment horizontal="center" vertical="top" wrapText="1"/>
    </xf>
    <xf numFmtId="9" fontId="0" fillId="0" borderId="0" xfId="21" applyNumberFormat="1" applyFont="1" applyFill="1" applyBorder="1" applyAlignment="1">
      <alignment horizontal="center" vertical="center" wrapText="1"/>
    </xf>
    <xf numFmtId="9" fontId="0" fillId="0" borderId="0" xfId="0" applyNumberFormat="1" applyFont="1" applyFill="1" applyAlignment="1">
      <alignment horizontal="center" vertical="center"/>
    </xf>
    <xf numFmtId="9" fontId="0" fillId="0" borderId="0" xfId="21" applyFont="1" applyFill="1" applyAlignment="1">
      <alignment horizontal="center" vertical="center"/>
    </xf>
    <xf numFmtId="9" fontId="0" fillId="0" borderId="0" xfId="21" applyNumberFormat="1" applyFont="1" applyFill="1" applyAlignment="1">
      <alignment horizontal="center"/>
    </xf>
    <xf numFmtId="11" fontId="0" fillId="0" borderId="0" xfId="15" applyNumberFormat="1" applyFont="1" applyFill="1" applyAlignment="1">
      <alignment wrapText="1"/>
    </xf>
    <xf numFmtId="171" fontId="0" fillId="0" borderId="0" xfId="0" applyNumberFormat="1" applyFont="1" applyFill="1" applyAlignment="1">
      <alignment horizontal="center"/>
    </xf>
    <xf numFmtId="169" fontId="0" fillId="0" borderId="0" xfId="21" applyNumberFormat="1" applyFont="1" applyFill="1" applyAlignment="1">
      <alignment horizontal="center"/>
    </xf>
    <xf numFmtId="1" fontId="0" fillId="0" borderId="0" xfId="21" applyNumberFormat="1" applyFont="1" applyFill="1" applyAlignment="1">
      <alignment horizontal="center"/>
    </xf>
    <xf numFmtId="39" fontId="0" fillId="0" borderId="0" xfId="17" applyNumberFormat="1" applyFont="1" applyFill="1" applyAlignment="1">
      <alignment horizontal="center" vertical="center"/>
    </xf>
    <xf numFmtId="37" fontId="0" fillId="0" borderId="0" xfId="17" applyNumberFormat="1" applyFont="1" applyFill="1" applyAlignment="1">
      <alignment horizontal="center" vertical="center"/>
    </xf>
    <xf numFmtId="9" fontId="0" fillId="0" borderId="0" xfId="21" applyFont="1" applyFill="1" applyAlignment="1" quotePrefix="1">
      <alignment horizontal="center" vertical="center"/>
    </xf>
    <xf numFmtId="1" fontId="0" fillId="0" borderId="0" xfId="0" applyNumberFormat="1" applyFont="1" applyFill="1" applyAlignment="1">
      <alignment horizontal="center"/>
    </xf>
    <xf numFmtId="37" fontId="0" fillId="0" borderId="0" xfId="0" applyNumberFormat="1" applyAlignment="1">
      <alignment/>
    </xf>
    <xf numFmtId="37" fontId="0" fillId="0" borderId="0" xfId="0" applyNumberFormat="1" applyFill="1" applyAlignment="1">
      <alignment/>
    </xf>
    <xf numFmtId="0" fontId="0" fillId="0" borderId="0" xfId="0" applyFont="1" applyFill="1" applyAlignment="1">
      <alignment horizontal="center"/>
    </xf>
    <xf numFmtId="171" fontId="0" fillId="0" borderId="0" xfId="15" applyNumberFormat="1" applyFont="1" applyFill="1" applyAlignment="1">
      <alignment horizontal="center"/>
    </xf>
    <xf numFmtId="171" fontId="0" fillId="0" borderId="0" xfId="0" applyNumberFormat="1" applyFont="1" applyAlignment="1">
      <alignment/>
    </xf>
    <xf numFmtId="176" fontId="0" fillId="0" borderId="0" xfId="17" applyNumberFormat="1" applyFont="1" applyFill="1" applyBorder="1" applyAlignment="1">
      <alignment horizontal="center" vertical="top" wrapText="1"/>
    </xf>
    <xf numFmtId="0" fontId="22" fillId="0" borderId="0" xfId="0" applyFont="1" applyAlignment="1">
      <alignment/>
    </xf>
    <xf numFmtId="0" fontId="23" fillId="0" borderId="0" xfId="0" applyFont="1" applyFill="1" applyBorder="1" applyAlignment="1">
      <alignment/>
    </xf>
    <xf numFmtId="0" fontId="23" fillId="0" borderId="0" xfId="0" applyFont="1" applyAlignment="1">
      <alignment/>
    </xf>
    <xf numFmtId="1" fontId="23" fillId="0" borderId="0" xfId="0" applyNumberFormat="1" applyFont="1" applyAlignment="1">
      <alignment/>
    </xf>
    <xf numFmtId="0" fontId="23" fillId="0" borderId="0" xfId="0" applyFont="1" applyFill="1" applyAlignment="1">
      <alignment/>
    </xf>
    <xf numFmtId="0" fontId="22" fillId="0" borderId="0" xfId="0" applyFont="1" applyFill="1" applyBorder="1" applyAlignment="1">
      <alignment/>
    </xf>
    <xf numFmtId="0" fontId="23" fillId="0" borderId="0" xfId="0" applyFont="1" applyBorder="1" applyAlignment="1">
      <alignment vertical="center"/>
    </xf>
    <xf numFmtId="10" fontId="23" fillId="0" borderId="0" xfId="0" applyNumberFormat="1" applyFont="1" applyAlignment="1">
      <alignment/>
    </xf>
    <xf numFmtId="10" fontId="22" fillId="0" borderId="0" xfId="0" applyNumberFormat="1" applyFont="1" applyAlignment="1">
      <alignment/>
    </xf>
    <xf numFmtId="0" fontId="23" fillId="0" borderId="0" xfId="0" applyFont="1" applyFill="1" applyBorder="1" applyAlignment="1">
      <alignment vertical="center"/>
    </xf>
    <xf numFmtId="10" fontId="23" fillId="0" borderId="0" xfId="0" applyNumberFormat="1" applyFont="1" applyFill="1" applyAlignment="1">
      <alignment/>
    </xf>
    <xf numFmtId="9" fontId="23" fillId="0" borderId="0" xfId="0" applyNumberFormat="1" applyFont="1" applyFill="1" applyBorder="1" applyAlignment="1">
      <alignment/>
    </xf>
    <xf numFmtId="9" fontId="0" fillId="0" borderId="0" xfId="0" applyNumberFormat="1" applyFont="1" applyAlignment="1">
      <alignment/>
    </xf>
    <xf numFmtId="0" fontId="0" fillId="0" borderId="0" xfId="0" applyFont="1" applyAlignment="1">
      <alignment horizontal="center"/>
    </xf>
    <xf numFmtId="3" fontId="1" fillId="0" borderId="0" xfId="0" applyNumberFormat="1" applyFont="1" applyAlignment="1">
      <alignment/>
    </xf>
    <xf numFmtId="0" fontId="1" fillId="0" borderId="0" xfId="0" applyFont="1" applyAlignment="1">
      <alignment horizontal="right"/>
    </xf>
    <xf numFmtId="0" fontId="27" fillId="0" borderId="0" xfId="0" applyFont="1" applyAlignment="1">
      <alignment/>
    </xf>
    <xf numFmtId="0" fontId="0" fillId="0" borderId="33" xfId="0" applyFont="1" applyBorder="1" applyAlignment="1">
      <alignment horizontal="center" vertical="center" wrapText="1"/>
    </xf>
    <xf numFmtId="169" fontId="0" fillId="0" borderId="14" xfId="0" applyNumberFormat="1" applyBorder="1" applyAlignment="1">
      <alignment horizontal="center" vertical="center"/>
    </xf>
    <xf numFmtId="3" fontId="0" fillId="0" borderId="14" xfId="15" applyNumberFormat="1" applyBorder="1" applyAlignment="1">
      <alignment horizontal="center" vertical="center"/>
    </xf>
    <xf numFmtId="0" fontId="28" fillId="0" borderId="0" xfId="0" applyFont="1" applyAlignment="1">
      <alignment/>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169" fontId="31" fillId="0" borderId="0" xfId="21" applyNumberFormat="1" applyFont="1" applyFill="1" applyBorder="1" applyAlignment="1">
      <alignment horizontal="center" vertical="center" wrapText="1"/>
    </xf>
    <xf numFmtId="171" fontId="31" fillId="0" borderId="0" xfId="15" applyNumberFormat="1" applyFont="1" applyFill="1" applyAlignment="1">
      <alignment horizontal="center"/>
    </xf>
    <xf numFmtId="169" fontId="31" fillId="0" borderId="0" xfId="21" applyNumberFormat="1" applyFont="1" applyFill="1" applyAlignment="1">
      <alignment horizontal="center"/>
    </xf>
    <xf numFmtId="9" fontId="31" fillId="0" borderId="0" xfId="0" applyNumberFormat="1" applyFont="1" applyFill="1" applyAlignment="1">
      <alignment horizontal="center"/>
    </xf>
    <xf numFmtId="0" fontId="2" fillId="0" borderId="0" xfId="0" applyFont="1" applyAlignment="1">
      <alignment/>
    </xf>
    <xf numFmtId="0" fontId="34" fillId="0" borderId="0" xfId="0" applyFont="1" applyAlignment="1">
      <alignment horizontal="right"/>
    </xf>
    <xf numFmtId="14" fontId="34" fillId="0" borderId="0" xfId="0" applyNumberFormat="1" applyFont="1" applyAlignment="1">
      <alignment horizontal="left"/>
    </xf>
    <xf numFmtId="0" fontId="0" fillId="0" borderId="41" xfId="0" applyFont="1" applyFill="1" applyBorder="1" applyAlignment="1">
      <alignment horizontal="left" vertical="center" wrapText="1"/>
    </xf>
    <xf numFmtId="169" fontId="1" fillId="0" borderId="30" xfId="0" applyNumberFormat="1" applyFont="1" applyBorder="1" applyAlignment="1">
      <alignment horizontal="center"/>
    </xf>
    <xf numFmtId="169" fontId="29" fillId="0" borderId="0" xfId="21" applyNumberFormat="1" applyFont="1" applyFill="1" applyBorder="1" applyAlignment="1">
      <alignment horizontal="center"/>
    </xf>
    <xf numFmtId="169" fontId="29" fillId="7" borderId="30" xfId="21" applyNumberFormat="1" applyFont="1" applyFill="1" applyBorder="1" applyAlignment="1">
      <alignment horizontal="center"/>
    </xf>
    <xf numFmtId="0" fontId="0" fillId="0" borderId="3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4" xfId="0" applyBorder="1" applyAlignment="1">
      <alignment horizontal="left" wrapText="1"/>
    </xf>
    <xf numFmtId="0" fontId="0" fillId="0" borderId="14" xfId="0" applyFont="1" applyBorder="1" applyAlignment="1">
      <alignment horizontal="justify" vertical="center" wrapText="1"/>
    </xf>
    <xf numFmtId="0" fontId="0" fillId="0" borderId="26" xfId="0" applyFont="1" applyFill="1" applyBorder="1" applyAlignment="1">
      <alignment horizontal="justify" vertical="center" wrapText="1"/>
    </xf>
    <xf numFmtId="169" fontId="0" fillId="0" borderId="26" xfId="0" applyNumberFormat="1" applyBorder="1" applyAlignment="1">
      <alignment horizontal="center" vertical="center"/>
    </xf>
    <xf numFmtId="0" fontId="0" fillId="0" borderId="23" xfId="0" applyBorder="1" applyAlignment="1">
      <alignment vertical="center" wrapText="1"/>
    </xf>
    <xf numFmtId="169" fontId="0" fillId="0" borderId="23" xfId="0" applyNumberForma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wrapText="1"/>
    </xf>
    <xf numFmtId="9" fontId="0" fillId="0" borderId="14"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0" fontId="3" fillId="0" borderId="0" xfId="0" applyFont="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23" fillId="0" borderId="43" xfId="0" applyFont="1" applyBorder="1" applyAlignment="1">
      <alignment horizontal="left" vertical="center" wrapText="1"/>
    </xf>
    <xf numFmtId="0" fontId="36" fillId="0" borderId="32" xfId="0" applyFont="1" applyFill="1" applyBorder="1" applyAlignment="1">
      <alignment horizontal="center" vertical="center" wrapText="1"/>
    </xf>
    <xf numFmtId="0" fontId="37" fillId="0" borderId="0" xfId="0" applyFont="1" applyAlignment="1">
      <alignment horizontal="center" vertical="center"/>
    </xf>
    <xf numFmtId="0" fontId="0" fillId="0" borderId="0" xfId="0" applyBorder="1" applyAlignment="1">
      <alignment vertical="center" wrapText="1"/>
    </xf>
    <xf numFmtId="0" fontId="0" fillId="0" borderId="9" xfId="0" applyBorder="1" applyAlignment="1">
      <alignment vertical="center" wrapText="1"/>
    </xf>
    <xf numFmtId="0" fontId="1" fillId="0" borderId="0" xfId="0" applyFont="1" applyFill="1" applyBorder="1" applyAlignment="1">
      <alignment/>
    </xf>
    <xf numFmtId="9" fontId="30" fillId="8" borderId="0" xfId="0" applyNumberFormat="1" applyFont="1" applyFill="1" applyAlignment="1">
      <alignment/>
    </xf>
    <xf numFmtId="0" fontId="0" fillId="0" borderId="29" xfId="0" applyFont="1" applyBorder="1" applyAlignment="1">
      <alignment vertical="center"/>
    </xf>
    <xf numFmtId="0" fontId="0" fillId="0" borderId="32" xfId="0" applyFont="1" applyBorder="1" applyAlignment="1">
      <alignment vertical="center"/>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3"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1" fillId="0" borderId="30" xfId="0" applyFont="1" applyBorder="1" applyAlignment="1">
      <alignment vertical="center"/>
    </xf>
    <xf numFmtId="0" fontId="31" fillId="0" borderId="29" xfId="20" applyFont="1" applyBorder="1" applyAlignment="1">
      <alignment vertical="center"/>
    </xf>
    <xf numFmtId="0" fontId="31" fillId="0" borderId="32" xfId="20" applyFont="1" applyBorder="1" applyAlignment="1">
      <alignment vertical="center"/>
    </xf>
    <xf numFmtId="9" fontId="0" fillId="9" borderId="44" xfId="0" applyNumberFormat="1" applyFont="1" applyFill="1" applyBorder="1" applyAlignment="1">
      <alignment horizontal="center" vertical="center" wrapText="1"/>
    </xf>
    <xf numFmtId="9" fontId="0" fillId="9" borderId="45" xfId="0" applyNumberFormat="1" applyFont="1" applyFill="1" applyBorder="1" applyAlignment="1">
      <alignment horizontal="center" vertical="center" wrapText="1"/>
    </xf>
    <xf numFmtId="169" fontId="0" fillId="9" borderId="43" xfId="15" applyNumberFormat="1" applyFont="1" applyFill="1" applyBorder="1" applyAlignment="1">
      <alignment horizontal="center" vertical="center"/>
    </xf>
    <xf numFmtId="169" fontId="0" fillId="9" borderId="29" xfId="15" applyNumberFormat="1" applyFont="1" applyFill="1" applyBorder="1" applyAlignment="1">
      <alignment horizontal="center" vertical="center"/>
    </xf>
    <xf numFmtId="37" fontId="0" fillId="9" borderId="29" xfId="15" applyNumberFormat="1" applyFont="1" applyFill="1" applyBorder="1" applyAlignment="1">
      <alignment horizontal="center" vertical="center"/>
    </xf>
    <xf numFmtId="169" fontId="0" fillId="9" borderId="32" xfId="15" applyNumberFormat="1" applyFont="1" applyFill="1" applyBorder="1" applyAlignment="1">
      <alignment horizontal="center" vertical="center"/>
    </xf>
    <xf numFmtId="9" fontId="30" fillId="8" borderId="29" xfId="0" applyNumberFormat="1" applyFont="1" applyFill="1" applyBorder="1" applyAlignment="1">
      <alignment horizontal="center" vertical="center" wrapText="1"/>
    </xf>
    <xf numFmtId="9" fontId="30" fillId="8" borderId="32" xfId="0" applyNumberFormat="1" applyFont="1" applyFill="1" applyBorder="1" applyAlignment="1">
      <alignment horizontal="center" vertical="center" wrapText="1"/>
    </xf>
    <xf numFmtId="169" fontId="30" fillId="8" borderId="43" xfId="0" applyNumberFormat="1" applyFont="1" applyFill="1" applyBorder="1" applyAlignment="1">
      <alignment horizontal="center" vertical="center"/>
    </xf>
    <xf numFmtId="169" fontId="30" fillId="8" borderId="29" xfId="0" applyNumberFormat="1" applyFont="1" applyFill="1" applyBorder="1" applyAlignment="1">
      <alignment horizontal="center" vertical="center"/>
    </xf>
    <xf numFmtId="3" fontId="30" fillId="8" borderId="29" xfId="15" applyNumberFormat="1" applyFont="1" applyFill="1" applyBorder="1" applyAlignment="1">
      <alignment horizontal="center" vertical="center"/>
    </xf>
    <xf numFmtId="169" fontId="30" fillId="8" borderId="32" xfId="0" applyNumberFormat="1" applyFont="1" applyFill="1" applyBorder="1" applyAlignment="1">
      <alignment horizontal="center" vertical="center"/>
    </xf>
    <xf numFmtId="14" fontId="34" fillId="0" borderId="0" xfId="0" applyNumberFormat="1" applyFont="1" applyAlignment="1">
      <alignment horizontal="right"/>
    </xf>
    <xf numFmtId="0" fontId="30" fillId="0" borderId="33" xfId="0" applyFont="1" applyBorder="1" applyAlignment="1">
      <alignment horizontal="center" vertical="center" wrapText="1"/>
    </xf>
    <xf numFmtId="0" fontId="0" fillId="0" borderId="0" xfId="0" applyBorder="1" applyAlignment="1">
      <alignment vertical="top"/>
    </xf>
    <xf numFmtId="0" fontId="0" fillId="0" borderId="0" xfId="0" applyBorder="1" applyAlignment="1">
      <alignment horizontal="left" vertical="top"/>
    </xf>
    <xf numFmtId="0" fontId="27" fillId="0" borderId="0" xfId="0" applyFont="1" applyBorder="1" applyAlignment="1">
      <alignment/>
    </xf>
    <xf numFmtId="0" fontId="28" fillId="0" borderId="0" xfId="0" applyFont="1" applyBorder="1" applyAlignment="1">
      <alignment/>
    </xf>
    <xf numFmtId="0" fontId="0" fillId="0" borderId="0" xfId="0" applyNumberFormat="1" applyBorder="1" applyAlignment="1">
      <alignment wrapText="1"/>
    </xf>
    <xf numFmtId="0" fontId="0" fillId="0" borderId="0" xfId="0" applyBorder="1" applyAlignment="1">
      <alignment wrapText="1"/>
    </xf>
    <xf numFmtId="14" fontId="34" fillId="0" borderId="0" xfId="0" applyNumberFormat="1" applyFont="1" applyBorder="1" applyAlignment="1">
      <alignment horizontal="right"/>
    </xf>
    <xf numFmtId="0" fontId="0" fillId="0" borderId="0" xfId="0" applyNumberFormat="1" applyBorder="1" applyAlignment="1">
      <alignment horizontal="left" wrapText="1"/>
    </xf>
    <xf numFmtId="0" fontId="0" fillId="0" borderId="0" xfId="0" applyNumberFormat="1" applyBorder="1" applyAlignment="1">
      <alignment vertical="top" wrapText="1"/>
    </xf>
    <xf numFmtId="0" fontId="1" fillId="0" borderId="46" xfId="0" applyFont="1" applyBorder="1" applyAlignment="1">
      <alignment horizontal="center" vertical="center" wrapText="1"/>
    </xf>
    <xf numFmtId="0" fontId="0" fillId="0" borderId="47" xfId="0" applyFont="1" applyBorder="1" applyAlignment="1">
      <alignment horizontal="left" vertical="center" wrapText="1"/>
    </xf>
    <xf numFmtId="14" fontId="0" fillId="0" borderId="48" xfId="0" applyNumberFormat="1" applyFont="1" applyBorder="1" applyAlignment="1">
      <alignment horizontal="left" vertical="center" wrapText="1"/>
    </xf>
    <xf numFmtId="0" fontId="0" fillId="0" borderId="49" xfId="0" applyFont="1" applyBorder="1" applyAlignment="1">
      <alignment horizontal="left" vertical="center" wrapText="1"/>
    </xf>
    <xf numFmtId="0" fontId="0" fillId="0" borderId="48" xfId="0" applyFont="1" applyBorder="1" applyAlignment="1">
      <alignment vertical="center" wrapText="1"/>
    </xf>
    <xf numFmtId="0" fontId="0" fillId="0" borderId="50" xfId="0" applyFont="1" applyBorder="1" applyAlignment="1">
      <alignment vertical="center" wrapText="1"/>
    </xf>
    <xf numFmtId="0" fontId="0" fillId="0" borderId="47" xfId="0" applyFont="1" applyBorder="1" applyAlignment="1">
      <alignment vertical="center" wrapText="1"/>
    </xf>
    <xf numFmtId="0" fontId="0" fillId="0" borderId="49" xfId="0" applyFont="1" applyBorder="1" applyAlignment="1">
      <alignment vertical="center" wrapText="1"/>
    </xf>
    <xf numFmtId="0" fontId="0" fillId="0" borderId="48" xfId="0" applyFont="1" applyBorder="1" applyAlignment="1">
      <alignment horizontal="left" vertical="center" wrapText="1"/>
    </xf>
    <xf numFmtId="0" fontId="10" fillId="0" borderId="47" xfId="20" applyBorder="1" applyAlignment="1">
      <alignment vertical="center" wrapText="1"/>
    </xf>
    <xf numFmtId="0" fontId="10" fillId="0" borderId="47" xfId="20" applyFill="1" applyBorder="1" applyAlignment="1">
      <alignment vertical="center" wrapText="1"/>
    </xf>
    <xf numFmtId="0" fontId="0" fillId="0" borderId="47" xfId="0" applyBorder="1" applyAlignment="1">
      <alignment vertical="center" wrapText="1"/>
    </xf>
    <xf numFmtId="0" fontId="0" fillId="0" borderId="51" xfId="0" applyBorder="1" applyAlignment="1">
      <alignment vertical="center"/>
    </xf>
    <xf numFmtId="0" fontId="0" fillId="0" borderId="51" xfId="0" applyFont="1" applyBorder="1" applyAlignment="1">
      <alignment horizontal="left" vertical="center" wrapText="1"/>
    </xf>
    <xf numFmtId="0" fontId="0" fillId="0" borderId="47" xfId="0" applyNumberFormat="1" applyBorder="1" applyAlignment="1">
      <alignment vertical="center" wrapText="1"/>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18" xfId="0" applyBorder="1" applyAlignment="1">
      <alignment wrapText="1"/>
    </xf>
    <xf numFmtId="0" fontId="0" fillId="0" borderId="0" xfId="0" applyAlignment="1">
      <alignment/>
    </xf>
    <xf numFmtId="0" fontId="0" fillId="0" borderId="0" xfId="0" applyAlignment="1">
      <alignment horizontal="center"/>
    </xf>
    <xf numFmtId="0" fontId="0" fillId="0" borderId="0" xfId="0" applyFont="1" applyBorder="1" applyAlignment="1">
      <alignment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3"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0" xfId="0" applyFill="1" applyAlignment="1">
      <alignment horizontal="center"/>
    </xf>
    <xf numFmtId="0" fontId="0" fillId="0" borderId="17" xfId="0" applyBorder="1" applyAlignment="1">
      <alignment wrapText="1"/>
    </xf>
    <xf numFmtId="43" fontId="0" fillId="7" borderId="11" xfId="15" applyFill="1" applyBorder="1" applyAlignment="1">
      <alignment horizontal="center"/>
    </xf>
    <xf numFmtId="43" fontId="0" fillId="7" borderId="3" xfId="15" applyFill="1" applyBorder="1" applyAlignment="1">
      <alignment horizontal="center"/>
    </xf>
    <xf numFmtId="0" fontId="19" fillId="0" borderId="0" xfId="0" applyFont="1" applyAlignment="1">
      <alignment wrapText="1"/>
    </xf>
    <xf numFmtId="9" fontId="0" fillId="0" borderId="0" xfId="0" applyNumberFormat="1" applyAlignment="1">
      <alignment/>
    </xf>
    <xf numFmtId="0" fontId="0" fillId="0" borderId="41" xfId="0" applyFont="1" applyBorder="1" applyAlignment="1">
      <alignment horizontal="left" vertical="center" wrapText="1"/>
    </xf>
    <xf numFmtId="0" fontId="0" fillId="0" borderId="40" xfId="0" applyFont="1" applyBorder="1" applyAlignment="1">
      <alignment horizontal="left" vertical="center" wrapText="1"/>
    </xf>
    <xf numFmtId="0" fontId="0" fillId="0" borderId="38" xfId="0" applyFont="1" applyBorder="1" applyAlignment="1">
      <alignment horizontal="left" vertical="center" wrapText="1"/>
    </xf>
    <xf numFmtId="0" fontId="27" fillId="0" borderId="0" xfId="0" applyFont="1" applyAlignment="1">
      <alignment horizontal="center" vertical="center"/>
    </xf>
    <xf numFmtId="0" fontId="0" fillId="0" borderId="40" xfId="0" applyFont="1" applyFill="1" applyBorder="1" applyAlignment="1">
      <alignment horizontal="left" vertical="top" wrapText="1"/>
    </xf>
    <xf numFmtId="0" fontId="0" fillId="0" borderId="0" xfId="0" applyBorder="1" applyAlignment="1">
      <alignment horizontal="left" vertical="top"/>
    </xf>
    <xf numFmtId="0" fontId="0" fillId="0" borderId="0" xfId="0" applyNumberFormat="1" applyBorder="1" applyAlignment="1">
      <alignment horizontal="left" wrapText="1"/>
    </xf>
    <xf numFmtId="0" fontId="1" fillId="0" borderId="0" xfId="0" applyNumberFormat="1" applyFont="1" applyBorder="1" applyAlignment="1">
      <alignment horizontal="left" wrapText="1"/>
    </xf>
    <xf numFmtId="0" fontId="1" fillId="0" borderId="0" xfId="0" applyFont="1" applyBorder="1" applyAlignment="1">
      <alignment horizontal="left" wrapText="1"/>
    </xf>
    <xf numFmtId="0" fontId="1" fillId="0" borderId="0" xfId="0" applyFont="1" applyFill="1" applyAlignment="1">
      <alignment horizontal="left" vertical="center" wrapText="1"/>
    </xf>
    <xf numFmtId="0" fontId="3" fillId="0" borderId="5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0" fillId="0" borderId="0" xfId="0" applyAlignment="1">
      <alignment horizontal="left" wrapText="1"/>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6"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8" borderId="0" xfId="0" applyFont="1" applyFill="1" applyBorder="1" applyAlignment="1">
      <alignment horizontal="left"/>
    </xf>
    <xf numFmtId="0" fontId="0" fillId="8" borderId="0" xfId="0" applyFont="1" applyFill="1" applyAlignment="1">
      <alignment horizontal="left"/>
    </xf>
    <xf numFmtId="9" fontId="0" fillId="7" borderId="12" xfId="0" applyNumberFormat="1" applyFill="1" applyBorder="1" applyAlignment="1">
      <alignment/>
    </xf>
    <xf numFmtId="9" fontId="0" fillId="7" borderId="3" xfId="0" applyNumberFormat="1" applyFill="1" applyBorder="1" applyAlignment="1">
      <alignment/>
    </xf>
    <xf numFmtId="0" fontId="0" fillId="5" borderId="59" xfId="0" applyFill="1" applyBorder="1" applyAlignment="1">
      <alignment horizontal="center"/>
    </xf>
    <xf numFmtId="0" fontId="0" fillId="5" borderId="60" xfId="0" applyFill="1" applyBorder="1" applyAlignment="1">
      <alignment horizontal="center"/>
    </xf>
    <xf numFmtId="2" fontId="0" fillId="5" borderId="55" xfId="0" applyNumberFormat="1" applyFill="1" applyBorder="1" applyAlignment="1">
      <alignment horizontal="center"/>
    </xf>
    <xf numFmtId="2" fontId="0" fillId="5" borderId="61" xfId="0" applyNumberFormat="1" applyFill="1" applyBorder="1" applyAlignment="1">
      <alignment horizontal="center"/>
    </xf>
    <xf numFmtId="2" fontId="0" fillId="5" borderId="0" xfId="0" applyNumberFormat="1" applyFill="1" applyBorder="1" applyAlignment="1">
      <alignment horizontal="center"/>
    </xf>
    <xf numFmtId="2" fontId="0" fillId="5" borderId="4" xfId="0" applyNumberForma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62" xfId="0" applyBorder="1" applyAlignment="1">
      <alignment horizontal="center"/>
    </xf>
    <xf numFmtId="0" fontId="8" fillId="0" borderId="28" xfId="0" applyFont="1" applyBorder="1" applyAlignment="1">
      <alignment horizontal="center" wrapText="1"/>
    </xf>
    <xf numFmtId="0" fontId="8" fillId="0" borderId="1" xfId="0" applyFont="1" applyBorder="1" applyAlignment="1">
      <alignment horizont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13" fillId="0" borderId="28" xfId="0" applyFont="1" applyBorder="1" applyAlignment="1">
      <alignment horizontal="justify" vertical="top" wrapText="1"/>
    </xf>
    <xf numFmtId="0" fontId="13" fillId="0" borderId="27" xfId="0" applyFont="1" applyBorder="1" applyAlignment="1">
      <alignment horizontal="justify" vertical="top" wrapText="1"/>
    </xf>
    <xf numFmtId="0" fontId="13" fillId="0" borderId="1" xfId="0" applyFont="1" applyBorder="1" applyAlignment="1">
      <alignment horizontal="justify" vertical="top" wrapText="1"/>
    </xf>
    <xf numFmtId="0" fontId="0" fillId="0" borderId="22" xfId="0" applyBorder="1" applyAlignment="1">
      <alignment/>
    </xf>
    <xf numFmtId="0" fontId="0" fillId="0" borderId="10" xfId="0" applyBorder="1" applyAlignment="1">
      <alignment/>
    </xf>
    <xf numFmtId="0" fontId="8" fillId="10" borderId="28" xfId="0" applyFont="1" applyFill="1" applyBorder="1" applyAlignment="1">
      <alignment horizontal="justify" wrapText="1"/>
    </xf>
    <xf numFmtId="0" fontId="8" fillId="10" borderId="1" xfId="0" applyFont="1" applyFill="1" applyBorder="1" applyAlignment="1">
      <alignment horizontal="justify" wrapText="1"/>
    </xf>
    <xf numFmtId="0" fontId="8" fillId="0" borderId="28" xfId="0" applyFont="1" applyBorder="1" applyAlignment="1">
      <alignment horizontal="justify" wrapText="1"/>
    </xf>
    <xf numFmtId="0" fontId="8" fillId="0" borderId="1" xfId="0" applyFont="1" applyBorder="1" applyAlignment="1">
      <alignment horizontal="justify" wrapText="1"/>
    </xf>
    <xf numFmtId="0" fontId="13" fillId="0" borderId="28" xfId="0" applyFont="1" applyBorder="1" applyAlignment="1">
      <alignment horizontal="justify" wrapText="1"/>
    </xf>
    <xf numFmtId="0" fontId="13" fillId="0" borderId="27" xfId="0" applyFont="1" applyBorder="1" applyAlignment="1">
      <alignment horizontal="justify" wrapText="1"/>
    </xf>
    <xf numFmtId="0" fontId="13" fillId="0" borderId="1" xfId="0" applyFont="1" applyBorder="1" applyAlignment="1">
      <alignment horizontal="justify" wrapText="1"/>
    </xf>
    <xf numFmtId="0" fontId="8" fillId="0" borderId="28"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49" fontId="9" fillId="0" borderId="0" xfId="0" applyNumberFormat="1" applyFont="1" applyAlignment="1">
      <alignment horizontal="left" vertical="center" wrapText="1"/>
    </xf>
    <xf numFmtId="0" fontId="9" fillId="0" borderId="28" xfId="0" applyFont="1" applyBorder="1" applyAlignment="1">
      <alignment horizontal="justify" wrapText="1"/>
    </xf>
    <xf numFmtId="0" fontId="9" fillId="0" borderId="1" xfId="0" applyFont="1" applyBorder="1" applyAlignment="1">
      <alignment horizontal="justify" wrapText="1"/>
    </xf>
    <xf numFmtId="0" fontId="9" fillId="0" borderId="11" xfId="0" applyFont="1" applyBorder="1" applyAlignment="1">
      <alignment horizontal="justify" wrapText="1"/>
    </xf>
    <xf numFmtId="0" fontId="9" fillId="0" borderId="3" xfId="0" applyFont="1" applyBorder="1" applyAlignment="1">
      <alignment horizontal="justify" wrapText="1"/>
    </xf>
    <xf numFmtId="0" fontId="0" fillId="0" borderId="63" xfId="0" applyBorder="1" applyAlignment="1">
      <alignment wrapText="1"/>
    </xf>
    <xf numFmtId="0" fontId="0" fillId="0" borderId="59"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0" xfId="0" applyBorder="1" applyAlignment="1">
      <alignment/>
    </xf>
    <xf numFmtId="0" fontId="0" fillId="0" borderId="8"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Mongolia Registry Upgrade
</a:t>
            </a:r>
          </a:p>
        </c:rich>
      </c:tx>
      <c:layout/>
      <c:spPr>
        <a:noFill/>
        <a:ln>
          <a:noFill/>
        </a:ln>
      </c:spPr>
    </c:title>
    <c:plotArea>
      <c:layout>
        <c:manualLayout>
          <c:xMode val="edge"/>
          <c:yMode val="edge"/>
          <c:x val="0.05525"/>
          <c:y val="0.143"/>
          <c:w val="0.9305"/>
          <c:h val="0.73475"/>
        </c:manualLayout>
      </c:layout>
      <c:areaChart>
        <c:grouping val="standard"/>
        <c:varyColors val="0"/>
        <c:ser>
          <c:idx val="0"/>
          <c:order val="0"/>
          <c:tx>
            <c:strRef>
              <c:f>'Registry Upgrade, Khashaa Reg.'!$BR$320:$CK$320</c:f>
              <c:strCache>
                <c:ptCount val="1"/>
                <c:pt idx="0">
                  <c:v> (337,083)  (1,743,560)  (4,209,922)  (1,923,006)  881,057   4,622,233   6,107,526   6,373,177   6,591,859   6,820,148   7,019,805   7,272,184   7,509,446   7,756,184   7,970,625   8,225,944   8,471,432   8,725,521   8,966,909   9,241,215 </c:v>
                </c:pt>
              </c:strCache>
            </c:strRef>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cat>
            <c:numRef>
              <c:f>'Registry Upgrade, Khashaa Reg.'!$BR$5:$CK$5</c:f>
              <c:numCache>
                <c:ptCount val="20"/>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numCache>
            </c:numRef>
          </c:cat>
          <c:val>
            <c:numRef>
              <c:f>'Registry Upgrade, Khashaa Reg.'!$BR$320:$CK$320</c:f>
              <c:numCache>
                <c:ptCount val="20"/>
                <c:pt idx="0">
                  <c:v>-337082.5157032837</c:v>
                </c:pt>
                <c:pt idx="1">
                  <c:v>-1743560.2988580815</c:v>
                </c:pt>
                <c:pt idx="2">
                  <c:v>-4209922.437853957</c:v>
                </c:pt>
                <c:pt idx="3">
                  <c:v>-1923005.5369790513</c:v>
                </c:pt>
                <c:pt idx="4">
                  <c:v>881057.2350151683</c:v>
                </c:pt>
                <c:pt idx="5">
                  <c:v>4622233.083696941</c:v>
                </c:pt>
                <c:pt idx="6">
                  <c:v>6107525.991307956</c:v>
                </c:pt>
                <c:pt idx="7">
                  <c:v>6373176.842098764</c:v>
                </c:pt>
                <c:pt idx="8">
                  <c:v>6591858.948404613</c:v>
                </c:pt>
                <c:pt idx="9">
                  <c:v>6820147.591389573</c:v>
                </c:pt>
                <c:pt idx="10">
                  <c:v>7019805.145949684</c:v>
                </c:pt>
                <c:pt idx="11">
                  <c:v>7272183.959136195</c:v>
                </c:pt>
                <c:pt idx="12">
                  <c:v>7509445.8045906415</c:v>
                </c:pt>
                <c:pt idx="13">
                  <c:v>7756183.59604539</c:v>
                </c:pt>
                <c:pt idx="14">
                  <c:v>7970625.003341066</c:v>
                </c:pt>
                <c:pt idx="15">
                  <c:v>8225944.31926955</c:v>
                </c:pt>
                <c:pt idx="16">
                  <c:v>8471431.938847361</c:v>
                </c:pt>
                <c:pt idx="17">
                  <c:v>8725521.499089561</c:v>
                </c:pt>
                <c:pt idx="18">
                  <c:v>8966909.477766553</c:v>
                </c:pt>
                <c:pt idx="19">
                  <c:v>9241214.567280227</c:v>
                </c:pt>
              </c:numCache>
            </c:numRef>
          </c:val>
        </c:ser>
        <c:axId val="48020878"/>
        <c:axId val="29534719"/>
      </c:areaChart>
      <c:catAx>
        <c:axId val="48020878"/>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475" b="1" i="0" u="none" baseline="0">
                <a:latin typeface="Arial"/>
                <a:ea typeface="Arial"/>
                <a:cs typeface="Arial"/>
              </a:defRPr>
            </a:pPr>
          </a:p>
        </c:txPr>
        <c:crossAx val="29534719"/>
        <c:crosses val="autoZero"/>
        <c:auto val="1"/>
        <c:lblOffset val="100"/>
        <c:tickLblSkip val="1"/>
        <c:noMultiLvlLbl val="0"/>
      </c:catAx>
      <c:valAx>
        <c:axId val="29534719"/>
        <c:scaling>
          <c:orientation val="minMax"/>
        </c:scaling>
        <c:axPos val="l"/>
        <c:title>
          <c:tx>
            <c:rich>
              <a:bodyPr vert="horz" rot="-5400000" anchor="ctr"/>
              <a:lstStyle/>
              <a:p>
                <a:pPr algn="ctr">
                  <a:defRPr/>
                </a:pPr>
                <a:r>
                  <a:rPr lang="en-US" cap="none" sz="1200" b="1" i="0" u="none" baseline="0">
                    <a:latin typeface="Arial"/>
                    <a:ea typeface="Arial"/>
                    <a:cs typeface="Arial"/>
                  </a:rPr>
                  <a:t>US$ (millions)</a:t>
                </a:r>
              </a:p>
            </c:rich>
          </c:tx>
          <c:layout/>
          <c:overlay val="0"/>
          <c:spPr>
            <a:noFill/>
            <a:ln>
              <a:noFill/>
            </a:ln>
          </c:spPr>
        </c:title>
        <c:majorGridlines/>
        <c:delete val="0"/>
        <c:numFmt formatCode="#,##0" sourceLinked="0"/>
        <c:majorTickMark val="out"/>
        <c:minorTickMark val="none"/>
        <c:tickLblPos val="nextTo"/>
        <c:crossAx val="48020878"/>
        <c:crossesAt val="1"/>
        <c:crossBetween val="midCat"/>
        <c:dispUnits>
          <c:builtInUnit val="millions"/>
        </c:dispUnits>
      </c:valAx>
      <c:spPr>
        <a:solidFill>
          <a:srgbClr val="C0C0C0"/>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Distribution of MCC Estimated ERR 
Given Uncertainties in Key Parameter Values
</a:t>
            </a:r>
            <a:r>
              <a:rPr lang="en-US" cap="none" sz="875" b="1" i="0" u="none" baseline="0">
                <a:latin typeface="Arial"/>
                <a:ea typeface="Arial"/>
                <a:cs typeface="Arial"/>
              </a:rPr>
              <a:t>(as of 8/16/2007)</a:t>
            </a:r>
          </a:p>
        </c:rich>
      </c:tx>
      <c:layout/>
      <c:spPr>
        <a:noFill/>
        <a:ln>
          <a:noFill/>
        </a:ln>
      </c:spPr>
    </c:title>
    <c:plotArea>
      <c:layout/>
      <c:scatterChart>
        <c:scatterStyle val="lineMarker"/>
        <c:varyColors val="0"/>
        <c:ser>
          <c:idx val="0"/>
          <c:order val="0"/>
          <c:tx>
            <c:v>Default1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ser>
          <c:idx val="1"/>
          <c:order val="1"/>
          <c:tx>
            <c:v>Default2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numLit>
          </c:yVal>
          <c:smooth val="0"/>
        </c:ser>
        <c:ser>
          <c:idx val="2"/>
          <c:order val="2"/>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107"/>
              <c:pt idx="0">
                <c:v>0.12816284596920013</c:v>
              </c:pt>
              <c:pt idx="1">
                <c:v>0.12816284596920013</c:v>
              </c:pt>
              <c:pt idx="2">
                <c:v>0.12850518903136254</c:v>
              </c:pt>
              <c:pt idx="3">
                <c:v>0.12850518903136254</c:v>
              </c:pt>
              <c:pt idx="4">
                <c:v>0.12884753209352492</c:v>
              </c:pt>
              <c:pt idx="5">
                <c:v>0.12884753209352492</c:v>
              </c:pt>
              <c:pt idx="6">
                <c:v>0.12918987515568733</c:v>
              </c:pt>
              <c:pt idx="7">
                <c:v>0.12918987515568733</c:v>
              </c:pt>
              <c:pt idx="8">
                <c:v>0.12953221821784974</c:v>
              </c:pt>
              <c:pt idx="9">
                <c:v>0.12953221821784974</c:v>
              </c:pt>
              <c:pt idx="10">
                <c:v>0.12987456128001212</c:v>
              </c:pt>
              <c:pt idx="11">
                <c:v>0.12987456128001212</c:v>
              </c:pt>
              <c:pt idx="12">
                <c:v>0.13021690434217453</c:v>
              </c:pt>
              <c:pt idx="13">
                <c:v>0.13021690434217453</c:v>
              </c:pt>
              <c:pt idx="14">
                <c:v>0.13055924740433694</c:v>
              </c:pt>
              <c:pt idx="15">
                <c:v>0.13055924740433694</c:v>
              </c:pt>
              <c:pt idx="16">
                <c:v>0.13090159046649932</c:v>
              </c:pt>
              <c:pt idx="17">
                <c:v>0.13090159046649932</c:v>
              </c:pt>
              <c:pt idx="18">
                <c:v>0.13124393352866173</c:v>
              </c:pt>
              <c:pt idx="19">
                <c:v>0.13124393352866173</c:v>
              </c:pt>
              <c:pt idx="20">
                <c:v>0.1315862765908241</c:v>
              </c:pt>
              <c:pt idx="21">
                <c:v>0.1315862765908241</c:v>
              </c:pt>
              <c:pt idx="22">
                <c:v>0.13192861965298652</c:v>
              </c:pt>
              <c:pt idx="23">
                <c:v>0.13192861965298652</c:v>
              </c:pt>
              <c:pt idx="24">
                <c:v>0.13227096271514893</c:v>
              </c:pt>
              <c:pt idx="25">
                <c:v>0.13227096271514893</c:v>
              </c:pt>
              <c:pt idx="26">
                <c:v>0.1326133057773113</c:v>
              </c:pt>
              <c:pt idx="27">
                <c:v>0.1326133057773113</c:v>
              </c:pt>
              <c:pt idx="28">
                <c:v>0.13295564883947372</c:v>
              </c:pt>
              <c:pt idx="29">
                <c:v>0.13295564883947372</c:v>
              </c:pt>
              <c:pt idx="30">
                <c:v>0.13329799190163613</c:v>
              </c:pt>
              <c:pt idx="31">
                <c:v>0.13329799190163613</c:v>
              </c:pt>
              <c:pt idx="32">
                <c:v>0.1336403349637985</c:v>
              </c:pt>
              <c:pt idx="33">
                <c:v>0.1336403349637985</c:v>
              </c:pt>
              <c:pt idx="34">
                <c:v>0.13398267802596092</c:v>
              </c:pt>
              <c:pt idx="35">
                <c:v>0.13398267802596092</c:v>
              </c:pt>
              <c:pt idx="36">
                <c:v>0.13432502108812333</c:v>
              </c:pt>
              <c:pt idx="37">
                <c:v>0.13432502108812333</c:v>
              </c:pt>
              <c:pt idx="38">
                <c:v>0.1346673641502857</c:v>
              </c:pt>
              <c:pt idx="39">
                <c:v>0.1346673641502857</c:v>
              </c:pt>
              <c:pt idx="40">
                <c:v>0.13500970721244812</c:v>
              </c:pt>
              <c:pt idx="41">
                <c:v>0.13500970721244812</c:v>
              </c:pt>
              <c:pt idx="42">
                <c:v>0.13535205027461053</c:v>
              </c:pt>
              <c:pt idx="43">
                <c:v>0.13535205027461053</c:v>
              </c:pt>
              <c:pt idx="44">
                <c:v>0.1356943933367729</c:v>
              </c:pt>
              <c:pt idx="45">
                <c:v>0.1356943933367729</c:v>
              </c:pt>
              <c:pt idx="46">
                <c:v>0.13603673639893532</c:v>
              </c:pt>
              <c:pt idx="47">
                <c:v>0.13603673639893532</c:v>
              </c:pt>
              <c:pt idx="48">
                <c:v>0.13637907946109773</c:v>
              </c:pt>
              <c:pt idx="49">
                <c:v>0.13637907946109773</c:v>
              </c:pt>
              <c:pt idx="50">
                <c:v>0.1367214225232601</c:v>
              </c:pt>
              <c:pt idx="51">
                <c:v>0.1367214225232601</c:v>
              </c:pt>
              <c:pt idx="52">
                <c:v>0.13706376558542252</c:v>
              </c:pt>
              <c:pt idx="53">
                <c:v>0.13706376558542252</c:v>
              </c:pt>
              <c:pt idx="54">
                <c:v>0.1374061086475849</c:v>
              </c:pt>
              <c:pt idx="55">
                <c:v>0.1374061086475849</c:v>
              </c:pt>
              <c:pt idx="56">
                <c:v>0.1377484517097473</c:v>
              </c:pt>
              <c:pt idx="57">
                <c:v>0.1377484517097473</c:v>
              </c:pt>
              <c:pt idx="58">
                <c:v>0.13809079477190972</c:v>
              </c:pt>
              <c:pt idx="59">
                <c:v>0.13809079477190972</c:v>
              </c:pt>
              <c:pt idx="60">
                <c:v>0.1384331378340721</c:v>
              </c:pt>
              <c:pt idx="61">
                <c:v>0.1384331378340721</c:v>
              </c:pt>
              <c:pt idx="62">
                <c:v>0.1387754808962345</c:v>
              </c:pt>
              <c:pt idx="63">
                <c:v>0.1387754808962345</c:v>
              </c:pt>
              <c:pt idx="64">
                <c:v>0.13911782395839692</c:v>
              </c:pt>
              <c:pt idx="65">
                <c:v>0.13911782395839692</c:v>
              </c:pt>
              <c:pt idx="66">
                <c:v>0.1394601670205593</c:v>
              </c:pt>
              <c:pt idx="67">
                <c:v>0.1394601670205593</c:v>
              </c:pt>
              <c:pt idx="68">
                <c:v>0.1398025100827217</c:v>
              </c:pt>
              <c:pt idx="69">
                <c:v>0.1398025100827217</c:v>
              </c:pt>
              <c:pt idx="70">
                <c:v>0.14014485314488412</c:v>
              </c:pt>
              <c:pt idx="71">
                <c:v>0.14014485314488412</c:v>
              </c:pt>
              <c:pt idx="72">
                <c:v>0.1404871962070465</c:v>
              </c:pt>
              <c:pt idx="73">
                <c:v>0.1404871962070465</c:v>
              </c:pt>
              <c:pt idx="74">
                <c:v>0.1408295392692089</c:v>
              </c:pt>
              <c:pt idx="75">
                <c:v>0.1408295392692089</c:v>
              </c:pt>
              <c:pt idx="76">
                <c:v>0.14117188233137132</c:v>
              </c:pt>
              <c:pt idx="77">
                <c:v>0.14117188233137132</c:v>
              </c:pt>
              <c:pt idx="78">
                <c:v>0.1415142253935337</c:v>
              </c:pt>
              <c:pt idx="79">
                <c:v>0.1415142253935337</c:v>
              </c:pt>
              <c:pt idx="80">
                <c:v>0.1418565684556961</c:v>
              </c:pt>
              <c:pt idx="81">
                <c:v>0.1418565684556961</c:v>
              </c:pt>
              <c:pt idx="82">
                <c:v>0.14219891151785852</c:v>
              </c:pt>
              <c:pt idx="83">
                <c:v>0.14219891151785852</c:v>
              </c:pt>
              <c:pt idx="84">
                <c:v>0.1425412545800209</c:v>
              </c:pt>
              <c:pt idx="85">
                <c:v>0.1425412545800209</c:v>
              </c:pt>
              <c:pt idx="86">
                <c:v>0.1428835976421833</c:v>
              </c:pt>
              <c:pt idx="87">
                <c:v>0.1428835976421833</c:v>
              </c:pt>
              <c:pt idx="88">
                <c:v>0.1432259407043457</c:v>
              </c:pt>
              <c:pt idx="89">
                <c:v>0.1432259407043457</c:v>
              </c:pt>
              <c:pt idx="90">
                <c:v>0.1435682837665081</c:v>
              </c:pt>
              <c:pt idx="91">
                <c:v>0.1435682837665081</c:v>
              </c:pt>
              <c:pt idx="92">
                <c:v>0.1439106268286705</c:v>
              </c:pt>
              <c:pt idx="93">
                <c:v>0.1439106268286705</c:v>
              </c:pt>
              <c:pt idx="94">
                <c:v>0.14425296989083292</c:v>
              </c:pt>
              <c:pt idx="95">
                <c:v>0.14425296989083292</c:v>
              </c:pt>
              <c:pt idx="96">
                <c:v>0.1445953129529953</c:v>
              </c:pt>
              <c:pt idx="97">
                <c:v>0.1445953129529953</c:v>
              </c:pt>
              <c:pt idx="98">
                <c:v>0.1449376560151577</c:v>
              </c:pt>
              <c:pt idx="99">
                <c:v>0.1449376560151577</c:v>
              </c:pt>
              <c:pt idx="100">
                <c:v>0.1452799990773201</c:v>
              </c:pt>
              <c:pt idx="101">
                <c:v>0.1452799990773201</c:v>
              </c:pt>
              <c:pt idx="102">
                <c:v>0.1456223421394825</c:v>
              </c:pt>
              <c:pt idx="103">
                <c:v>0.1456223421394825</c:v>
              </c:pt>
              <c:pt idx="104">
                <c:v>0.1459646852016449</c:v>
              </c:pt>
              <c:pt idx="105">
                <c:v>0.1459646852016449</c:v>
              </c:pt>
              <c:pt idx="106">
                <c:v>0.1463070282638073</c:v>
              </c:pt>
              <c:pt idx="107">
                <c:v>0.1463070282638073</c:v>
              </c:pt>
              <c:pt idx="108">
                <c:v>0.1466493713259697</c:v>
              </c:pt>
              <c:pt idx="109">
                <c:v>0.1466493713259697</c:v>
              </c:pt>
              <c:pt idx="110">
                <c:v>0.1469917143881321</c:v>
              </c:pt>
              <c:pt idx="111">
                <c:v>0.1469917143881321</c:v>
              </c:pt>
              <c:pt idx="112">
                <c:v>0.1473340574502945</c:v>
              </c:pt>
              <c:pt idx="113">
                <c:v>0.1473340574502945</c:v>
              </c:pt>
              <c:pt idx="114">
                <c:v>0.1476764005124569</c:v>
              </c:pt>
              <c:pt idx="115">
                <c:v>0.1476764005124569</c:v>
              </c:pt>
              <c:pt idx="116">
                <c:v>0.1480187435746193</c:v>
              </c:pt>
              <c:pt idx="117">
                <c:v>0.1480187435746193</c:v>
              </c:pt>
              <c:pt idx="118">
                <c:v>0.14836108663678169</c:v>
              </c:pt>
              <c:pt idx="119">
                <c:v>0.14836108663678169</c:v>
              </c:pt>
              <c:pt idx="120">
                <c:v>0.1487034296989441</c:v>
              </c:pt>
              <c:pt idx="121">
                <c:v>0.1487034296989441</c:v>
              </c:pt>
              <c:pt idx="122">
                <c:v>0.14904577276110648</c:v>
              </c:pt>
              <c:pt idx="123">
                <c:v>0.14904577276110648</c:v>
              </c:pt>
              <c:pt idx="124">
                <c:v>0.14938811582326889</c:v>
              </c:pt>
              <c:pt idx="125">
                <c:v>0.14938811582326889</c:v>
              </c:pt>
              <c:pt idx="126">
                <c:v>0.1497304588854313</c:v>
              </c:pt>
              <c:pt idx="127">
                <c:v>0.1497304588854313</c:v>
              </c:pt>
              <c:pt idx="128">
                <c:v>0.1500728019475937</c:v>
              </c:pt>
              <c:pt idx="129">
                <c:v>0.1500728019475937</c:v>
              </c:pt>
              <c:pt idx="130">
                <c:v>0.15041514500975608</c:v>
              </c:pt>
              <c:pt idx="131">
                <c:v>0.15041514500975608</c:v>
              </c:pt>
              <c:pt idx="132">
                <c:v>0.1507574880719185</c:v>
              </c:pt>
              <c:pt idx="133">
                <c:v>0.1507574880719185</c:v>
              </c:pt>
              <c:pt idx="134">
                <c:v>0.15109983113408088</c:v>
              </c:pt>
              <c:pt idx="135">
                <c:v>0.15109983113408088</c:v>
              </c:pt>
              <c:pt idx="136">
                <c:v>0.15144217419624328</c:v>
              </c:pt>
              <c:pt idx="137">
                <c:v>0.15144217419624328</c:v>
              </c:pt>
              <c:pt idx="138">
                <c:v>0.1517845172584057</c:v>
              </c:pt>
              <c:pt idx="139">
                <c:v>0.1517845172584057</c:v>
              </c:pt>
              <c:pt idx="140">
                <c:v>0.15212686032056807</c:v>
              </c:pt>
              <c:pt idx="141">
                <c:v>0.15212686032056807</c:v>
              </c:pt>
              <c:pt idx="142">
                <c:v>0.15246920338273048</c:v>
              </c:pt>
              <c:pt idx="143">
                <c:v>0.15246920338273048</c:v>
              </c:pt>
              <c:pt idx="144">
                <c:v>0.15261592183794295</c:v>
              </c:pt>
              <c:pt idx="145">
                <c:v>0.15261592183794295</c:v>
              </c:pt>
              <c:pt idx="146">
                <c:v>0.15261592183794295</c:v>
              </c:pt>
              <c:pt idx="147">
                <c:v>0.15261592183794295</c:v>
              </c:pt>
              <c:pt idx="148">
                <c:v>0.15261592183794295</c:v>
              </c:pt>
              <c:pt idx="149">
                <c:v>0.15261592183794295</c:v>
              </c:pt>
              <c:pt idx="150">
                <c:v>0.15295826490010536</c:v>
              </c:pt>
              <c:pt idx="151">
                <c:v>0.15295826490010536</c:v>
              </c:pt>
              <c:pt idx="152">
                <c:v>0.15330060796226774</c:v>
              </c:pt>
              <c:pt idx="153">
                <c:v>0.15330060796226774</c:v>
              </c:pt>
              <c:pt idx="154">
                <c:v>0.15364295102443015</c:v>
              </c:pt>
              <c:pt idx="155">
                <c:v>0.15364295102443015</c:v>
              </c:pt>
              <c:pt idx="156">
                <c:v>0.15398529408659256</c:v>
              </c:pt>
              <c:pt idx="157">
                <c:v>0.15398529408659256</c:v>
              </c:pt>
              <c:pt idx="158">
                <c:v>0.15432763714875494</c:v>
              </c:pt>
              <c:pt idx="159">
                <c:v>0.15432763714875494</c:v>
              </c:pt>
              <c:pt idx="160">
                <c:v>0.15466998021091735</c:v>
              </c:pt>
              <c:pt idx="161">
                <c:v>0.15466998021091735</c:v>
              </c:pt>
              <c:pt idx="162">
                <c:v>0.15501232327307976</c:v>
              </c:pt>
              <c:pt idx="163">
                <c:v>0.15501232327307976</c:v>
              </c:pt>
              <c:pt idx="164">
                <c:v>0.15535466633524214</c:v>
              </c:pt>
              <c:pt idx="165">
                <c:v>0.15535466633524214</c:v>
              </c:pt>
              <c:pt idx="166">
                <c:v>0.15569700939740455</c:v>
              </c:pt>
              <c:pt idx="167">
                <c:v>0.15569700939740455</c:v>
              </c:pt>
              <c:pt idx="168">
                <c:v>0.15603935245956693</c:v>
              </c:pt>
              <c:pt idx="169">
                <c:v>0.15603935245956693</c:v>
              </c:pt>
              <c:pt idx="170">
                <c:v>0.15638169552172934</c:v>
              </c:pt>
              <c:pt idx="171">
                <c:v>0.15638169552172934</c:v>
              </c:pt>
              <c:pt idx="172">
                <c:v>0.15672403858389175</c:v>
              </c:pt>
              <c:pt idx="173">
                <c:v>0.15672403858389175</c:v>
              </c:pt>
              <c:pt idx="174">
                <c:v>0.15706638164605413</c:v>
              </c:pt>
              <c:pt idx="175">
                <c:v>0.15706638164605413</c:v>
              </c:pt>
              <c:pt idx="176">
                <c:v>0.15740872470821654</c:v>
              </c:pt>
              <c:pt idx="177">
                <c:v>0.15740872470821654</c:v>
              </c:pt>
              <c:pt idx="178">
                <c:v>0.15775106777037895</c:v>
              </c:pt>
              <c:pt idx="179">
                <c:v>0.15775106777037895</c:v>
              </c:pt>
              <c:pt idx="180">
                <c:v>0.15809341083254133</c:v>
              </c:pt>
              <c:pt idx="181">
                <c:v>0.15809341083254133</c:v>
              </c:pt>
              <c:pt idx="182">
                <c:v>0.15843575389470374</c:v>
              </c:pt>
              <c:pt idx="183">
                <c:v>0.15843575389470374</c:v>
              </c:pt>
              <c:pt idx="184">
                <c:v>0.15877809695686615</c:v>
              </c:pt>
              <c:pt idx="185">
                <c:v>0.15877809695686615</c:v>
              </c:pt>
              <c:pt idx="186">
                <c:v>0.15912044001902853</c:v>
              </c:pt>
              <c:pt idx="187">
                <c:v>0.15912044001902853</c:v>
              </c:pt>
              <c:pt idx="188">
                <c:v>0.15946278308119094</c:v>
              </c:pt>
              <c:pt idx="189">
                <c:v>0.15946278308119094</c:v>
              </c:pt>
              <c:pt idx="190">
                <c:v>0.15980512614335335</c:v>
              </c:pt>
              <c:pt idx="191">
                <c:v>0.15980512614335335</c:v>
              </c:pt>
              <c:pt idx="192">
                <c:v>0.16014746920551573</c:v>
              </c:pt>
              <c:pt idx="193">
                <c:v>0.16014746920551573</c:v>
              </c:pt>
              <c:pt idx="194">
                <c:v>0.16048981226767814</c:v>
              </c:pt>
              <c:pt idx="195">
                <c:v>0.16048981226767814</c:v>
              </c:pt>
              <c:pt idx="196">
                <c:v>0.16083215532984055</c:v>
              </c:pt>
              <c:pt idx="197">
                <c:v>0.16083215532984055</c:v>
              </c:pt>
              <c:pt idx="198">
                <c:v>0.16117449839200293</c:v>
              </c:pt>
              <c:pt idx="199">
                <c:v>0.16117449839200293</c:v>
              </c:pt>
              <c:pt idx="200">
                <c:v>0.16151684145416534</c:v>
              </c:pt>
              <c:pt idx="201">
                <c:v>0.16151684145416534</c:v>
              </c:pt>
              <c:pt idx="202">
                <c:v>0.16185918451632775</c:v>
              </c:pt>
              <c:pt idx="203">
                <c:v>0.16185918451632775</c:v>
              </c:pt>
              <c:pt idx="204">
                <c:v>0.16220152757849013</c:v>
              </c:pt>
              <c:pt idx="205">
                <c:v>0.16220152757849013</c:v>
              </c:pt>
              <c:pt idx="206">
                <c:v>0.16254387064065254</c:v>
              </c:pt>
              <c:pt idx="207">
                <c:v>0.16254387064065254</c:v>
              </c:pt>
              <c:pt idx="208">
                <c:v>0.16288621370281492</c:v>
              </c:pt>
              <c:pt idx="209">
                <c:v>0.16288621370281492</c:v>
              </c:pt>
              <c:pt idx="210">
                <c:v>0.16322855676497733</c:v>
              </c:pt>
              <c:pt idx="211">
                <c:v>0.16322855676497733</c:v>
              </c:pt>
              <c:pt idx="212">
                <c:v>0.16357089982713974</c:v>
              </c:pt>
              <c:pt idx="213">
                <c:v>0.16357089982713974</c:v>
              </c:pt>
              <c:pt idx="214">
                <c:v>0.16391324288930212</c:v>
              </c:pt>
              <c:pt idx="215">
                <c:v>0.16391324288930212</c:v>
              </c:pt>
              <c:pt idx="216">
                <c:v>0.16425558595146453</c:v>
              </c:pt>
              <c:pt idx="217">
                <c:v>0.16425558595146453</c:v>
              </c:pt>
              <c:pt idx="218">
                <c:v>0.16459792901362694</c:v>
              </c:pt>
              <c:pt idx="219">
                <c:v>0.16459792901362694</c:v>
              </c:pt>
              <c:pt idx="220">
                <c:v>0.16494027207578932</c:v>
              </c:pt>
              <c:pt idx="221">
                <c:v>0.16494027207578932</c:v>
              </c:pt>
              <c:pt idx="222">
                <c:v>0.16528261513795173</c:v>
              </c:pt>
              <c:pt idx="223">
                <c:v>0.16528261513795173</c:v>
              </c:pt>
              <c:pt idx="224">
                <c:v>0.16562495820011414</c:v>
              </c:pt>
              <c:pt idx="225">
                <c:v>0.16562495820011414</c:v>
              </c:pt>
              <c:pt idx="226">
                <c:v>0.16596730126227652</c:v>
              </c:pt>
              <c:pt idx="227">
                <c:v>0.16596730126227652</c:v>
              </c:pt>
              <c:pt idx="228">
                <c:v>0.16630964432443893</c:v>
              </c:pt>
              <c:pt idx="229">
                <c:v>0.16630964432443893</c:v>
              </c:pt>
              <c:pt idx="230">
                <c:v>0.16665198738660134</c:v>
              </c:pt>
              <c:pt idx="231">
                <c:v>0.16665198738660134</c:v>
              </c:pt>
              <c:pt idx="232">
                <c:v>0.16699433044876372</c:v>
              </c:pt>
              <c:pt idx="233">
                <c:v>0.16699433044876372</c:v>
              </c:pt>
              <c:pt idx="234">
                <c:v>0.16733667351092613</c:v>
              </c:pt>
              <c:pt idx="235">
                <c:v>0.16733667351092613</c:v>
              </c:pt>
              <c:pt idx="236">
                <c:v>0.16767901657308854</c:v>
              </c:pt>
              <c:pt idx="237">
                <c:v>0.16767901657308854</c:v>
              </c:pt>
              <c:pt idx="238">
                <c:v>0.16802135963525092</c:v>
              </c:pt>
              <c:pt idx="239">
                <c:v>0.16802135963525092</c:v>
              </c:pt>
              <c:pt idx="240">
                <c:v>0.16836370269741333</c:v>
              </c:pt>
              <c:pt idx="241">
                <c:v>0.16836370269741333</c:v>
              </c:pt>
              <c:pt idx="242">
                <c:v>0.1687060457595757</c:v>
              </c:pt>
              <c:pt idx="243">
                <c:v>0.1687060457595757</c:v>
              </c:pt>
              <c:pt idx="244">
                <c:v>0.16904838882173812</c:v>
              </c:pt>
              <c:pt idx="245">
                <c:v>0.16904838882173812</c:v>
              </c:pt>
              <c:pt idx="246">
                <c:v>0.16939073188390052</c:v>
              </c:pt>
              <c:pt idx="247">
                <c:v>0.16939073188390052</c:v>
              </c:pt>
              <c:pt idx="248">
                <c:v>0.1697330749460629</c:v>
              </c:pt>
              <c:pt idx="249">
                <c:v>0.1697330749460629</c:v>
              </c:pt>
              <c:pt idx="250">
                <c:v>0.17007541800822532</c:v>
              </c:pt>
              <c:pt idx="251">
                <c:v>0.17007541800822532</c:v>
              </c:pt>
              <c:pt idx="252">
                <c:v>0.17041776107038772</c:v>
              </c:pt>
              <c:pt idx="253">
                <c:v>0.17041776107038772</c:v>
              </c:pt>
              <c:pt idx="254">
                <c:v>0.1707601041325501</c:v>
              </c:pt>
              <c:pt idx="255">
                <c:v>0.1707601041325501</c:v>
              </c:pt>
              <c:pt idx="256">
                <c:v>0.17110244719471251</c:v>
              </c:pt>
              <c:pt idx="257">
                <c:v>0.17110244719471251</c:v>
              </c:pt>
              <c:pt idx="258">
                <c:v>0.17144479025687492</c:v>
              </c:pt>
              <c:pt idx="259">
                <c:v>0.17144479025687492</c:v>
              </c:pt>
              <c:pt idx="260">
                <c:v>0.1717871333190373</c:v>
              </c:pt>
              <c:pt idx="261">
                <c:v>0.1717871333190373</c:v>
              </c:pt>
              <c:pt idx="262">
                <c:v>0.17212947638119971</c:v>
              </c:pt>
              <c:pt idx="263">
                <c:v>0.17212947638119971</c:v>
              </c:pt>
              <c:pt idx="264">
                <c:v>0.17247181944336212</c:v>
              </c:pt>
              <c:pt idx="265">
                <c:v>0.17247181944336212</c:v>
              </c:pt>
              <c:pt idx="266">
                <c:v>0.1728141625055245</c:v>
              </c:pt>
              <c:pt idx="267">
                <c:v>0.1728141625055245</c:v>
              </c:pt>
              <c:pt idx="268">
                <c:v>0.1731565055676869</c:v>
              </c:pt>
              <c:pt idx="269">
                <c:v>0.1731565055676869</c:v>
              </c:pt>
              <c:pt idx="270">
                <c:v>0.17349884862984932</c:v>
              </c:pt>
              <c:pt idx="271">
                <c:v>0.17349884862984932</c:v>
              </c:pt>
              <c:pt idx="272">
                <c:v>0.1738411916920117</c:v>
              </c:pt>
              <c:pt idx="273">
                <c:v>0.1738411916920117</c:v>
              </c:pt>
              <c:pt idx="274">
                <c:v>0.1741835347541741</c:v>
              </c:pt>
              <c:pt idx="275">
                <c:v>0.1741835347541741</c:v>
              </c:pt>
              <c:pt idx="276">
                <c:v>0.1745258778163365</c:v>
              </c:pt>
              <c:pt idx="277">
                <c:v>0.1745258778163365</c:v>
              </c:pt>
              <c:pt idx="278">
                <c:v>0.1748682208784989</c:v>
              </c:pt>
              <c:pt idx="279">
                <c:v>0.1748682208784989</c:v>
              </c:pt>
              <c:pt idx="280">
                <c:v>0.1752105639406613</c:v>
              </c:pt>
              <c:pt idx="281">
                <c:v>0.1752105639406613</c:v>
              </c:pt>
              <c:pt idx="282">
                <c:v>0.17555290700282372</c:v>
              </c:pt>
              <c:pt idx="283">
                <c:v>0.17555290700282372</c:v>
              </c:pt>
              <c:pt idx="284">
                <c:v>0.1758952500649861</c:v>
              </c:pt>
              <c:pt idx="285">
                <c:v>0.1758952500649861</c:v>
              </c:pt>
              <c:pt idx="286">
                <c:v>0.1762375931271485</c:v>
              </c:pt>
              <c:pt idx="287">
                <c:v>0.1762375931271485</c:v>
              </c:pt>
              <c:pt idx="288">
                <c:v>0.1765799361893109</c:v>
              </c:pt>
              <c:pt idx="289">
                <c:v>0.1765799361893109</c:v>
              </c:pt>
              <c:pt idx="290">
                <c:v>0.1769222792514733</c:v>
              </c:pt>
              <c:pt idx="291">
                <c:v>0.1769222792514733</c:v>
              </c:pt>
              <c:pt idx="292">
                <c:v>0.17706899770668574</c:v>
              </c:pt>
              <c:pt idx="293">
                <c:v>0.17706899770668574</c:v>
              </c:pt>
              <c:pt idx="294">
                <c:v>0.17706899770668574</c:v>
              </c:pt>
              <c:pt idx="295">
                <c:v>0.17706899770668574</c:v>
              </c:pt>
              <c:pt idx="296">
                <c:v>0.17706899770668574</c:v>
              </c:pt>
              <c:pt idx="297">
                <c:v>0.17706899770668574</c:v>
              </c:pt>
              <c:pt idx="298">
                <c:v>0.17741134076884815</c:v>
              </c:pt>
              <c:pt idx="299">
                <c:v>0.17741134076884815</c:v>
              </c:pt>
              <c:pt idx="300">
                <c:v>0.17775368383101053</c:v>
              </c:pt>
              <c:pt idx="301">
                <c:v>0.17775368383101053</c:v>
              </c:pt>
              <c:pt idx="302">
                <c:v>0.17809602689317294</c:v>
              </c:pt>
              <c:pt idx="303">
                <c:v>0.17809602689317294</c:v>
              </c:pt>
              <c:pt idx="304">
                <c:v>0.17843836995533535</c:v>
              </c:pt>
              <c:pt idx="305">
                <c:v>0.17843836995533535</c:v>
              </c:pt>
              <c:pt idx="306">
                <c:v>0.17878071301749773</c:v>
              </c:pt>
              <c:pt idx="307">
                <c:v>0.17878071301749773</c:v>
              </c:pt>
              <c:pt idx="308">
                <c:v>0.17912305607966014</c:v>
              </c:pt>
              <c:pt idx="309">
                <c:v>0.17912305607966014</c:v>
              </c:pt>
              <c:pt idx="310">
                <c:v>0.17946539914182255</c:v>
              </c:pt>
              <c:pt idx="311">
                <c:v>0.17946539914182255</c:v>
              </c:pt>
              <c:pt idx="312">
                <c:v>0.17980774220398493</c:v>
              </c:pt>
              <c:pt idx="313">
                <c:v>0.17980774220398493</c:v>
              </c:pt>
              <c:pt idx="314">
                <c:v>0.18015008526614734</c:v>
              </c:pt>
              <c:pt idx="315">
                <c:v>0.18015008526614734</c:v>
              </c:pt>
              <c:pt idx="316">
                <c:v>0.18049242832830972</c:v>
              </c:pt>
              <c:pt idx="317">
                <c:v>0.18049242832830972</c:v>
              </c:pt>
              <c:pt idx="318">
                <c:v>0.18083477139047213</c:v>
              </c:pt>
              <c:pt idx="319">
                <c:v>0.18083477139047213</c:v>
              </c:pt>
              <c:pt idx="320">
                <c:v>0.18117711445263454</c:v>
              </c:pt>
              <c:pt idx="321">
                <c:v>0.18117711445263454</c:v>
              </c:pt>
              <c:pt idx="322">
                <c:v>0.18151945751479692</c:v>
              </c:pt>
              <c:pt idx="323">
                <c:v>0.18151945751479692</c:v>
              </c:pt>
              <c:pt idx="324">
                <c:v>0.18186180057695933</c:v>
              </c:pt>
              <c:pt idx="325">
                <c:v>0.18186180057695933</c:v>
              </c:pt>
              <c:pt idx="326">
                <c:v>0.18220414363912174</c:v>
              </c:pt>
              <c:pt idx="327">
                <c:v>0.18220414363912174</c:v>
              </c:pt>
              <c:pt idx="328">
                <c:v>0.18254648670128412</c:v>
              </c:pt>
              <c:pt idx="329">
                <c:v>0.18254648670128412</c:v>
              </c:pt>
              <c:pt idx="330">
                <c:v>0.18288882976344653</c:v>
              </c:pt>
              <c:pt idx="331">
                <c:v>0.18288882976344653</c:v>
              </c:pt>
              <c:pt idx="332">
                <c:v>0.18323117282560894</c:v>
              </c:pt>
              <c:pt idx="333">
                <c:v>0.18323117282560894</c:v>
              </c:pt>
              <c:pt idx="334">
                <c:v>0.18357351588777132</c:v>
              </c:pt>
              <c:pt idx="335">
                <c:v>0.18357351588777132</c:v>
              </c:pt>
              <c:pt idx="336">
                <c:v>0.18391585894993373</c:v>
              </c:pt>
              <c:pt idx="337">
                <c:v>0.18391585894993373</c:v>
              </c:pt>
              <c:pt idx="338">
                <c:v>0.18425820201209614</c:v>
              </c:pt>
              <c:pt idx="339">
                <c:v>0.18425820201209614</c:v>
              </c:pt>
              <c:pt idx="340">
                <c:v>0.18460054507425852</c:v>
              </c:pt>
              <c:pt idx="341">
                <c:v>0.18460054507425852</c:v>
              </c:pt>
              <c:pt idx="342">
                <c:v>0.18494288813642093</c:v>
              </c:pt>
              <c:pt idx="343">
                <c:v>0.18494288813642093</c:v>
              </c:pt>
              <c:pt idx="344">
                <c:v>0.18528523119858334</c:v>
              </c:pt>
              <c:pt idx="345">
                <c:v>0.18528523119858334</c:v>
              </c:pt>
              <c:pt idx="346">
                <c:v>0.18562757426074572</c:v>
              </c:pt>
              <c:pt idx="347">
                <c:v>0.18562757426074572</c:v>
              </c:pt>
              <c:pt idx="348">
                <c:v>0.18596991732290813</c:v>
              </c:pt>
              <c:pt idx="349">
                <c:v>0.18596991732290813</c:v>
              </c:pt>
              <c:pt idx="350">
                <c:v>0.18631226038507054</c:v>
              </c:pt>
              <c:pt idx="351">
                <c:v>0.18631226038507054</c:v>
              </c:pt>
              <c:pt idx="352">
                <c:v>0.18665460344723292</c:v>
              </c:pt>
              <c:pt idx="353">
                <c:v>0.18665460344723292</c:v>
              </c:pt>
              <c:pt idx="354">
                <c:v>0.18699694650939533</c:v>
              </c:pt>
              <c:pt idx="355">
                <c:v>0.18699694650939533</c:v>
              </c:pt>
              <c:pt idx="356">
                <c:v>0.1873392895715577</c:v>
              </c:pt>
              <c:pt idx="357">
                <c:v>0.1873392895715577</c:v>
              </c:pt>
              <c:pt idx="358">
                <c:v>0.18768163263372012</c:v>
              </c:pt>
              <c:pt idx="359">
                <c:v>0.18768163263372012</c:v>
              </c:pt>
              <c:pt idx="360">
                <c:v>0.18802397569588253</c:v>
              </c:pt>
              <c:pt idx="361">
                <c:v>0.18802397569588253</c:v>
              </c:pt>
              <c:pt idx="362">
                <c:v>0.1883663187580449</c:v>
              </c:pt>
              <c:pt idx="363">
                <c:v>0.1883663187580449</c:v>
              </c:pt>
              <c:pt idx="364">
                <c:v>0.18870866182020732</c:v>
              </c:pt>
              <c:pt idx="365">
                <c:v>0.18870866182020732</c:v>
              </c:pt>
              <c:pt idx="366">
                <c:v>0.18905100488236973</c:v>
              </c:pt>
              <c:pt idx="367">
                <c:v>0.18905100488236973</c:v>
              </c:pt>
              <c:pt idx="368">
                <c:v>0.1893933479445321</c:v>
              </c:pt>
              <c:pt idx="369">
                <c:v>0.1893933479445321</c:v>
              </c:pt>
              <c:pt idx="370">
                <c:v>0.18973569100669452</c:v>
              </c:pt>
              <c:pt idx="371">
                <c:v>0.18973569100669452</c:v>
              </c:pt>
              <c:pt idx="372">
                <c:v>0.19007803406885693</c:v>
              </c:pt>
              <c:pt idx="373">
                <c:v>0.19007803406885693</c:v>
              </c:pt>
              <c:pt idx="374">
                <c:v>0.1904203771310193</c:v>
              </c:pt>
              <c:pt idx="375">
                <c:v>0.1904203771310193</c:v>
              </c:pt>
              <c:pt idx="376">
                <c:v>0.19076272019318172</c:v>
              </c:pt>
              <c:pt idx="377">
                <c:v>0.19076272019318172</c:v>
              </c:pt>
              <c:pt idx="378">
                <c:v>0.19110506325534413</c:v>
              </c:pt>
              <c:pt idx="379">
                <c:v>0.19110506325534413</c:v>
              </c:pt>
              <c:pt idx="380">
                <c:v>0.1914474063175065</c:v>
              </c:pt>
              <c:pt idx="381">
                <c:v>0.1914474063175065</c:v>
              </c:pt>
              <c:pt idx="382">
                <c:v>0.19178974937966892</c:v>
              </c:pt>
              <c:pt idx="383">
                <c:v>0.19178974937966892</c:v>
              </c:pt>
              <c:pt idx="384">
                <c:v>0.19213209244183133</c:v>
              </c:pt>
              <c:pt idx="385">
                <c:v>0.19213209244183133</c:v>
              </c:pt>
              <c:pt idx="386">
                <c:v>0.1924744355039937</c:v>
              </c:pt>
              <c:pt idx="387">
                <c:v>0.1924744355039937</c:v>
              </c:pt>
              <c:pt idx="388">
                <c:v>0.19281677856615612</c:v>
              </c:pt>
              <c:pt idx="389">
                <c:v>0.19281677856615612</c:v>
              </c:pt>
              <c:pt idx="390">
                <c:v>0.1931591216283185</c:v>
              </c:pt>
              <c:pt idx="391">
                <c:v>0.1931591216283185</c:v>
              </c:pt>
              <c:pt idx="392">
                <c:v>0.1935014646904809</c:v>
              </c:pt>
              <c:pt idx="393">
                <c:v>0.1935014646904809</c:v>
              </c:pt>
              <c:pt idx="394">
                <c:v>0.19384380775264332</c:v>
              </c:pt>
              <c:pt idx="395">
                <c:v>0.19384380775264332</c:v>
              </c:pt>
              <c:pt idx="396">
                <c:v>0.1941861508148057</c:v>
              </c:pt>
              <c:pt idx="397">
                <c:v>0.1941861508148057</c:v>
              </c:pt>
              <c:pt idx="398">
                <c:v>0.1945284938769681</c:v>
              </c:pt>
              <c:pt idx="399">
                <c:v>0.1945284938769681</c:v>
              </c:pt>
              <c:pt idx="400">
                <c:v>0.19487083693913052</c:v>
              </c:pt>
              <c:pt idx="401">
                <c:v>0.19487083693913052</c:v>
              </c:pt>
              <c:pt idx="402">
                <c:v>0.1952131800012929</c:v>
              </c:pt>
              <c:pt idx="403">
                <c:v>0.1952131800012929</c:v>
              </c:pt>
              <c:pt idx="404">
                <c:v>0.1955555230634553</c:v>
              </c:pt>
              <c:pt idx="405">
                <c:v>0.1955555230634553</c:v>
              </c:pt>
              <c:pt idx="406">
                <c:v>0.19589786612561771</c:v>
              </c:pt>
              <c:pt idx="407">
                <c:v>0.19589786612561771</c:v>
              </c:pt>
              <c:pt idx="408">
                <c:v>0.1962402091877801</c:v>
              </c:pt>
              <c:pt idx="409">
                <c:v>0.1962402091877801</c:v>
              </c:pt>
              <c:pt idx="410">
                <c:v>0.1965825522499425</c:v>
              </c:pt>
              <c:pt idx="411">
                <c:v>0.1965825522499425</c:v>
              </c:pt>
              <c:pt idx="412">
                <c:v>0.19692489531210491</c:v>
              </c:pt>
              <c:pt idx="413">
                <c:v>0.19692489531210491</c:v>
              </c:pt>
              <c:pt idx="414">
                <c:v>0.1972672383742673</c:v>
              </c:pt>
              <c:pt idx="415">
                <c:v>0.1972672383742673</c:v>
              </c:pt>
              <c:pt idx="416">
                <c:v>0.1976095814364297</c:v>
              </c:pt>
              <c:pt idx="417">
                <c:v>0.1976095814364297</c:v>
              </c:pt>
              <c:pt idx="418">
                <c:v>0.1979519244985921</c:v>
              </c:pt>
              <c:pt idx="419">
                <c:v>0.1979519244985921</c:v>
              </c:pt>
              <c:pt idx="420">
                <c:v>0.1982942675607545</c:v>
              </c:pt>
              <c:pt idx="421">
                <c:v>0.1982942675607545</c:v>
              </c:pt>
              <c:pt idx="422">
                <c:v>0.1986366106229169</c:v>
              </c:pt>
              <c:pt idx="423">
                <c:v>0.1986366106229169</c:v>
              </c:pt>
              <c:pt idx="424">
                <c:v>0.19897895368507929</c:v>
              </c:pt>
              <c:pt idx="425">
                <c:v>0.19897895368507929</c:v>
              </c:pt>
              <c:pt idx="426">
                <c:v>0.1993212967472417</c:v>
              </c:pt>
              <c:pt idx="427">
                <c:v>0.1993212967472417</c:v>
              </c:pt>
              <c:pt idx="428">
                <c:v>0.1996636398094041</c:v>
              </c:pt>
              <c:pt idx="429">
                <c:v>0.1996636398094041</c:v>
              </c:pt>
              <c:pt idx="430">
                <c:v>0.2000059828715665</c:v>
              </c:pt>
              <c:pt idx="431">
                <c:v>0.2000059828715665</c:v>
              </c:pt>
              <c:pt idx="432">
                <c:v>0.2003483259337289</c:v>
              </c:pt>
              <c:pt idx="433">
                <c:v>0.2003483259337289</c:v>
              </c:pt>
              <c:pt idx="434">
                <c:v>0.2006906689958913</c:v>
              </c:pt>
              <c:pt idx="435">
                <c:v>0.2006906689958913</c:v>
              </c:pt>
              <c:pt idx="436">
                <c:v>0.20103301205805368</c:v>
              </c:pt>
              <c:pt idx="437">
                <c:v>0.20103301205805368</c:v>
              </c:pt>
              <c:pt idx="438">
                <c:v>0.2013753551202161</c:v>
              </c:pt>
              <c:pt idx="439">
                <c:v>0.2013753551202161</c:v>
              </c:pt>
              <c:pt idx="440">
                <c:v>0.20152207357542856</c:v>
              </c:pt>
              <c:pt idx="441">
                <c:v>0.20152207357542856</c:v>
              </c:pt>
              <c:pt idx="442">
                <c:v>0.20152207357542856</c:v>
              </c:pt>
              <c:pt idx="443">
                <c:v>0.20152207357542856</c:v>
              </c:pt>
              <c:pt idx="444">
                <c:v>0.20152207357542856</c:v>
              </c:pt>
              <c:pt idx="445">
                <c:v>0.20152207357542856</c:v>
              </c:pt>
              <c:pt idx="446">
                <c:v>0.20186441663759097</c:v>
              </c:pt>
              <c:pt idx="447">
                <c:v>0.20186441663759097</c:v>
              </c:pt>
              <c:pt idx="448">
                <c:v>0.20220675969975335</c:v>
              </c:pt>
              <c:pt idx="449">
                <c:v>0.20220675969975335</c:v>
              </c:pt>
              <c:pt idx="450">
                <c:v>0.20254910276191576</c:v>
              </c:pt>
              <c:pt idx="451">
                <c:v>0.20254910276191576</c:v>
              </c:pt>
              <c:pt idx="452">
                <c:v>0.20289144582407817</c:v>
              </c:pt>
              <c:pt idx="453">
                <c:v>0.20289144582407817</c:v>
              </c:pt>
              <c:pt idx="454">
                <c:v>0.20323378888624055</c:v>
              </c:pt>
              <c:pt idx="455">
                <c:v>0.20323378888624055</c:v>
              </c:pt>
              <c:pt idx="456">
                <c:v>0.20357613194840296</c:v>
              </c:pt>
              <c:pt idx="457">
                <c:v>0.20357613194840296</c:v>
              </c:pt>
              <c:pt idx="458">
                <c:v>0.20391847501056537</c:v>
              </c:pt>
              <c:pt idx="459">
                <c:v>0.20391847501056537</c:v>
              </c:pt>
              <c:pt idx="460">
                <c:v>0.20426081807272775</c:v>
              </c:pt>
              <c:pt idx="461">
                <c:v>0.20426081807272775</c:v>
              </c:pt>
              <c:pt idx="462">
                <c:v>0.20460316113489016</c:v>
              </c:pt>
              <c:pt idx="463">
                <c:v>0.20460316113489016</c:v>
              </c:pt>
              <c:pt idx="464">
                <c:v>0.20494550419705254</c:v>
              </c:pt>
              <c:pt idx="465">
                <c:v>0.20494550419705254</c:v>
              </c:pt>
              <c:pt idx="466">
                <c:v>0.20528784725921495</c:v>
              </c:pt>
              <c:pt idx="467">
                <c:v>0.20528784725921495</c:v>
              </c:pt>
              <c:pt idx="468">
                <c:v>0.20563019032137736</c:v>
              </c:pt>
              <c:pt idx="469">
                <c:v>0.20563019032137736</c:v>
              </c:pt>
              <c:pt idx="470">
                <c:v>0.20597253338353974</c:v>
              </c:pt>
              <c:pt idx="471">
                <c:v>0.20597253338353974</c:v>
              </c:pt>
              <c:pt idx="472">
                <c:v>0.20631487644570215</c:v>
              </c:pt>
              <c:pt idx="473">
                <c:v>0.20631487644570215</c:v>
              </c:pt>
              <c:pt idx="474">
                <c:v>0.20665721950786456</c:v>
              </c:pt>
              <c:pt idx="475">
                <c:v>0.20665721950786456</c:v>
              </c:pt>
              <c:pt idx="476">
                <c:v>0.20699956257002694</c:v>
              </c:pt>
              <c:pt idx="477">
                <c:v>0.20699956257002694</c:v>
              </c:pt>
              <c:pt idx="478">
                <c:v>0.20734190563218935</c:v>
              </c:pt>
              <c:pt idx="479">
                <c:v>0.20734190563218935</c:v>
              </c:pt>
              <c:pt idx="480">
                <c:v>0.20768424869435176</c:v>
              </c:pt>
              <c:pt idx="481">
                <c:v>0.20768424869435176</c:v>
              </c:pt>
              <c:pt idx="482">
                <c:v>0.20802659175651414</c:v>
              </c:pt>
              <c:pt idx="483">
                <c:v>0.20802659175651414</c:v>
              </c:pt>
              <c:pt idx="484">
                <c:v>0.20836893481867655</c:v>
              </c:pt>
              <c:pt idx="485">
                <c:v>0.20836893481867655</c:v>
              </c:pt>
              <c:pt idx="486">
                <c:v>0.20871127788083896</c:v>
              </c:pt>
              <c:pt idx="487">
                <c:v>0.20871127788083896</c:v>
              </c:pt>
              <c:pt idx="488">
                <c:v>0.20905362094300134</c:v>
              </c:pt>
              <c:pt idx="489">
                <c:v>0.20905362094300134</c:v>
              </c:pt>
              <c:pt idx="490">
                <c:v>0.20939596400516375</c:v>
              </c:pt>
              <c:pt idx="491">
                <c:v>0.20939596400516375</c:v>
              </c:pt>
              <c:pt idx="492">
                <c:v>0.20973830706732616</c:v>
              </c:pt>
              <c:pt idx="493">
                <c:v>0.20973830706732616</c:v>
              </c:pt>
              <c:pt idx="494">
                <c:v>0.21008065012948854</c:v>
              </c:pt>
              <c:pt idx="495">
                <c:v>0.21008065012948854</c:v>
              </c:pt>
              <c:pt idx="496">
                <c:v>0.21042299319165095</c:v>
              </c:pt>
              <c:pt idx="497">
                <c:v>0.21042299319165095</c:v>
              </c:pt>
              <c:pt idx="498">
                <c:v>0.21076533625381333</c:v>
              </c:pt>
              <c:pt idx="499">
                <c:v>0.21076533625381333</c:v>
              </c:pt>
              <c:pt idx="500">
                <c:v>0.21110767931597574</c:v>
              </c:pt>
              <c:pt idx="501">
                <c:v>0.21110767931597574</c:v>
              </c:pt>
              <c:pt idx="502">
                <c:v>0.21145002237813815</c:v>
              </c:pt>
              <c:pt idx="503">
                <c:v>0.21145002237813815</c:v>
              </c:pt>
              <c:pt idx="504">
                <c:v>0.21179236544030053</c:v>
              </c:pt>
              <c:pt idx="505">
                <c:v>0.21179236544030053</c:v>
              </c:pt>
              <c:pt idx="506">
                <c:v>0.21213470850246294</c:v>
              </c:pt>
              <c:pt idx="507">
                <c:v>0.21213470850246294</c:v>
              </c:pt>
              <c:pt idx="508">
                <c:v>0.21247705156462535</c:v>
              </c:pt>
              <c:pt idx="509">
                <c:v>0.21247705156462535</c:v>
              </c:pt>
              <c:pt idx="510">
                <c:v>0.21281939462678773</c:v>
              </c:pt>
              <c:pt idx="511">
                <c:v>0.21281939462678773</c:v>
              </c:pt>
              <c:pt idx="512">
                <c:v>0.21316173768895014</c:v>
              </c:pt>
              <c:pt idx="513">
                <c:v>0.21316173768895014</c:v>
              </c:pt>
              <c:pt idx="514">
                <c:v>0.21350408075111255</c:v>
              </c:pt>
              <c:pt idx="515">
                <c:v>0.21350408075111255</c:v>
              </c:pt>
              <c:pt idx="516">
                <c:v>0.21384642381327493</c:v>
              </c:pt>
              <c:pt idx="517">
                <c:v>0.21384642381327493</c:v>
              </c:pt>
              <c:pt idx="518">
                <c:v>0.21418876687543734</c:v>
              </c:pt>
              <c:pt idx="519">
                <c:v>0.21418876687543734</c:v>
              </c:pt>
              <c:pt idx="520">
                <c:v>0.21453110993759975</c:v>
              </c:pt>
              <c:pt idx="521">
                <c:v>0.21453110993759975</c:v>
              </c:pt>
              <c:pt idx="522">
                <c:v>0.21487345299976213</c:v>
              </c:pt>
              <c:pt idx="523">
                <c:v>0.21487345299976213</c:v>
              </c:pt>
              <c:pt idx="524">
                <c:v>0.21521579606192454</c:v>
              </c:pt>
              <c:pt idx="525">
                <c:v>0.21521579606192454</c:v>
              </c:pt>
              <c:pt idx="526">
                <c:v>0.21555813912408694</c:v>
              </c:pt>
              <c:pt idx="527">
                <c:v>0.21555813912408694</c:v>
              </c:pt>
              <c:pt idx="528">
                <c:v>0.21590048218624933</c:v>
              </c:pt>
              <c:pt idx="529">
                <c:v>0.21590048218624933</c:v>
              </c:pt>
              <c:pt idx="530">
                <c:v>0.21624282524841174</c:v>
              </c:pt>
              <c:pt idx="531">
                <c:v>0.21624282524841174</c:v>
              </c:pt>
              <c:pt idx="532">
                <c:v>0.21658516831057412</c:v>
              </c:pt>
              <c:pt idx="533">
                <c:v>0.21658516831057412</c:v>
              </c:pt>
              <c:pt idx="534">
                <c:v>0.21692751137273653</c:v>
              </c:pt>
              <c:pt idx="535">
                <c:v>0.21692751137273653</c:v>
              </c:pt>
              <c:pt idx="536">
                <c:v>0.21726985443489893</c:v>
              </c:pt>
              <c:pt idx="537">
                <c:v>0.21726985443489893</c:v>
              </c:pt>
              <c:pt idx="538">
                <c:v>0.21761219749706134</c:v>
              </c:pt>
              <c:pt idx="539">
                <c:v>0.21761219749706134</c:v>
              </c:pt>
              <c:pt idx="540">
                <c:v>0.21795454055922373</c:v>
              </c:pt>
              <c:pt idx="541">
                <c:v>0.21795454055922373</c:v>
              </c:pt>
              <c:pt idx="542">
                <c:v>0.21829688362138613</c:v>
              </c:pt>
              <c:pt idx="543">
                <c:v>0.21829688362138613</c:v>
              </c:pt>
              <c:pt idx="544">
                <c:v>0.21863922668354852</c:v>
              </c:pt>
              <c:pt idx="545">
                <c:v>0.21863922668354852</c:v>
              </c:pt>
              <c:pt idx="546">
                <c:v>0.21898156974571092</c:v>
              </c:pt>
              <c:pt idx="547">
                <c:v>0.21898156974571092</c:v>
              </c:pt>
              <c:pt idx="548">
                <c:v>0.21932391280787333</c:v>
              </c:pt>
              <c:pt idx="549">
                <c:v>0.21932391280787333</c:v>
              </c:pt>
              <c:pt idx="550">
                <c:v>0.21966625587003571</c:v>
              </c:pt>
              <c:pt idx="551">
                <c:v>0.21966625587003571</c:v>
              </c:pt>
              <c:pt idx="552">
                <c:v>0.22000859893219812</c:v>
              </c:pt>
              <c:pt idx="553">
                <c:v>0.22000859893219812</c:v>
              </c:pt>
              <c:pt idx="554">
                <c:v>0.22035094199436053</c:v>
              </c:pt>
              <c:pt idx="555">
                <c:v>0.22035094199436053</c:v>
              </c:pt>
              <c:pt idx="556">
                <c:v>0.22069328505652291</c:v>
              </c:pt>
              <c:pt idx="557">
                <c:v>0.22069328505652291</c:v>
              </c:pt>
              <c:pt idx="558">
                <c:v>0.22103562811868532</c:v>
              </c:pt>
              <c:pt idx="559">
                <c:v>0.22103562811868532</c:v>
              </c:pt>
              <c:pt idx="560">
                <c:v>0.22137797118084773</c:v>
              </c:pt>
              <c:pt idx="561">
                <c:v>0.22137797118084773</c:v>
              </c:pt>
              <c:pt idx="562">
                <c:v>0.2217203142430101</c:v>
              </c:pt>
              <c:pt idx="563">
                <c:v>0.2217203142430101</c:v>
              </c:pt>
              <c:pt idx="564">
                <c:v>0.22206265730517252</c:v>
              </c:pt>
              <c:pt idx="565">
                <c:v>0.22206265730517252</c:v>
              </c:pt>
              <c:pt idx="566">
                <c:v>0.2224050003673349</c:v>
              </c:pt>
              <c:pt idx="567">
                <c:v>0.2224050003673349</c:v>
              </c:pt>
              <c:pt idx="568">
                <c:v>0.2227473434294973</c:v>
              </c:pt>
              <c:pt idx="569">
                <c:v>0.2227473434294973</c:v>
              </c:pt>
              <c:pt idx="570">
                <c:v>0.22308968649165972</c:v>
              </c:pt>
              <c:pt idx="571">
                <c:v>0.22308968649165972</c:v>
              </c:pt>
              <c:pt idx="572">
                <c:v>0.22343202955382213</c:v>
              </c:pt>
              <c:pt idx="573">
                <c:v>0.22343202955382213</c:v>
              </c:pt>
              <c:pt idx="574">
                <c:v>0.2237743726159845</c:v>
              </c:pt>
              <c:pt idx="575">
                <c:v>0.2237743726159845</c:v>
              </c:pt>
              <c:pt idx="576">
                <c:v>0.22411671567814692</c:v>
              </c:pt>
              <c:pt idx="577">
                <c:v>0.22411671567814692</c:v>
              </c:pt>
              <c:pt idx="578">
                <c:v>0.2244590587403093</c:v>
              </c:pt>
              <c:pt idx="579">
                <c:v>0.2244590587403093</c:v>
              </c:pt>
              <c:pt idx="580">
                <c:v>0.2248014018024717</c:v>
              </c:pt>
              <c:pt idx="581">
                <c:v>0.2248014018024717</c:v>
              </c:pt>
              <c:pt idx="582">
                <c:v>0.22514374486463412</c:v>
              </c:pt>
              <c:pt idx="583">
                <c:v>0.22514374486463412</c:v>
              </c:pt>
              <c:pt idx="584">
                <c:v>0.2254860879267965</c:v>
              </c:pt>
              <c:pt idx="585">
                <c:v>0.2254860879267965</c:v>
              </c:pt>
              <c:pt idx="586">
                <c:v>0.2258284309889589</c:v>
              </c:pt>
              <c:pt idx="587">
                <c:v>0.2258284309889589</c:v>
              </c:pt>
              <c:pt idx="588">
                <c:v>0.22597514944417135</c:v>
              </c:pt>
              <c:pt idx="589">
                <c:v>0.22597514944417135</c:v>
              </c:pt>
              <c:pt idx="590">
                <c:v>0.22597514944417135</c:v>
              </c:pt>
              <c:pt idx="591">
                <c:v>0.22597514944417135</c:v>
              </c:pt>
              <c:pt idx="592">
                <c:v>0.22597514944417135</c:v>
              </c:pt>
              <c:pt idx="593">
                <c:v>0.22597514944417135</c:v>
              </c:pt>
              <c:pt idx="594">
                <c:v>0.22631749250633376</c:v>
              </c:pt>
              <c:pt idx="595">
                <c:v>0.22631749250633376</c:v>
              </c:pt>
              <c:pt idx="596">
                <c:v>0.22665983556849614</c:v>
              </c:pt>
              <c:pt idx="597">
                <c:v>0.22665983556849614</c:v>
              </c:pt>
              <c:pt idx="598">
                <c:v>0.22700217863065855</c:v>
              </c:pt>
              <c:pt idx="599">
                <c:v>0.22700217863065855</c:v>
              </c:pt>
              <c:pt idx="600">
                <c:v>0.22734452169282096</c:v>
              </c:pt>
              <c:pt idx="601">
                <c:v>0.22734452169282096</c:v>
              </c:pt>
              <c:pt idx="602">
                <c:v>0.22768686475498334</c:v>
              </c:pt>
              <c:pt idx="603">
                <c:v>0.22768686475498334</c:v>
              </c:pt>
              <c:pt idx="604">
                <c:v>0.22802920781714575</c:v>
              </c:pt>
              <c:pt idx="605">
                <c:v>0.22802920781714575</c:v>
              </c:pt>
              <c:pt idx="606">
                <c:v>0.22837155087930816</c:v>
              </c:pt>
              <c:pt idx="607">
                <c:v>0.22837155087930816</c:v>
              </c:pt>
              <c:pt idx="608">
                <c:v>0.22871389394147054</c:v>
              </c:pt>
              <c:pt idx="609">
                <c:v>0.22871389394147054</c:v>
              </c:pt>
              <c:pt idx="610">
                <c:v>0.22905623700363295</c:v>
              </c:pt>
              <c:pt idx="611">
                <c:v>0.22905623700363295</c:v>
              </c:pt>
              <c:pt idx="612">
                <c:v>0.22939858006579533</c:v>
              </c:pt>
              <c:pt idx="613">
                <c:v>0.22939858006579533</c:v>
              </c:pt>
              <c:pt idx="614">
                <c:v>0.22974092312795774</c:v>
              </c:pt>
              <c:pt idx="615">
                <c:v>0.22974092312795774</c:v>
              </c:pt>
              <c:pt idx="616">
                <c:v>0.23008326619012015</c:v>
              </c:pt>
              <c:pt idx="617">
                <c:v>0.23008326619012015</c:v>
              </c:pt>
              <c:pt idx="618">
                <c:v>0.23042560925228253</c:v>
              </c:pt>
              <c:pt idx="619">
                <c:v>0.23042560925228253</c:v>
              </c:pt>
              <c:pt idx="620">
                <c:v>0.23076795231444494</c:v>
              </c:pt>
              <c:pt idx="621">
                <c:v>0.23076795231444494</c:v>
              </c:pt>
              <c:pt idx="622">
                <c:v>0.23111029537660735</c:v>
              </c:pt>
              <c:pt idx="623">
                <c:v>0.23111029537660735</c:v>
              </c:pt>
              <c:pt idx="624">
                <c:v>0.23145263843876973</c:v>
              </c:pt>
              <c:pt idx="625">
                <c:v>0.23145263843876973</c:v>
              </c:pt>
              <c:pt idx="626">
                <c:v>0.23179498150093214</c:v>
              </c:pt>
              <c:pt idx="627">
                <c:v>0.23179498150093214</c:v>
              </c:pt>
              <c:pt idx="628">
                <c:v>0.23213732456309455</c:v>
              </c:pt>
              <c:pt idx="629">
                <c:v>0.23213732456309455</c:v>
              </c:pt>
              <c:pt idx="630">
                <c:v>0.23247966762525693</c:v>
              </c:pt>
              <c:pt idx="631">
                <c:v>0.23247966762525693</c:v>
              </c:pt>
              <c:pt idx="632">
                <c:v>0.23282201068741934</c:v>
              </c:pt>
              <c:pt idx="633">
                <c:v>0.23282201068741934</c:v>
              </c:pt>
              <c:pt idx="634">
                <c:v>0.23316435374958175</c:v>
              </c:pt>
              <c:pt idx="635">
                <c:v>0.23316435374958175</c:v>
              </c:pt>
              <c:pt idx="636">
                <c:v>0.23350669681174413</c:v>
              </c:pt>
              <c:pt idx="637">
                <c:v>0.23350669681174413</c:v>
              </c:pt>
              <c:pt idx="638">
                <c:v>0.23384903987390654</c:v>
              </c:pt>
              <c:pt idx="639">
                <c:v>0.23384903987390654</c:v>
              </c:pt>
              <c:pt idx="640">
                <c:v>0.23419138293606895</c:v>
              </c:pt>
              <c:pt idx="641">
                <c:v>0.23419138293606895</c:v>
              </c:pt>
              <c:pt idx="642">
                <c:v>0.23453372599823133</c:v>
              </c:pt>
              <c:pt idx="643">
                <c:v>0.23453372599823133</c:v>
              </c:pt>
              <c:pt idx="644">
                <c:v>0.23487606906039374</c:v>
              </c:pt>
              <c:pt idx="645">
                <c:v>0.23487606906039374</c:v>
              </c:pt>
              <c:pt idx="646">
                <c:v>0.23521841212255612</c:v>
              </c:pt>
              <c:pt idx="647">
                <c:v>0.23521841212255612</c:v>
              </c:pt>
              <c:pt idx="648">
                <c:v>0.23556075518471853</c:v>
              </c:pt>
              <c:pt idx="649">
                <c:v>0.23556075518471853</c:v>
              </c:pt>
              <c:pt idx="650">
                <c:v>0.23590309824688094</c:v>
              </c:pt>
              <c:pt idx="651">
                <c:v>0.23590309824688094</c:v>
              </c:pt>
              <c:pt idx="652">
                <c:v>0.23624544130904332</c:v>
              </c:pt>
              <c:pt idx="653">
                <c:v>0.23624544130904332</c:v>
              </c:pt>
              <c:pt idx="654">
                <c:v>0.23658778437120573</c:v>
              </c:pt>
              <c:pt idx="655">
                <c:v>0.23658778437120573</c:v>
              </c:pt>
              <c:pt idx="656">
                <c:v>0.23693012743336814</c:v>
              </c:pt>
              <c:pt idx="657">
                <c:v>0.23693012743336814</c:v>
              </c:pt>
              <c:pt idx="658">
                <c:v>0.23727247049553052</c:v>
              </c:pt>
              <c:pt idx="659">
                <c:v>0.23727247049553052</c:v>
              </c:pt>
              <c:pt idx="660">
                <c:v>0.23761481355769293</c:v>
              </c:pt>
              <c:pt idx="661">
                <c:v>0.23761481355769293</c:v>
              </c:pt>
              <c:pt idx="662">
                <c:v>0.23795715661985534</c:v>
              </c:pt>
              <c:pt idx="663">
                <c:v>0.23795715661985534</c:v>
              </c:pt>
              <c:pt idx="664">
                <c:v>0.23829949968201772</c:v>
              </c:pt>
              <c:pt idx="665">
                <c:v>0.23829949968201772</c:v>
              </c:pt>
              <c:pt idx="666">
                <c:v>0.23864184274418013</c:v>
              </c:pt>
              <c:pt idx="667">
                <c:v>0.23864184274418013</c:v>
              </c:pt>
              <c:pt idx="668">
                <c:v>0.23898418580634254</c:v>
              </c:pt>
              <c:pt idx="669">
                <c:v>0.23898418580634254</c:v>
              </c:pt>
              <c:pt idx="670">
                <c:v>0.23932652886850492</c:v>
              </c:pt>
              <c:pt idx="671">
                <c:v>0.23932652886850492</c:v>
              </c:pt>
              <c:pt idx="672">
                <c:v>0.23966887193066733</c:v>
              </c:pt>
              <c:pt idx="673">
                <c:v>0.23966887193066733</c:v>
              </c:pt>
              <c:pt idx="674">
                <c:v>0.24001121499282974</c:v>
              </c:pt>
              <c:pt idx="675">
                <c:v>0.24001121499282974</c:v>
              </c:pt>
              <c:pt idx="676">
                <c:v>0.24035355805499212</c:v>
              </c:pt>
              <c:pt idx="677">
                <c:v>0.24035355805499212</c:v>
              </c:pt>
              <c:pt idx="678">
                <c:v>0.24069590111715453</c:v>
              </c:pt>
              <c:pt idx="679">
                <c:v>0.24069590111715453</c:v>
              </c:pt>
              <c:pt idx="680">
                <c:v>0.2410382441793169</c:v>
              </c:pt>
              <c:pt idx="681">
                <c:v>0.2410382441793169</c:v>
              </c:pt>
              <c:pt idx="682">
                <c:v>0.24138058724147932</c:v>
              </c:pt>
              <c:pt idx="683">
                <c:v>0.24138058724147932</c:v>
              </c:pt>
              <c:pt idx="684">
                <c:v>0.24172293030364173</c:v>
              </c:pt>
              <c:pt idx="685">
                <c:v>0.24172293030364173</c:v>
              </c:pt>
              <c:pt idx="686">
                <c:v>0.24206527336580413</c:v>
              </c:pt>
              <c:pt idx="687">
                <c:v>0.24206527336580413</c:v>
              </c:pt>
              <c:pt idx="688">
                <c:v>0.24240761642796652</c:v>
              </c:pt>
              <c:pt idx="689">
                <c:v>0.24240761642796652</c:v>
              </c:pt>
              <c:pt idx="690">
                <c:v>0.24274995949012892</c:v>
              </c:pt>
              <c:pt idx="691">
                <c:v>0.24274995949012892</c:v>
              </c:pt>
              <c:pt idx="692">
                <c:v>0.2430923025522913</c:v>
              </c:pt>
              <c:pt idx="693">
                <c:v>0.2430923025522913</c:v>
              </c:pt>
              <c:pt idx="694">
                <c:v>0.24343464561445372</c:v>
              </c:pt>
              <c:pt idx="695">
                <c:v>0.24343464561445372</c:v>
              </c:pt>
              <c:pt idx="696">
                <c:v>0.24377698867661612</c:v>
              </c:pt>
              <c:pt idx="697">
                <c:v>0.24377698867661612</c:v>
              </c:pt>
              <c:pt idx="698">
                <c:v>0.2441193317387785</c:v>
              </c:pt>
              <c:pt idx="699">
                <c:v>0.2441193317387785</c:v>
              </c:pt>
              <c:pt idx="700">
                <c:v>0.24446167480094091</c:v>
              </c:pt>
              <c:pt idx="701">
                <c:v>0.24446167480094091</c:v>
              </c:pt>
              <c:pt idx="702">
                <c:v>0.24480401786310332</c:v>
              </c:pt>
              <c:pt idx="703">
                <c:v>0.24480401786310332</c:v>
              </c:pt>
              <c:pt idx="704">
                <c:v>0.2451463609252657</c:v>
              </c:pt>
              <c:pt idx="705">
                <c:v>0.2451463609252657</c:v>
              </c:pt>
              <c:pt idx="706">
                <c:v>0.24548870398742811</c:v>
              </c:pt>
              <c:pt idx="707">
                <c:v>0.24548870398742811</c:v>
              </c:pt>
              <c:pt idx="708">
                <c:v>0.24583104704959052</c:v>
              </c:pt>
              <c:pt idx="709">
                <c:v>0.24583104704959052</c:v>
              </c:pt>
              <c:pt idx="710">
                <c:v>0.2461733901117529</c:v>
              </c:pt>
              <c:pt idx="711">
                <c:v>0.2461733901117529</c:v>
              </c:pt>
              <c:pt idx="712">
                <c:v>0.2465157331739153</c:v>
              </c:pt>
              <c:pt idx="713">
                <c:v>0.2465157331739153</c:v>
              </c:pt>
              <c:pt idx="714">
                <c:v>0.2468580762360777</c:v>
              </c:pt>
              <c:pt idx="715">
                <c:v>0.2468580762360777</c:v>
              </c:pt>
              <c:pt idx="716">
                <c:v>0.2472004192982401</c:v>
              </c:pt>
              <c:pt idx="717">
                <c:v>0.2472004192982401</c:v>
              </c:pt>
              <c:pt idx="718">
                <c:v>0.2475427623604025</c:v>
              </c:pt>
              <c:pt idx="719">
                <c:v>0.2475427623604025</c:v>
              </c:pt>
              <c:pt idx="720">
                <c:v>0.24788510542256492</c:v>
              </c:pt>
              <c:pt idx="721">
                <c:v>0.24788510542256492</c:v>
              </c:pt>
              <c:pt idx="722">
                <c:v>0.2482274484847273</c:v>
              </c:pt>
              <c:pt idx="723">
                <c:v>0.2482274484847273</c:v>
              </c:pt>
              <c:pt idx="724">
                <c:v>0.2485697915468897</c:v>
              </c:pt>
              <c:pt idx="725">
                <c:v>0.2485697915468897</c:v>
              </c:pt>
              <c:pt idx="726">
                <c:v>0.2489121346090521</c:v>
              </c:pt>
              <c:pt idx="727">
                <c:v>0.2489121346090521</c:v>
              </c:pt>
              <c:pt idx="728">
                <c:v>0.2492544776712145</c:v>
              </c:pt>
              <c:pt idx="729">
                <c:v>0.2492544776712145</c:v>
              </c:pt>
              <c:pt idx="730">
                <c:v>0.2495968207333769</c:v>
              </c:pt>
              <c:pt idx="731">
                <c:v>0.2495968207333769</c:v>
              </c:pt>
              <c:pt idx="732">
                <c:v>0.2499391637955393</c:v>
              </c:pt>
              <c:pt idx="733">
                <c:v>0.2499391637955393</c:v>
              </c:pt>
              <c:pt idx="734">
                <c:v>0.2502815068577017</c:v>
              </c:pt>
              <c:pt idx="735">
                <c:v>0.2502815068577017</c:v>
              </c:pt>
              <c:pt idx="736">
                <c:v>0.25042822531291414</c:v>
              </c:pt>
              <c:pt idx="737">
                <c:v>0.25042822531291414</c:v>
              </c:pt>
              <c:pt idx="738">
                <c:v>0.25042822531291414</c:v>
              </c:pt>
              <c:pt idx="739">
                <c:v>0.25042822531291414</c:v>
              </c:pt>
              <c:pt idx="740">
                <c:v>0.25042822531291414</c:v>
              </c:pt>
              <c:pt idx="741">
                <c:v>0.25042822531291414</c:v>
              </c:pt>
              <c:pt idx="742">
                <c:v>0.25077056837507655</c:v>
              </c:pt>
              <c:pt idx="743">
                <c:v>0.25077056837507655</c:v>
              </c:pt>
              <c:pt idx="744">
                <c:v>0.25111291143723896</c:v>
              </c:pt>
              <c:pt idx="745">
                <c:v>0.25111291143723896</c:v>
              </c:pt>
              <c:pt idx="746">
                <c:v>0.2514552544994013</c:v>
              </c:pt>
              <c:pt idx="747">
                <c:v>0.2514552544994013</c:v>
              </c:pt>
              <c:pt idx="748">
                <c:v>0.2517975975615637</c:v>
              </c:pt>
              <c:pt idx="749">
                <c:v>0.2517975975615637</c:v>
              </c:pt>
              <c:pt idx="750">
                <c:v>0.25213994062372613</c:v>
              </c:pt>
              <c:pt idx="751">
                <c:v>0.25213994062372613</c:v>
              </c:pt>
              <c:pt idx="752">
                <c:v>0.25248228368588854</c:v>
              </c:pt>
              <c:pt idx="753">
                <c:v>0.25248228368588854</c:v>
              </c:pt>
              <c:pt idx="754">
                <c:v>0.25282462674805095</c:v>
              </c:pt>
              <c:pt idx="755">
                <c:v>0.25282462674805095</c:v>
              </c:pt>
              <c:pt idx="756">
                <c:v>0.25316696981021336</c:v>
              </c:pt>
              <c:pt idx="757">
                <c:v>0.25316696981021336</c:v>
              </c:pt>
              <c:pt idx="758">
                <c:v>0.2535093128723757</c:v>
              </c:pt>
              <c:pt idx="759">
                <c:v>0.2535093128723757</c:v>
              </c:pt>
              <c:pt idx="760">
                <c:v>0.2538516559345381</c:v>
              </c:pt>
              <c:pt idx="761">
                <c:v>0.2538516559345381</c:v>
              </c:pt>
              <c:pt idx="762">
                <c:v>0.25419399899670053</c:v>
              </c:pt>
              <c:pt idx="763">
                <c:v>0.25419399899670053</c:v>
              </c:pt>
              <c:pt idx="764">
                <c:v>0.25453634205886294</c:v>
              </c:pt>
              <c:pt idx="765">
                <c:v>0.25453634205886294</c:v>
              </c:pt>
              <c:pt idx="766">
                <c:v>0.25487868512102535</c:v>
              </c:pt>
              <c:pt idx="767">
                <c:v>0.25487868512102535</c:v>
              </c:pt>
              <c:pt idx="768">
                <c:v>0.25522102818318776</c:v>
              </c:pt>
              <c:pt idx="769">
                <c:v>0.25522102818318776</c:v>
              </c:pt>
              <c:pt idx="770">
                <c:v>0.2555633712453501</c:v>
              </c:pt>
              <c:pt idx="771">
                <c:v>0.2555633712453501</c:v>
              </c:pt>
              <c:pt idx="772">
                <c:v>0.2559057143075125</c:v>
              </c:pt>
              <c:pt idx="773">
                <c:v>0.2559057143075125</c:v>
              </c:pt>
              <c:pt idx="774">
                <c:v>0.25624805736967493</c:v>
              </c:pt>
              <c:pt idx="775">
                <c:v>0.25624805736967493</c:v>
              </c:pt>
              <c:pt idx="776">
                <c:v>0.25659040043183734</c:v>
              </c:pt>
              <c:pt idx="777">
                <c:v>0.25659040043183734</c:v>
              </c:pt>
              <c:pt idx="778">
                <c:v>0.25693274349399975</c:v>
              </c:pt>
              <c:pt idx="779">
                <c:v>0.25693274349399975</c:v>
              </c:pt>
              <c:pt idx="780">
                <c:v>0.2572750865561621</c:v>
              </c:pt>
              <c:pt idx="781">
                <c:v>0.2572750865561621</c:v>
              </c:pt>
              <c:pt idx="782">
                <c:v>0.2576174296183245</c:v>
              </c:pt>
              <c:pt idx="783">
                <c:v>0.2576174296183245</c:v>
              </c:pt>
              <c:pt idx="784">
                <c:v>0.2579597726804869</c:v>
              </c:pt>
              <c:pt idx="785">
                <c:v>0.2579597726804869</c:v>
              </c:pt>
              <c:pt idx="786">
                <c:v>0.25830211574264933</c:v>
              </c:pt>
              <c:pt idx="787">
                <c:v>0.25830211574264933</c:v>
              </c:pt>
              <c:pt idx="788">
                <c:v>0.25864445880481174</c:v>
              </c:pt>
              <c:pt idx="789">
                <c:v>0.25864445880481174</c:v>
              </c:pt>
              <c:pt idx="790">
                <c:v>0.25898680186697415</c:v>
              </c:pt>
              <c:pt idx="791">
                <c:v>0.25898680186697415</c:v>
              </c:pt>
              <c:pt idx="792">
                <c:v>0.2593291449291365</c:v>
              </c:pt>
              <c:pt idx="793">
                <c:v>0.2593291449291365</c:v>
              </c:pt>
              <c:pt idx="794">
                <c:v>0.2596714879912989</c:v>
              </c:pt>
              <c:pt idx="795">
                <c:v>0.2596714879912989</c:v>
              </c:pt>
              <c:pt idx="796">
                <c:v>0.2600138310534613</c:v>
              </c:pt>
              <c:pt idx="797">
                <c:v>0.2600138310534613</c:v>
              </c:pt>
              <c:pt idx="798">
                <c:v>0.26035617411562373</c:v>
              </c:pt>
              <c:pt idx="799">
                <c:v>0.26035617411562373</c:v>
              </c:pt>
              <c:pt idx="800">
                <c:v>0.26069851717778614</c:v>
              </c:pt>
              <c:pt idx="801">
                <c:v>0.26069851717778614</c:v>
              </c:pt>
              <c:pt idx="802">
                <c:v>0.26104086023994855</c:v>
              </c:pt>
              <c:pt idx="803">
                <c:v>0.26104086023994855</c:v>
              </c:pt>
              <c:pt idx="804">
                <c:v>0.2613832033021109</c:v>
              </c:pt>
              <c:pt idx="805">
                <c:v>0.2613832033021109</c:v>
              </c:pt>
              <c:pt idx="806">
                <c:v>0.2617255463642733</c:v>
              </c:pt>
              <c:pt idx="807">
                <c:v>0.2617255463642733</c:v>
              </c:pt>
              <c:pt idx="808">
                <c:v>0.2620678894264357</c:v>
              </c:pt>
              <c:pt idx="809">
                <c:v>0.2620678894264357</c:v>
              </c:pt>
              <c:pt idx="810">
                <c:v>0.2624102324885981</c:v>
              </c:pt>
              <c:pt idx="811">
                <c:v>0.2624102324885981</c:v>
              </c:pt>
              <c:pt idx="812">
                <c:v>0.26275257555076054</c:v>
              </c:pt>
              <c:pt idx="813">
                <c:v>0.26275257555076054</c:v>
              </c:pt>
              <c:pt idx="814">
                <c:v>0.2630949186129229</c:v>
              </c:pt>
              <c:pt idx="815">
                <c:v>0.2630949186129229</c:v>
              </c:pt>
              <c:pt idx="816">
                <c:v>0.2634372616750853</c:v>
              </c:pt>
              <c:pt idx="817">
                <c:v>0.2634372616750853</c:v>
              </c:pt>
              <c:pt idx="818">
                <c:v>0.2637796047372477</c:v>
              </c:pt>
              <c:pt idx="819">
                <c:v>0.2637796047372477</c:v>
              </c:pt>
              <c:pt idx="820">
                <c:v>0.2641219477994101</c:v>
              </c:pt>
              <c:pt idx="821">
                <c:v>0.2641219477994101</c:v>
              </c:pt>
              <c:pt idx="822">
                <c:v>0.2644642908615725</c:v>
              </c:pt>
              <c:pt idx="823">
                <c:v>0.2644642908615725</c:v>
              </c:pt>
              <c:pt idx="824">
                <c:v>0.26480663392373494</c:v>
              </c:pt>
              <c:pt idx="825">
                <c:v>0.26480663392373494</c:v>
              </c:pt>
              <c:pt idx="826">
                <c:v>0.2651489769858973</c:v>
              </c:pt>
              <c:pt idx="827">
                <c:v>0.2651489769858973</c:v>
              </c:pt>
              <c:pt idx="828">
                <c:v>0.2654913200480597</c:v>
              </c:pt>
              <c:pt idx="829">
                <c:v>0.2654913200480597</c:v>
              </c:pt>
              <c:pt idx="830">
                <c:v>0.2658336631102221</c:v>
              </c:pt>
              <c:pt idx="831">
                <c:v>0.2658336631102221</c:v>
              </c:pt>
              <c:pt idx="832">
                <c:v>0.2661760061723845</c:v>
              </c:pt>
              <c:pt idx="833">
                <c:v>0.2661760061723845</c:v>
              </c:pt>
              <c:pt idx="834">
                <c:v>0.2665183492345469</c:v>
              </c:pt>
              <c:pt idx="835">
                <c:v>0.2665183492345469</c:v>
              </c:pt>
              <c:pt idx="836">
                <c:v>0.26686069229670933</c:v>
              </c:pt>
              <c:pt idx="837">
                <c:v>0.26686069229670933</c:v>
              </c:pt>
              <c:pt idx="838">
                <c:v>0.2672030353588717</c:v>
              </c:pt>
              <c:pt idx="839">
                <c:v>0.2672030353588717</c:v>
              </c:pt>
              <c:pt idx="840">
                <c:v>0.2675453784210341</c:v>
              </c:pt>
              <c:pt idx="841">
                <c:v>0.2675453784210341</c:v>
              </c:pt>
              <c:pt idx="842">
                <c:v>0.2678877214831965</c:v>
              </c:pt>
              <c:pt idx="843">
                <c:v>0.2678877214831965</c:v>
              </c:pt>
              <c:pt idx="844">
                <c:v>0.2682300645453589</c:v>
              </c:pt>
              <c:pt idx="845">
                <c:v>0.2682300645453589</c:v>
              </c:pt>
              <c:pt idx="846">
                <c:v>0.2685724076075213</c:v>
              </c:pt>
              <c:pt idx="847">
                <c:v>0.2685724076075213</c:v>
              </c:pt>
              <c:pt idx="848">
                <c:v>0.26891475066968373</c:v>
              </c:pt>
              <c:pt idx="849">
                <c:v>0.26891475066968373</c:v>
              </c:pt>
              <c:pt idx="850">
                <c:v>0.2692570937318461</c:v>
              </c:pt>
              <c:pt idx="851">
                <c:v>0.2692570937318461</c:v>
              </c:pt>
              <c:pt idx="852">
                <c:v>0.2695994367940085</c:v>
              </c:pt>
              <c:pt idx="853">
                <c:v>0.2695994367940085</c:v>
              </c:pt>
              <c:pt idx="854">
                <c:v>0.2699417798561709</c:v>
              </c:pt>
              <c:pt idx="855">
                <c:v>0.2699417798561709</c:v>
              </c:pt>
              <c:pt idx="856">
                <c:v>0.2702841229183333</c:v>
              </c:pt>
              <c:pt idx="857">
                <c:v>0.2702841229183333</c:v>
              </c:pt>
              <c:pt idx="858">
                <c:v>0.2706264659804957</c:v>
              </c:pt>
              <c:pt idx="859">
                <c:v>0.2706264659804957</c:v>
              </c:pt>
              <c:pt idx="860">
                <c:v>0.2709688090426581</c:v>
              </c:pt>
              <c:pt idx="861">
                <c:v>0.2709688090426581</c:v>
              </c:pt>
              <c:pt idx="862">
                <c:v>0.2713111521048205</c:v>
              </c:pt>
              <c:pt idx="863">
                <c:v>0.2713111521048205</c:v>
              </c:pt>
              <c:pt idx="864">
                <c:v>0.2716534951669829</c:v>
              </c:pt>
              <c:pt idx="865">
                <c:v>0.2716534951669829</c:v>
              </c:pt>
              <c:pt idx="866">
                <c:v>0.2719958382291453</c:v>
              </c:pt>
              <c:pt idx="867">
                <c:v>0.2719958382291453</c:v>
              </c:pt>
              <c:pt idx="868">
                <c:v>0.2723381812913077</c:v>
              </c:pt>
              <c:pt idx="869">
                <c:v>0.2723381812913077</c:v>
              </c:pt>
              <c:pt idx="870">
                <c:v>0.2726805243534701</c:v>
              </c:pt>
              <c:pt idx="871">
                <c:v>0.2726805243534701</c:v>
              </c:pt>
              <c:pt idx="872">
                <c:v>0.2730228674156325</c:v>
              </c:pt>
              <c:pt idx="873">
                <c:v>0.2730228674156325</c:v>
              </c:pt>
              <c:pt idx="874">
                <c:v>0.2733652104777949</c:v>
              </c:pt>
              <c:pt idx="875">
                <c:v>0.2733652104777949</c:v>
              </c:pt>
              <c:pt idx="876">
                <c:v>0.2737075535399573</c:v>
              </c:pt>
              <c:pt idx="877">
                <c:v>0.2737075535399573</c:v>
              </c:pt>
              <c:pt idx="878">
                <c:v>0.2740498966021197</c:v>
              </c:pt>
              <c:pt idx="879">
                <c:v>0.2740498966021197</c:v>
              </c:pt>
              <c:pt idx="880">
                <c:v>0.2743922396642821</c:v>
              </c:pt>
              <c:pt idx="881">
                <c:v>0.2743922396642821</c:v>
              </c:pt>
              <c:pt idx="882">
                <c:v>0.27473458272644447</c:v>
              </c:pt>
              <c:pt idx="883">
                <c:v>0.27473458272644447</c:v>
              </c:pt>
              <c:pt idx="884">
                <c:v>0.274881301181657</c:v>
              </c:pt>
              <c:pt idx="885">
                <c:v>0.274881301181657</c:v>
              </c:pt>
              <c:pt idx="886">
                <c:v>0.274881301181657</c:v>
              </c:pt>
              <c:pt idx="887">
                <c:v>0.274881301181657</c:v>
              </c:pt>
              <c:pt idx="888">
                <c:v>0.274881301181657</c:v>
              </c:pt>
              <c:pt idx="889">
                <c:v>0.274881301181657</c:v>
              </c:pt>
              <c:pt idx="890">
                <c:v>0.2752236442438194</c:v>
              </c:pt>
              <c:pt idx="891">
                <c:v>0.2752236442438194</c:v>
              </c:pt>
              <c:pt idx="892">
                <c:v>0.2755659873059818</c:v>
              </c:pt>
              <c:pt idx="893">
                <c:v>0.2755659873059818</c:v>
              </c:pt>
              <c:pt idx="894">
                <c:v>0.27590833036814416</c:v>
              </c:pt>
              <c:pt idx="895">
                <c:v>0.27590833036814416</c:v>
              </c:pt>
              <c:pt idx="896">
                <c:v>0.27625067343030657</c:v>
              </c:pt>
              <c:pt idx="897">
                <c:v>0.27625067343030657</c:v>
              </c:pt>
              <c:pt idx="898">
                <c:v>0.276593016492469</c:v>
              </c:pt>
              <c:pt idx="899">
                <c:v>0.276593016492469</c:v>
              </c:pt>
              <c:pt idx="900">
                <c:v>0.2769353595546314</c:v>
              </c:pt>
              <c:pt idx="901">
                <c:v>0.2769353595546314</c:v>
              </c:pt>
              <c:pt idx="902">
                <c:v>0.2772777026167938</c:v>
              </c:pt>
              <c:pt idx="903">
                <c:v>0.2772777026167938</c:v>
              </c:pt>
              <c:pt idx="904">
                <c:v>0.2776200456789562</c:v>
              </c:pt>
              <c:pt idx="905">
                <c:v>0.2776200456789562</c:v>
              </c:pt>
              <c:pt idx="906">
                <c:v>0.27796238874111856</c:v>
              </c:pt>
              <c:pt idx="907">
                <c:v>0.27796238874111856</c:v>
              </c:pt>
              <c:pt idx="908">
                <c:v>0.27830473180328097</c:v>
              </c:pt>
              <c:pt idx="909">
                <c:v>0.27830473180328097</c:v>
              </c:pt>
              <c:pt idx="910">
                <c:v>0.2786470748654434</c:v>
              </c:pt>
              <c:pt idx="911">
                <c:v>0.2786470748654434</c:v>
              </c:pt>
              <c:pt idx="912">
                <c:v>0.2789894179276058</c:v>
              </c:pt>
              <c:pt idx="913">
                <c:v>0.2789894179276058</c:v>
              </c:pt>
              <c:pt idx="914">
                <c:v>0.2793317609897682</c:v>
              </c:pt>
              <c:pt idx="915">
                <c:v>0.2793317609897682</c:v>
              </c:pt>
              <c:pt idx="916">
                <c:v>0.2796741040519306</c:v>
              </c:pt>
              <c:pt idx="917">
                <c:v>0.2796741040519306</c:v>
              </c:pt>
              <c:pt idx="918">
                <c:v>0.28001644711409296</c:v>
              </c:pt>
              <c:pt idx="919">
                <c:v>0.28001644711409296</c:v>
              </c:pt>
              <c:pt idx="920">
                <c:v>0.28035879017625537</c:v>
              </c:pt>
              <c:pt idx="921">
                <c:v>0.28035879017625537</c:v>
              </c:pt>
              <c:pt idx="922">
                <c:v>0.2807011332384178</c:v>
              </c:pt>
              <c:pt idx="923">
                <c:v>0.2807011332384178</c:v>
              </c:pt>
              <c:pt idx="924">
                <c:v>0.2810434763005802</c:v>
              </c:pt>
              <c:pt idx="925">
                <c:v>0.2810434763005802</c:v>
              </c:pt>
              <c:pt idx="926">
                <c:v>0.2813858193627426</c:v>
              </c:pt>
              <c:pt idx="927">
                <c:v>0.2813858193627426</c:v>
              </c:pt>
              <c:pt idx="928">
                <c:v>0.28172816242490495</c:v>
              </c:pt>
              <c:pt idx="929">
                <c:v>0.28172816242490495</c:v>
              </c:pt>
              <c:pt idx="930">
                <c:v>0.28207050548706736</c:v>
              </c:pt>
              <c:pt idx="931">
                <c:v>0.28207050548706736</c:v>
              </c:pt>
              <c:pt idx="932">
                <c:v>0.28241284854922977</c:v>
              </c:pt>
              <c:pt idx="933">
                <c:v>0.28241284854922977</c:v>
              </c:pt>
              <c:pt idx="934">
                <c:v>0.2827551916113922</c:v>
              </c:pt>
              <c:pt idx="935">
                <c:v>0.2827551916113922</c:v>
              </c:pt>
              <c:pt idx="936">
                <c:v>0.2830975346735546</c:v>
              </c:pt>
              <c:pt idx="937">
                <c:v>0.2830975346735546</c:v>
              </c:pt>
              <c:pt idx="938">
                <c:v>0.283439877735717</c:v>
              </c:pt>
              <c:pt idx="939">
                <c:v>0.283439877735717</c:v>
              </c:pt>
              <c:pt idx="940">
                <c:v>0.28378222079787935</c:v>
              </c:pt>
              <c:pt idx="941">
                <c:v>0.28378222079787935</c:v>
              </c:pt>
              <c:pt idx="942">
                <c:v>0.28412456386004176</c:v>
              </c:pt>
              <c:pt idx="943">
                <c:v>0.28412456386004176</c:v>
              </c:pt>
              <c:pt idx="944">
                <c:v>0.28446690692220417</c:v>
              </c:pt>
              <c:pt idx="945">
                <c:v>0.28446690692220417</c:v>
              </c:pt>
              <c:pt idx="946">
                <c:v>0.2848092499843666</c:v>
              </c:pt>
              <c:pt idx="947">
                <c:v>0.2848092499843666</c:v>
              </c:pt>
              <c:pt idx="948">
                <c:v>0.285151593046529</c:v>
              </c:pt>
              <c:pt idx="949">
                <c:v>0.285151593046529</c:v>
              </c:pt>
              <c:pt idx="950">
                <c:v>0.2854939361086914</c:v>
              </c:pt>
              <c:pt idx="951">
                <c:v>0.2854939361086914</c:v>
              </c:pt>
              <c:pt idx="952">
                <c:v>0.28583627917085375</c:v>
              </c:pt>
              <c:pt idx="953">
                <c:v>0.28583627917085375</c:v>
              </c:pt>
              <c:pt idx="954">
                <c:v>0.28617862223301616</c:v>
              </c:pt>
              <c:pt idx="955">
                <c:v>0.28617862223301616</c:v>
              </c:pt>
              <c:pt idx="956">
                <c:v>0.28652096529517856</c:v>
              </c:pt>
              <c:pt idx="957">
                <c:v>0.28652096529517856</c:v>
              </c:pt>
              <c:pt idx="958">
                <c:v>0.286863308357341</c:v>
              </c:pt>
              <c:pt idx="959">
                <c:v>0.286863308357341</c:v>
              </c:pt>
              <c:pt idx="960">
                <c:v>0.2872056514195034</c:v>
              </c:pt>
              <c:pt idx="961">
                <c:v>0.2872056514195034</c:v>
              </c:pt>
              <c:pt idx="962">
                <c:v>0.2875479944816658</c:v>
              </c:pt>
              <c:pt idx="963">
                <c:v>0.2875479944816658</c:v>
              </c:pt>
              <c:pt idx="964">
                <c:v>0.28789033754382815</c:v>
              </c:pt>
              <c:pt idx="965">
                <c:v>0.28789033754382815</c:v>
              </c:pt>
              <c:pt idx="966">
                <c:v>0.28823268060599055</c:v>
              </c:pt>
              <c:pt idx="967">
                <c:v>0.28823268060599055</c:v>
              </c:pt>
              <c:pt idx="968">
                <c:v>0.28857502366815296</c:v>
              </c:pt>
              <c:pt idx="969">
                <c:v>0.28857502366815296</c:v>
              </c:pt>
              <c:pt idx="970">
                <c:v>0.2889173667303154</c:v>
              </c:pt>
              <c:pt idx="971">
                <c:v>0.2889173667303154</c:v>
              </c:pt>
              <c:pt idx="972">
                <c:v>0.2892597097924778</c:v>
              </c:pt>
              <c:pt idx="973">
                <c:v>0.2892597097924778</c:v>
              </c:pt>
              <c:pt idx="974">
                <c:v>0.28960205285464014</c:v>
              </c:pt>
              <c:pt idx="975">
                <c:v>0.28960205285464014</c:v>
              </c:pt>
              <c:pt idx="976">
                <c:v>0.28994439591680254</c:v>
              </c:pt>
              <c:pt idx="977">
                <c:v>0.28994439591680254</c:v>
              </c:pt>
              <c:pt idx="978">
                <c:v>0.29028673897896495</c:v>
              </c:pt>
              <c:pt idx="979">
                <c:v>0.29028673897896495</c:v>
              </c:pt>
              <c:pt idx="980">
                <c:v>0.29062908204112736</c:v>
              </c:pt>
              <c:pt idx="981">
                <c:v>0.29062908204112736</c:v>
              </c:pt>
              <c:pt idx="982">
                <c:v>0.29097142510328977</c:v>
              </c:pt>
              <c:pt idx="983">
                <c:v>0.29097142510328977</c:v>
              </c:pt>
              <c:pt idx="984">
                <c:v>0.2913137681654522</c:v>
              </c:pt>
              <c:pt idx="985">
                <c:v>0.2913137681654522</c:v>
              </c:pt>
              <c:pt idx="986">
                <c:v>0.29165611122761453</c:v>
              </c:pt>
              <c:pt idx="987">
                <c:v>0.29165611122761453</c:v>
              </c:pt>
              <c:pt idx="988">
                <c:v>0.29199845428977694</c:v>
              </c:pt>
              <c:pt idx="989">
                <c:v>0.29199845428977694</c:v>
              </c:pt>
              <c:pt idx="990">
                <c:v>0.29234079735193935</c:v>
              </c:pt>
              <c:pt idx="991">
                <c:v>0.29234079735193935</c:v>
              </c:pt>
              <c:pt idx="992">
                <c:v>0.29268314041410176</c:v>
              </c:pt>
              <c:pt idx="993">
                <c:v>0.29268314041410176</c:v>
              </c:pt>
              <c:pt idx="994">
                <c:v>0.29302548347626417</c:v>
              </c:pt>
              <c:pt idx="995">
                <c:v>0.29302548347626417</c:v>
              </c:pt>
              <c:pt idx="996">
                <c:v>0.2933678265384265</c:v>
              </c:pt>
              <c:pt idx="997">
                <c:v>0.2933678265384265</c:v>
              </c:pt>
              <c:pt idx="998">
                <c:v>0.29371016960058893</c:v>
              </c:pt>
              <c:pt idx="999">
                <c:v>0.29371016960058893</c:v>
              </c:pt>
              <c:pt idx="1000">
                <c:v>0.29405251266275134</c:v>
              </c:pt>
              <c:pt idx="1001">
                <c:v>0.29405251266275134</c:v>
              </c:pt>
              <c:pt idx="1002">
                <c:v>0.29439485572491375</c:v>
              </c:pt>
              <c:pt idx="1003">
                <c:v>0.29439485572491375</c:v>
              </c:pt>
              <c:pt idx="1004">
                <c:v>0.29473719878707616</c:v>
              </c:pt>
              <c:pt idx="1005">
                <c:v>0.29473719878707616</c:v>
              </c:pt>
              <c:pt idx="1006">
                <c:v>0.29507954184923857</c:v>
              </c:pt>
              <c:pt idx="1007">
                <c:v>0.29507954184923857</c:v>
              </c:pt>
              <c:pt idx="1008">
                <c:v>0.2954218849114009</c:v>
              </c:pt>
              <c:pt idx="1009">
                <c:v>0.2954218849114009</c:v>
              </c:pt>
              <c:pt idx="1010">
                <c:v>0.29576422797356333</c:v>
              </c:pt>
              <c:pt idx="1011">
                <c:v>0.29576422797356333</c:v>
              </c:pt>
              <c:pt idx="1012">
                <c:v>0.29610657103572574</c:v>
              </c:pt>
              <c:pt idx="1013">
                <c:v>0.29610657103572574</c:v>
              </c:pt>
              <c:pt idx="1014">
                <c:v>0.29644891409788815</c:v>
              </c:pt>
              <c:pt idx="1015">
                <c:v>0.29644891409788815</c:v>
              </c:pt>
              <c:pt idx="1016">
                <c:v>0.29679125716005056</c:v>
              </c:pt>
              <c:pt idx="1017">
                <c:v>0.29679125716005056</c:v>
              </c:pt>
              <c:pt idx="1018">
                <c:v>0.29713360022221297</c:v>
              </c:pt>
              <c:pt idx="1019">
                <c:v>0.29713360022221297</c:v>
              </c:pt>
              <c:pt idx="1020">
                <c:v>0.2974759432843753</c:v>
              </c:pt>
              <c:pt idx="1021">
                <c:v>0.2974759432843753</c:v>
              </c:pt>
              <c:pt idx="1022">
                <c:v>0.29781828634653773</c:v>
              </c:pt>
              <c:pt idx="1023">
                <c:v>0.29781828634653773</c:v>
              </c:pt>
              <c:pt idx="1024">
                <c:v>0.29816062940870014</c:v>
              </c:pt>
              <c:pt idx="1025">
                <c:v>0.29816062940870014</c:v>
              </c:pt>
              <c:pt idx="1026">
                <c:v>0.29850297247086255</c:v>
              </c:pt>
              <c:pt idx="1027">
                <c:v>0.29850297247086255</c:v>
              </c:pt>
              <c:pt idx="1028">
                <c:v>0.29884531553302496</c:v>
              </c:pt>
              <c:pt idx="1029">
                <c:v>0.29884531553302496</c:v>
              </c:pt>
              <c:pt idx="1030">
                <c:v>0.29918765859518737</c:v>
              </c:pt>
              <c:pt idx="1031">
                <c:v>0.29918765859518737</c:v>
              </c:pt>
              <c:pt idx="1032">
                <c:v>0.2993343770503998</c:v>
              </c:pt>
              <c:pt idx="1033">
                <c:v>0.2993343770503998</c:v>
              </c:pt>
              <c:pt idx="1034">
                <c:v>0.2993343770503998</c:v>
              </c:pt>
              <c:pt idx="1035">
                <c:v>0.2993343770503998</c:v>
              </c:pt>
              <c:pt idx="1036">
                <c:v>0.2993343770503998</c:v>
              </c:pt>
              <c:pt idx="1037">
                <c:v>0.2993343770503998</c:v>
              </c:pt>
              <c:pt idx="1038">
                <c:v>0.2996767201125622</c:v>
              </c:pt>
              <c:pt idx="1039">
                <c:v>0.2996767201125622</c:v>
              </c:pt>
              <c:pt idx="1040">
                <c:v>0.3000190631747246</c:v>
              </c:pt>
              <c:pt idx="1041">
                <c:v>0.3000190631747246</c:v>
              </c:pt>
              <c:pt idx="1042">
                <c:v>0.30036140623688695</c:v>
              </c:pt>
              <c:pt idx="1043">
                <c:v>0.30036140623688695</c:v>
              </c:pt>
              <c:pt idx="1044">
                <c:v>0.30070374929904936</c:v>
              </c:pt>
              <c:pt idx="1045">
                <c:v>0.30070374929904936</c:v>
              </c:pt>
              <c:pt idx="1046">
                <c:v>0.30104609236121177</c:v>
              </c:pt>
              <c:pt idx="1047">
                <c:v>0.30104609236121177</c:v>
              </c:pt>
              <c:pt idx="1048">
                <c:v>0.3013884354233742</c:v>
              </c:pt>
              <c:pt idx="1049">
                <c:v>0.3013884354233742</c:v>
              </c:pt>
              <c:pt idx="1050">
                <c:v>0.3017307784855366</c:v>
              </c:pt>
              <c:pt idx="1051">
                <c:v>0.3017307784855366</c:v>
              </c:pt>
              <c:pt idx="1052">
                <c:v>0.302073121547699</c:v>
              </c:pt>
              <c:pt idx="1053">
                <c:v>0.302073121547699</c:v>
              </c:pt>
              <c:pt idx="1054">
                <c:v>0.30241546460986135</c:v>
              </c:pt>
              <c:pt idx="1055">
                <c:v>0.30241546460986135</c:v>
              </c:pt>
              <c:pt idx="1056">
                <c:v>0.30275780767202376</c:v>
              </c:pt>
              <c:pt idx="1057">
                <c:v>0.30275780767202376</c:v>
              </c:pt>
              <c:pt idx="1058">
                <c:v>0.30310015073418617</c:v>
              </c:pt>
              <c:pt idx="1059">
                <c:v>0.30310015073418617</c:v>
              </c:pt>
              <c:pt idx="1060">
                <c:v>0.3034424937963486</c:v>
              </c:pt>
              <c:pt idx="1061">
                <c:v>0.3034424937963486</c:v>
              </c:pt>
              <c:pt idx="1062">
                <c:v>0.303784836858511</c:v>
              </c:pt>
              <c:pt idx="1063">
                <c:v>0.303784836858511</c:v>
              </c:pt>
              <c:pt idx="1064">
                <c:v>0.3041271799206734</c:v>
              </c:pt>
              <c:pt idx="1065">
                <c:v>0.3041271799206734</c:v>
              </c:pt>
              <c:pt idx="1066">
                <c:v>0.30446952298283575</c:v>
              </c:pt>
              <c:pt idx="1067">
                <c:v>0.30446952298283575</c:v>
              </c:pt>
              <c:pt idx="1068">
                <c:v>0.30481186604499816</c:v>
              </c:pt>
              <c:pt idx="1069">
                <c:v>0.30481186604499816</c:v>
              </c:pt>
              <c:pt idx="1070">
                <c:v>0.30515420910716057</c:v>
              </c:pt>
              <c:pt idx="1071">
                <c:v>0.30515420910716057</c:v>
              </c:pt>
              <c:pt idx="1072">
                <c:v>0.305496552169323</c:v>
              </c:pt>
              <c:pt idx="1073">
                <c:v>0.305496552169323</c:v>
              </c:pt>
              <c:pt idx="1074">
                <c:v>0.3058388952314854</c:v>
              </c:pt>
              <c:pt idx="1075">
                <c:v>0.3058388952314854</c:v>
              </c:pt>
              <c:pt idx="1076">
                <c:v>0.30618123829364774</c:v>
              </c:pt>
              <c:pt idx="1077">
                <c:v>0.30618123829364774</c:v>
              </c:pt>
              <c:pt idx="1078">
                <c:v>0.30652358135581015</c:v>
              </c:pt>
              <c:pt idx="1079">
                <c:v>0.30652358135581015</c:v>
              </c:pt>
              <c:pt idx="1080">
                <c:v>0.30686592441797256</c:v>
              </c:pt>
              <c:pt idx="1081">
                <c:v>0.30686592441797256</c:v>
              </c:pt>
              <c:pt idx="1082">
                <c:v>0.30720826748013497</c:v>
              </c:pt>
              <c:pt idx="1083">
                <c:v>0.30720826748013497</c:v>
              </c:pt>
              <c:pt idx="1084">
                <c:v>0.3075506105422974</c:v>
              </c:pt>
              <c:pt idx="1085">
                <c:v>0.3075506105422974</c:v>
              </c:pt>
              <c:pt idx="1086">
                <c:v>0.3078929536044598</c:v>
              </c:pt>
              <c:pt idx="1087">
                <c:v>0.3078929536044598</c:v>
              </c:pt>
              <c:pt idx="1088">
                <c:v>0.30823529666662214</c:v>
              </c:pt>
              <c:pt idx="1089">
                <c:v>0.30823529666662214</c:v>
              </c:pt>
              <c:pt idx="1090">
                <c:v>0.30857763972878455</c:v>
              </c:pt>
              <c:pt idx="1091">
                <c:v>0.30857763972878455</c:v>
              </c:pt>
              <c:pt idx="1092">
                <c:v>0.30891998279094696</c:v>
              </c:pt>
              <c:pt idx="1093">
                <c:v>0.30891998279094696</c:v>
              </c:pt>
              <c:pt idx="1094">
                <c:v>0.30926232585310937</c:v>
              </c:pt>
              <c:pt idx="1095">
                <c:v>0.30926232585310937</c:v>
              </c:pt>
              <c:pt idx="1096">
                <c:v>0.3096046689152718</c:v>
              </c:pt>
              <c:pt idx="1097">
                <c:v>0.3096046689152718</c:v>
              </c:pt>
              <c:pt idx="1098">
                <c:v>0.3099470119774342</c:v>
              </c:pt>
              <c:pt idx="1099">
                <c:v>0.3099470119774342</c:v>
              </c:pt>
              <c:pt idx="1100">
                <c:v>0.31028935503959654</c:v>
              </c:pt>
              <c:pt idx="1101">
                <c:v>0.31028935503959654</c:v>
              </c:pt>
              <c:pt idx="1102">
                <c:v>0.31063169810175895</c:v>
              </c:pt>
              <c:pt idx="1103">
                <c:v>0.31063169810175895</c:v>
              </c:pt>
              <c:pt idx="1104">
                <c:v>0.31097404116392136</c:v>
              </c:pt>
              <c:pt idx="1105">
                <c:v>0.31097404116392136</c:v>
              </c:pt>
              <c:pt idx="1106">
                <c:v>0.31131638422608376</c:v>
              </c:pt>
              <c:pt idx="1107">
                <c:v>0.31131638422608376</c:v>
              </c:pt>
              <c:pt idx="1108">
                <c:v>0.3116587272882462</c:v>
              </c:pt>
              <c:pt idx="1109">
                <c:v>0.3116587272882462</c:v>
              </c:pt>
              <c:pt idx="1110">
                <c:v>0.3120010703504086</c:v>
              </c:pt>
              <c:pt idx="1111">
                <c:v>0.3120010703504086</c:v>
              </c:pt>
              <c:pt idx="1112">
                <c:v>0.31234341341257094</c:v>
              </c:pt>
              <c:pt idx="1113">
                <c:v>0.31234341341257094</c:v>
              </c:pt>
              <c:pt idx="1114">
                <c:v>0.31268575647473335</c:v>
              </c:pt>
              <c:pt idx="1115">
                <c:v>0.31268575647473335</c:v>
              </c:pt>
              <c:pt idx="1116">
                <c:v>0.31302809953689575</c:v>
              </c:pt>
              <c:pt idx="1117">
                <c:v>0.31302809953689575</c:v>
              </c:pt>
              <c:pt idx="1118">
                <c:v>0.31337044259905816</c:v>
              </c:pt>
              <c:pt idx="1119">
                <c:v>0.31337044259905816</c:v>
              </c:pt>
              <c:pt idx="1120">
                <c:v>0.3137127856612206</c:v>
              </c:pt>
              <c:pt idx="1121">
                <c:v>0.3137127856612206</c:v>
              </c:pt>
              <c:pt idx="1122">
                <c:v>0.3140551287233829</c:v>
              </c:pt>
              <c:pt idx="1123">
                <c:v>0.3140551287233829</c:v>
              </c:pt>
              <c:pt idx="1124">
                <c:v>0.31439747178554533</c:v>
              </c:pt>
              <c:pt idx="1125">
                <c:v>0.31439747178554533</c:v>
              </c:pt>
              <c:pt idx="1126">
                <c:v>0.31473981484770774</c:v>
              </c:pt>
              <c:pt idx="1127">
                <c:v>0.31473981484770774</c:v>
              </c:pt>
              <c:pt idx="1128">
                <c:v>0.31508215790987015</c:v>
              </c:pt>
              <c:pt idx="1129">
                <c:v>0.31508215790987015</c:v>
              </c:pt>
              <c:pt idx="1130">
                <c:v>0.31542450097203256</c:v>
              </c:pt>
              <c:pt idx="1131">
                <c:v>0.31542450097203256</c:v>
              </c:pt>
              <c:pt idx="1132">
                <c:v>0.31576684403419497</c:v>
              </c:pt>
              <c:pt idx="1133">
                <c:v>0.31576684403419497</c:v>
              </c:pt>
              <c:pt idx="1134">
                <c:v>0.3161091870963573</c:v>
              </c:pt>
              <c:pt idx="1135">
                <c:v>0.3161091870963573</c:v>
              </c:pt>
              <c:pt idx="1136">
                <c:v>0.31645153015851973</c:v>
              </c:pt>
              <c:pt idx="1137">
                <c:v>0.31645153015851973</c:v>
              </c:pt>
              <c:pt idx="1138">
                <c:v>0.31679387322068214</c:v>
              </c:pt>
              <c:pt idx="1139">
                <c:v>0.31679387322068214</c:v>
              </c:pt>
              <c:pt idx="1140">
                <c:v>0.31713621628284455</c:v>
              </c:pt>
              <c:pt idx="1141">
                <c:v>0.31713621628284455</c:v>
              </c:pt>
              <c:pt idx="1142">
                <c:v>0.31747855934500696</c:v>
              </c:pt>
              <c:pt idx="1143">
                <c:v>0.31747855934500696</c:v>
              </c:pt>
              <c:pt idx="1144">
                <c:v>0.3178209024071693</c:v>
              </c:pt>
              <c:pt idx="1145">
                <c:v>0.3178209024071693</c:v>
              </c:pt>
              <c:pt idx="1146">
                <c:v>0.3181632454693317</c:v>
              </c:pt>
              <c:pt idx="1147">
                <c:v>0.3181632454693317</c:v>
              </c:pt>
              <c:pt idx="1148">
                <c:v>0.31850558853149413</c:v>
              </c:pt>
              <c:pt idx="1149">
                <c:v>0.31850558853149413</c:v>
              </c:pt>
              <c:pt idx="1150">
                <c:v>0.31884793159365654</c:v>
              </c:pt>
              <c:pt idx="1151">
                <c:v>0.31884793159365654</c:v>
              </c:pt>
              <c:pt idx="1152">
                <c:v>0.31919027465581895</c:v>
              </c:pt>
              <c:pt idx="1153">
                <c:v>0.31919027465581895</c:v>
              </c:pt>
              <c:pt idx="1154">
                <c:v>0.31953261771798136</c:v>
              </c:pt>
              <c:pt idx="1155">
                <c:v>0.31953261771798136</c:v>
              </c:pt>
              <c:pt idx="1156">
                <c:v>0.3198749607801437</c:v>
              </c:pt>
              <c:pt idx="1157">
                <c:v>0.3198749607801437</c:v>
              </c:pt>
              <c:pt idx="1158">
                <c:v>0.3202173038423061</c:v>
              </c:pt>
              <c:pt idx="1159">
                <c:v>0.3202173038423061</c:v>
              </c:pt>
              <c:pt idx="1160">
                <c:v>0.32055964690446853</c:v>
              </c:pt>
              <c:pt idx="1161">
                <c:v>0.32055964690446853</c:v>
              </c:pt>
              <c:pt idx="1162">
                <c:v>0.32090198996663094</c:v>
              </c:pt>
              <c:pt idx="1163">
                <c:v>0.32090198996663094</c:v>
              </c:pt>
              <c:pt idx="1164">
                <c:v>0.32124433302879335</c:v>
              </c:pt>
              <c:pt idx="1165">
                <c:v>0.32124433302879335</c:v>
              </c:pt>
              <c:pt idx="1166">
                <c:v>0.32158667609095576</c:v>
              </c:pt>
              <c:pt idx="1167">
                <c:v>0.32158667609095576</c:v>
              </c:pt>
              <c:pt idx="1168">
                <c:v>0.3219290191531181</c:v>
              </c:pt>
              <c:pt idx="1169">
                <c:v>0.3219290191531181</c:v>
              </c:pt>
              <c:pt idx="1170">
                <c:v>0.3222713622152805</c:v>
              </c:pt>
              <c:pt idx="1171">
                <c:v>0.3222713622152805</c:v>
              </c:pt>
              <c:pt idx="1172">
                <c:v>0.32261370527744293</c:v>
              </c:pt>
              <c:pt idx="1173">
                <c:v>0.32261370527744293</c:v>
              </c:pt>
              <c:pt idx="1174">
                <c:v>0.32295604833960534</c:v>
              </c:pt>
              <c:pt idx="1175">
                <c:v>0.32295604833960534</c:v>
              </c:pt>
              <c:pt idx="1176">
                <c:v>0.32329839140176775</c:v>
              </c:pt>
              <c:pt idx="1177">
                <c:v>0.32329839140176775</c:v>
              </c:pt>
              <c:pt idx="1178">
                <c:v>0.32364073446393016</c:v>
              </c:pt>
              <c:pt idx="1179">
                <c:v>0.32364073446393016</c:v>
              </c:pt>
              <c:pt idx="1180">
                <c:v>0.32378745291914257</c:v>
              </c:pt>
              <c:pt idx="1181">
                <c:v>0.32378745291914257</c:v>
              </c:pt>
              <c:pt idx="1182">
                <c:v>0.32378745291914257</c:v>
              </c:pt>
              <c:pt idx="1183">
                <c:v>0.32378745291914257</c:v>
              </c:pt>
              <c:pt idx="1184">
                <c:v>0.32378745291914257</c:v>
              </c:pt>
              <c:pt idx="1185">
                <c:v>0.32378745291914257</c:v>
              </c:pt>
              <c:pt idx="1186">
                <c:v>0.324129795981305</c:v>
              </c:pt>
              <c:pt idx="1187">
                <c:v>0.324129795981305</c:v>
              </c:pt>
              <c:pt idx="1188">
                <c:v>0.3244721390434674</c:v>
              </c:pt>
              <c:pt idx="1189">
                <c:v>0.3244721390434674</c:v>
              </c:pt>
              <c:pt idx="1190">
                <c:v>0.32481448210562974</c:v>
              </c:pt>
              <c:pt idx="1191">
                <c:v>0.32481448210562974</c:v>
              </c:pt>
              <c:pt idx="1192">
                <c:v>0.32515682516779215</c:v>
              </c:pt>
              <c:pt idx="1193">
                <c:v>0.32515682516779215</c:v>
              </c:pt>
              <c:pt idx="1194">
                <c:v>0.32549916822995456</c:v>
              </c:pt>
              <c:pt idx="1195">
                <c:v>0.32549916822995456</c:v>
              </c:pt>
              <c:pt idx="1196">
                <c:v>0.32584151129211697</c:v>
              </c:pt>
              <c:pt idx="1197">
                <c:v>0.32584151129211697</c:v>
              </c:pt>
              <c:pt idx="1198">
                <c:v>0.3261838543542794</c:v>
              </c:pt>
              <c:pt idx="1199">
                <c:v>0.3261838543542794</c:v>
              </c:pt>
              <c:pt idx="1200">
                <c:v>0.3265261974164418</c:v>
              </c:pt>
              <c:pt idx="1201">
                <c:v>0.3265261974164418</c:v>
              </c:pt>
              <c:pt idx="1202">
                <c:v>0.32686854047860414</c:v>
              </c:pt>
              <c:pt idx="1203">
                <c:v>0.32686854047860414</c:v>
              </c:pt>
              <c:pt idx="1204">
                <c:v>0.32721088354076655</c:v>
              </c:pt>
              <c:pt idx="1205">
                <c:v>0.32721088354076655</c:v>
              </c:pt>
              <c:pt idx="1206">
                <c:v>0.32755322660292896</c:v>
              </c:pt>
              <c:pt idx="1207">
                <c:v>0.32755322660292896</c:v>
              </c:pt>
              <c:pt idx="1208">
                <c:v>0.32789556966509137</c:v>
              </c:pt>
              <c:pt idx="1209">
                <c:v>0.32789556966509137</c:v>
              </c:pt>
              <c:pt idx="1210">
                <c:v>0.3282379127272538</c:v>
              </c:pt>
              <c:pt idx="1211">
                <c:v>0.3282379127272538</c:v>
              </c:pt>
              <c:pt idx="1212">
                <c:v>0.3285802557894162</c:v>
              </c:pt>
              <c:pt idx="1213">
                <c:v>0.3285802557894162</c:v>
              </c:pt>
              <c:pt idx="1214">
                <c:v>0.32892259885157854</c:v>
              </c:pt>
              <c:pt idx="1215">
                <c:v>0.32892259885157854</c:v>
              </c:pt>
              <c:pt idx="1216">
                <c:v>0.32926494191374095</c:v>
              </c:pt>
              <c:pt idx="1217">
                <c:v>0.32926494191374095</c:v>
              </c:pt>
              <c:pt idx="1218">
                <c:v>0.32960728497590336</c:v>
              </c:pt>
              <c:pt idx="1219">
                <c:v>0.32960728497590336</c:v>
              </c:pt>
              <c:pt idx="1220">
                <c:v>0.32994962803806577</c:v>
              </c:pt>
              <c:pt idx="1221">
                <c:v>0.32994962803806577</c:v>
              </c:pt>
              <c:pt idx="1222">
                <c:v>0.3302919711002282</c:v>
              </c:pt>
              <c:pt idx="1223">
                <c:v>0.3302919711002282</c:v>
              </c:pt>
              <c:pt idx="1224">
                <c:v>0.33063431416239053</c:v>
              </c:pt>
              <c:pt idx="1225">
                <c:v>0.33063431416239053</c:v>
              </c:pt>
              <c:pt idx="1226">
                <c:v>0.33097665722455294</c:v>
              </c:pt>
              <c:pt idx="1227">
                <c:v>0.33097665722455294</c:v>
              </c:pt>
              <c:pt idx="1228">
                <c:v>0.33131900028671535</c:v>
              </c:pt>
              <c:pt idx="1229">
                <c:v>0.33131900028671535</c:v>
              </c:pt>
              <c:pt idx="1230">
                <c:v>0.33166134334887776</c:v>
              </c:pt>
              <c:pt idx="1231">
                <c:v>0.33166134334887776</c:v>
              </c:pt>
              <c:pt idx="1232">
                <c:v>0.33200368641104017</c:v>
              </c:pt>
              <c:pt idx="1233">
                <c:v>0.33200368641104017</c:v>
              </c:pt>
              <c:pt idx="1234">
                <c:v>0.3323460294732026</c:v>
              </c:pt>
              <c:pt idx="1235">
                <c:v>0.3323460294732026</c:v>
              </c:pt>
              <c:pt idx="1236">
                <c:v>0.33268837253536493</c:v>
              </c:pt>
              <c:pt idx="1237">
                <c:v>0.33268837253536493</c:v>
              </c:pt>
              <c:pt idx="1238">
                <c:v>0.33303071559752734</c:v>
              </c:pt>
              <c:pt idx="1239">
                <c:v>0.33303071559752734</c:v>
              </c:pt>
              <c:pt idx="1240">
                <c:v>0.33337305865968975</c:v>
              </c:pt>
              <c:pt idx="1241">
                <c:v>0.33337305865968975</c:v>
              </c:pt>
              <c:pt idx="1242">
                <c:v>0.33371540172185216</c:v>
              </c:pt>
              <c:pt idx="1243">
                <c:v>0.33371540172185216</c:v>
              </c:pt>
              <c:pt idx="1244">
                <c:v>0.33405774478401457</c:v>
              </c:pt>
              <c:pt idx="1245">
                <c:v>0.33405774478401457</c:v>
              </c:pt>
              <c:pt idx="1246">
                <c:v>0.334400087846177</c:v>
              </c:pt>
              <c:pt idx="1247">
                <c:v>0.334400087846177</c:v>
              </c:pt>
              <c:pt idx="1248">
                <c:v>0.33474243090833933</c:v>
              </c:pt>
              <c:pt idx="1249">
                <c:v>0.33474243090833933</c:v>
              </c:pt>
              <c:pt idx="1250">
                <c:v>0.33508477397050174</c:v>
              </c:pt>
              <c:pt idx="1251">
                <c:v>0.33508477397050174</c:v>
              </c:pt>
              <c:pt idx="1252">
                <c:v>0.33542711703266415</c:v>
              </c:pt>
              <c:pt idx="1253">
                <c:v>0.33542711703266415</c:v>
              </c:pt>
              <c:pt idx="1254">
                <c:v>0.33576946009482656</c:v>
              </c:pt>
              <c:pt idx="1255">
                <c:v>0.33576946009482656</c:v>
              </c:pt>
              <c:pt idx="1256">
                <c:v>0.33611180315698896</c:v>
              </c:pt>
              <c:pt idx="1257">
                <c:v>0.33611180315698896</c:v>
              </c:pt>
              <c:pt idx="1258">
                <c:v>0.3364541462191514</c:v>
              </c:pt>
              <c:pt idx="1259">
                <c:v>0.3364541462191514</c:v>
              </c:pt>
              <c:pt idx="1260">
                <c:v>0.3367964892813137</c:v>
              </c:pt>
              <c:pt idx="1261">
                <c:v>0.3367964892813137</c:v>
              </c:pt>
              <c:pt idx="1262">
                <c:v>0.33713883234347614</c:v>
              </c:pt>
              <c:pt idx="1263">
                <c:v>0.33713883234347614</c:v>
              </c:pt>
              <c:pt idx="1264">
                <c:v>0.33748117540563854</c:v>
              </c:pt>
              <c:pt idx="1265">
                <c:v>0.33748117540563854</c:v>
              </c:pt>
              <c:pt idx="1266">
                <c:v>0.33782351846780095</c:v>
              </c:pt>
              <c:pt idx="1267">
                <c:v>0.33782351846780095</c:v>
              </c:pt>
              <c:pt idx="1268">
                <c:v>0.33816586152996336</c:v>
              </c:pt>
              <c:pt idx="1269">
                <c:v>0.33816586152996336</c:v>
              </c:pt>
              <c:pt idx="1270">
                <c:v>0.3385082045921257</c:v>
              </c:pt>
              <c:pt idx="1271">
                <c:v>0.3385082045921257</c:v>
              </c:pt>
              <c:pt idx="1272">
                <c:v>0.3388505476542881</c:v>
              </c:pt>
              <c:pt idx="1273">
                <c:v>0.3388505476542881</c:v>
              </c:pt>
              <c:pt idx="1274">
                <c:v>0.33919289071645053</c:v>
              </c:pt>
              <c:pt idx="1275">
                <c:v>0.33919289071645053</c:v>
              </c:pt>
              <c:pt idx="1276">
                <c:v>0.33953523377861294</c:v>
              </c:pt>
              <c:pt idx="1277">
                <c:v>0.33953523377861294</c:v>
              </c:pt>
              <c:pt idx="1278">
                <c:v>0.33987757684077535</c:v>
              </c:pt>
              <c:pt idx="1279">
                <c:v>0.33987757684077535</c:v>
              </c:pt>
              <c:pt idx="1280">
                <c:v>0.34021991990293776</c:v>
              </c:pt>
              <c:pt idx="1281">
                <c:v>0.34021991990293776</c:v>
              </c:pt>
              <c:pt idx="1282">
                <c:v>0.3405622629651001</c:v>
              </c:pt>
              <c:pt idx="1283">
                <c:v>0.3405622629651001</c:v>
              </c:pt>
              <c:pt idx="1284">
                <c:v>0.3409046060272625</c:v>
              </c:pt>
              <c:pt idx="1285">
                <c:v>0.3409046060272625</c:v>
              </c:pt>
              <c:pt idx="1286">
                <c:v>0.34124694908942493</c:v>
              </c:pt>
              <c:pt idx="1287">
                <c:v>0.34124694908942493</c:v>
              </c:pt>
              <c:pt idx="1288">
                <c:v>0.34158929215158734</c:v>
              </c:pt>
              <c:pt idx="1289">
                <c:v>0.34158929215158734</c:v>
              </c:pt>
              <c:pt idx="1290">
                <c:v>0.34193163521374975</c:v>
              </c:pt>
              <c:pt idx="1291">
                <c:v>0.34193163521374975</c:v>
              </c:pt>
              <c:pt idx="1292">
                <c:v>0.3422739782759121</c:v>
              </c:pt>
              <c:pt idx="1293">
                <c:v>0.3422739782759121</c:v>
              </c:pt>
              <c:pt idx="1294">
                <c:v>0.3426163213380745</c:v>
              </c:pt>
              <c:pt idx="1295">
                <c:v>0.3426163213380745</c:v>
              </c:pt>
              <c:pt idx="1296">
                <c:v>0.3429586644002369</c:v>
              </c:pt>
              <c:pt idx="1297">
                <c:v>0.3429586644002369</c:v>
              </c:pt>
              <c:pt idx="1298">
                <c:v>0.34330100746239933</c:v>
              </c:pt>
              <c:pt idx="1299">
                <c:v>0.34330100746239933</c:v>
              </c:pt>
              <c:pt idx="1300">
                <c:v>0.34364335052456174</c:v>
              </c:pt>
              <c:pt idx="1301">
                <c:v>0.34364335052456174</c:v>
              </c:pt>
              <c:pt idx="1302">
                <c:v>0.34398569358672415</c:v>
              </c:pt>
              <c:pt idx="1303">
                <c:v>0.34398569358672415</c:v>
              </c:pt>
              <c:pt idx="1304">
                <c:v>0.3443280366488865</c:v>
              </c:pt>
              <c:pt idx="1305">
                <c:v>0.3443280366488865</c:v>
              </c:pt>
              <c:pt idx="1306">
                <c:v>0.3446703797110489</c:v>
              </c:pt>
              <c:pt idx="1307">
                <c:v>0.3446703797110489</c:v>
              </c:pt>
              <c:pt idx="1308">
                <c:v>0.3450127227732113</c:v>
              </c:pt>
              <c:pt idx="1309">
                <c:v>0.3450127227732113</c:v>
              </c:pt>
              <c:pt idx="1310">
                <c:v>0.34535506583537373</c:v>
              </c:pt>
              <c:pt idx="1311">
                <c:v>0.34535506583537373</c:v>
              </c:pt>
              <c:pt idx="1312">
                <c:v>0.34569740889753614</c:v>
              </c:pt>
              <c:pt idx="1313">
                <c:v>0.34569740889753614</c:v>
              </c:pt>
              <c:pt idx="1314">
                <c:v>0.34603975195969855</c:v>
              </c:pt>
              <c:pt idx="1315">
                <c:v>0.34603975195969855</c:v>
              </c:pt>
              <c:pt idx="1316">
                <c:v>0.3463820950218609</c:v>
              </c:pt>
              <c:pt idx="1317">
                <c:v>0.3463820950218609</c:v>
              </c:pt>
              <c:pt idx="1318">
                <c:v>0.3467244380840233</c:v>
              </c:pt>
              <c:pt idx="1319">
                <c:v>0.3467244380840233</c:v>
              </c:pt>
              <c:pt idx="1320">
                <c:v>0.3470667811461857</c:v>
              </c:pt>
              <c:pt idx="1321">
                <c:v>0.3470667811461857</c:v>
              </c:pt>
              <c:pt idx="1322">
                <c:v>0.34740912420834813</c:v>
              </c:pt>
              <c:pt idx="1323">
                <c:v>0.34740912420834813</c:v>
              </c:pt>
              <c:pt idx="1324">
                <c:v>0.34775146727051054</c:v>
              </c:pt>
              <c:pt idx="1325">
                <c:v>0.34775146727051054</c:v>
              </c:pt>
              <c:pt idx="1326">
                <c:v>0.34809381033267295</c:v>
              </c:pt>
              <c:pt idx="1327">
                <c:v>0.34809381033267295</c:v>
              </c:pt>
              <c:pt idx="1328">
                <c:v>0.3482405287878854</c:v>
              </c:pt>
              <c:pt idx="1329">
                <c:v>0.3482405287878854</c:v>
              </c:pt>
              <c:pt idx="1330">
                <c:v>0.3482405287878854</c:v>
              </c:pt>
              <c:pt idx="1331">
                <c:v>0.3482405287878854</c:v>
              </c:pt>
              <c:pt idx="1332">
                <c:v>0.3482405287878854</c:v>
              </c:pt>
              <c:pt idx="1333">
                <c:v>0.3482405287878854</c:v>
              </c:pt>
              <c:pt idx="1334">
                <c:v>0.3485828718500478</c:v>
              </c:pt>
              <c:pt idx="1335">
                <c:v>0.3485828718500478</c:v>
              </c:pt>
              <c:pt idx="1336">
                <c:v>0.34892521491221024</c:v>
              </c:pt>
              <c:pt idx="1337">
                <c:v>0.34892521491221024</c:v>
              </c:pt>
              <c:pt idx="1338">
                <c:v>0.3492675579743726</c:v>
              </c:pt>
              <c:pt idx="1339">
                <c:v>0.3492675579743726</c:v>
              </c:pt>
              <c:pt idx="1340">
                <c:v>0.349609901036535</c:v>
              </c:pt>
              <c:pt idx="1341">
                <c:v>0.349609901036535</c:v>
              </c:pt>
              <c:pt idx="1342">
                <c:v>0.3499522440986974</c:v>
              </c:pt>
              <c:pt idx="1343">
                <c:v>0.3499522440986974</c:v>
              </c:pt>
              <c:pt idx="1344">
                <c:v>0.3502945871608598</c:v>
              </c:pt>
              <c:pt idx="1345">
                <c:v>0.3502945871608598</c:v>
              </c:pt>
              <c:pt idx="1346">
                <c:v>0.3506369302230222</c:v>
              </c:pt>
              <c:pt idx="1347">
                <c:v>0.3506369302230222</c:v>
              </c:pt>
              <c:pt idx="1348">
                <c:v>0.35097927328518463</c:v>
              </c:pt>
              <c:pt idx="1349">
                <c:v>0.35097927328518463</c:v>
              </c:pt>
              <c:pt idx="1350">
                <c:v>0.351321616347347</c:v>
              </c:pt>
              <c:pt idx="1351">
                <c:v>0.351321616347347</c:v>
              </c:pt>
              <c:pt idx="1352">
                <c:v>0.3516639594095094</c:v>
              </c:pt>
              <c:pt idx="1353">
                <c:v>0.3516639594095094</c:v>
              </c:pt>
              <c:pt idx="1354">
                <c:v>0.3520063024716718</c:v>
              </c:pt>
              <c:pt idx="1355">
                <c:v>0.3520063024716718</c:v>
              </c:pt>
              <c:pt idx="1356">
                <c:v>0.3523486455338342</c:v>
              </c:pt>
              <c:pt idx="1357">
                <c:v>0.3523486455338342</c:v>
              </c:pt>
              <c:pt idx="1358">
                <c:v>0.3526909885959966</c:v>
              </c:pt>
              <c:pt idx="1359">
                <c:v>0.3526909885959966</c:v>
              </c:pt>
              <c:pt idx="1360">
                <c:v>0.35303333165815903</c:v>
              </c:pt>
              <c:pt idx="1361">
                <c:v>0.35303333165815903</c:v>
              </c:pt>
              <c:pt idx="1362">
                <c:v>0.3533756747203214</c:v>
              </c:pt>
              <c:pt idx="1363">
                <c:v>0.3533756747203214</c:v>
              </c:pt>
              <c:pt idx="1364">
                <c:v>0.3537180177824838</c:v>
              </c:pt>
              <c:pt idx="1365">
                <c:v>0.3537180177824838</c:v>
              </c:pt>
              <c:pt idx="1366">
                <c:v>0.3540603608446462</c:v>
              </c:pt>
              <c:pt idx="1367">
                <c:v>0.3540603608446462</c:v>
              </c:pt>
              <c:pt idx="1368">
                <c:v>0.3544027039068086</c:v>
              </c:pt>
              <c:pt idx="1369">
                <c:v>0.3544027039068086</c:v>
              </c:pt>
              <c:pt idx="1370">
                <c:v>0.354745046968971</c:v>
              </c:pt>
              <c:pt idx="1371">
                <c:v>0.354745046968971</c:v>
              </c:pt>
              <c:pt idx="1372">
                <c:v>0.3550873900311334</c:v>
              </c:pt>
              <c:pt idx="1373">
                <c:v>0.3550873900311334</c:v>
              </c:pt>
              <c:pt idx="1374">
                <c:v>0.3554297330932958</c:v>
              </c:pt>
              <c:pt idx="1375">
                <c:v>0.3554297330932958</c:v>
              </c:pt>
              <c:pt idx="1376">
                <c:v>0.3557720761554582</c:v>
              </c:pt>
              <c:pt idx="1377">
                <c:v>0.3557720761554582</c:v>
              </c:pt>
              <c:pt idx="1378">
                <c:v>0.3561144192176206</c:v>
              </c:pt>
              <c:pt idx="1379">
                <c:v>0.3561144192176206</c:v>
              </c:pt>
              <c:pt idx="1380">
                <c:v>0.356456762279783</c:v>
              </c:pt>
              <c:pt idx="1381">
                <c:v>0.356456762279783</c:v>
              </c:pt>
              <c:pt idx="1382">
                <c:v>0.3567991053419454</c:v>
              </c:pt>
              <c:pt idx="1383">
                <c:v>0.3567991053419454</c:v>
              </c:pt>
              <c:pt idx="1384">
                <c:v>0.3571414484041078</c:v>
              </c:pt>
              <c:pt idx="1385">
                <c:v>0.3571414484041078</c:v>
              </c:pt>
              <c:pt idx="1386">
                <c:v>0.3574837914662702</c:v>
              </c:pt>
              <c:pt idx="1387">
                <c:v>0.3574837914662702</c:v>
              </c:pt>
              <c:pt idx="1388">
                <c:v>0.3578261345284326</c:v>
              </c:pt>
              <c:pt idx="1389">
                <c:v>0.3578261345284326</c:v>
              </c:pt>
              <c:pt idx="1390">
                <c:v>0.358168477590595</c:v>
              </c:pt>
              <c:pt idx="1391">
                <c:v>0.358168477590595</c:v>
              </c:pt>
              <c:pt idx="1392">
                <c:v>0.3585108206527574</c:v>
              </c:pt>
              <c:pt idx="1393">
                <c:v>0.3585108206527574</c:v>
              </c:pt>
              <c:pt idx="1394">
                <c:v>0.3588531637149198</c:v>
              </c:pt>
              <c:pt idx="1395">
                <c:v>0.3588531637149198</c:v>
              </c:pt>
              <c:pt idx="1396">
                <c:v>0.3591955067770822</c:v>
              </c:pt>
              <c:pt idx="1397">
                <c:v>0.3591955067770822</c:v>
              </c:pt>
              <c:pt idx="1398">
                <c:v>0.3595378498392446</c:v>
              </c:pt>
              <c:pt idx="1399">
                <c:v>0.3595378498392446</c:v>
              </c:pt>
              <c:pt idx="1400">
                <c:v>0.359880192901407</c:v>
              </c:pt>
              <c:pt idx="1401">
                <c:v>0.359880192901407</c:v>
              </c:pt>
              <c:pt idx="1402">
                <c:v>0.3602225359635694</c:v>
              </c:pt>
              <c:pt idx="1403">
                <c:v>0.3602225359635694</c:v>
              </c:pt>
              <c:pt idx="1404">
                <c:v>0.3605648790257318</c:v>
              </c:pt>
              <c:pt idx="1405">
                <c:v>0.3605648790257318</c:v>
              </c:pt>
              <c:pt idx="1406">
                <c:v>0.36090722208789416</c:v>
              </c:pt>
              <c:pt idx="1407">
                <c:v>0.36090722208789416</c:v>
              </c:pt>
              <c:pt idx="1408">
                <c:v>0.3612495651500566</c:v>
              </c:pt>
              <c:pt idx="1409">
                <c:v>0.3612495651500566</c:v>
              </c:pt>
              <c:pt idx="1410">
                <c:v>0.361591908212219</c:v>
              </c:pt>
              <c:pt idx="1411">
                <c:v>0.361591908212219</c:v>
              </c:pt>
              <c:pt idx="1412">
                <c:v>0.3619342512743814</c:v>
              </c:pt>
              <c:pt idx="1413">
                <c:v>0.3619342512743814</c:v>
              </c:pt>
              <c:pt idx="1414">
                <c:v>0.3622765943365438</c:v>
              </c:pt>
              <c:pt idx="1415">
                <c:v>0.3622765943365438</c:v>
              </c:pt>
              <c:pt idx="1416">
                <c:v>0.3626189373987062</c:v>
              </c:pt>
              <c:pt idx="1417">
                <c:v>0.3626189373987062</c:v>
              </c:pt>
              <c:pt idx="1418">
                <c:v>0.36296128046086856</c:v>
              </c:pt>
              <c:pt idx="1419">
                <c:v>0.36296128046086856</c:v>
              </c:pt>
              <c:pt idx="1420">
                <c:v>0.36330362352303097</c:v>
              </c:pt>
              <c:pt idx="1421">
                <c:v>0.36330362352303097</c:v>
              </c:pt>
              <c:pt idx="1422">
                <c:v>0.3636459665851934</c:v>
              </c:pt>
              <c:pt idx="1423">
                <c:v>0.3636459665851934</c:v>
              </c:pt>
              <c:pt idx="1424">
                <c:v>0.3639883096473558</c:v>
              </c:pt>
              <c:pt idx="1425">
                <c:v>0.3639883096473558</c:v>
              </c:pt>
              <c:pt idx="1426">
                <c:v>0.3643306527095182</c:v>
              </c:pt>
              <c:pt idx="1427">
                <c:v>0.3643306527095182</c:v>
              </c:pt>
              <c:pt idx="1428">
                <c:v>0.3646729957716806</c:v>
              </c:pt>
              <c:pt idx="1429">
                <c:v>0.3646729957716806</c:v>
              </c:pt>
              <c:pt idx="1430">
                <c:v>0.36501533883384296</c:v>
              </c:pt>
              <c:pt idx="1431">
                <c:v>0.36501533883384296</c:v>
              </c:pt>
              <c:pt idx="1432">
                <c:v>0.36535768189600537</c:v>
              </c:pt>
              <c:pt idx="1433">
                <c:v>0.36535768189600537</c:v>
              </c:pt>
              <c:pt idx="1434">
                <c:v>0.3657000249581678</c:v>
              </c:pt>
              <c:pt idx="1435">
                <c:v>0.3657000249581678</c:v>
              </c:pt>
              <c:pt idx="1436">
                <c:v>0.3660423680203302</c:v>
              </c:pt>
              <c:pt idx="1437">
                <c:v>0.3660423680203302</c:v>
              </c:pt>
              <c:pt idx="1438">
                <c:v>0.3663847110824926</c:v>
              </c:pt>
              <c:pt idx="1439">
                <c:v>0.3663847110824926</c:v>
              </c:pt>
              <c:pt idx="1440">
                <c:v>0.366727054144655</c:v>
              </c:pt>
              <c:pt idx="1441">
                <c:v>0.366727054144655</c:v>
              </c:pt>
              <c:pt idx="1442">
                <c:v>0.36706939720681736</c:v>
              </c:pt>
              <c:pt idx="1443">
                <c:v>0.36706939720681736</c:v>
              </c:pt>
              <c:pt idx="1444">
                <c:v>0.36741174026897977</c:v>
              </c:pt>
              <c:pt idx="1445">
                <c:v>0.36741174026897977</c:v>
              </c:pt>
              <c:pt idx="1446">
                <c:v>0.3677540833311422</c:v>
              </c:pt>
              <c:pt idx="1447">
                <c:v>0.3677540833311422</c:v>
              </c:pt>
              <c:pt idx="1448">
                <c:v>0.3680964263933046</c:v>
              </c:pt>
              <c:pt idx="1449">
                <c:v>0.3680964263933046</c:v>
              </c:pt>
              <c:pt idx="1450">
                <c:v>0.368438769455467</c:v>
              </c:pt>
              <c:pt idx="1451">
                <c:v>0.368438769455467</c:v>
              </c:pt>
              <c:pt idx="1452">
                <c:v>0.36878111251762935</c:v>
              </c:pt>
              <c:pt idx="1453">
                <c:v>0.36878111251762935</c:v>
              </c:pt>
              <c:pt idx="1454">
                <c:v>0.36912345557979176</c:v>
              </c:pt>
              <c:pt idx="1455">
                <c:v>0.36912345557979176</c:v>
              </c:pt>
              <c:pt idx="1456">
                <c:v>0.36946579864195417</c:v>
              </c:pt>
              <c:pt idx="1457">
                <c:v>0.36946579864195417</c:v>
              </c:pt>
              <c:pt idx="1458">
                <c:v>0.3698081417041166</c:v>
              </c:pt>
              <c:pt idx="1459">
                <c:v>0.3698081417041166</c:v>
              </c:pt>
              <c:pt idx="1460">
                <c:v>0.370150484766279</c:v>
              </c:pt>
              <c:pt idx="1461">
                <c:v>0.370150484766279</c:v>
              </c:pt>
              <c:pt idx="1462">
                <c:v>0.3704928278284414</c:v>
              </c:pt>
              <c:pt idx="1463">
                <c:v>0.3704928278284414</c:v>
              </c:pt>
              <c:pt idx="1464">
                <c:v>0.37083517089060375</c:v>
              </c:pt>
              <c:pt idx="1465">
                <c:v>0.37083517089060375</c:v>
              </c:pt>
              <c:pt idx="1466">
                <c:v>0.37117751395276616</c:v>
              </c:pt>
              <c:pt idx="1467">
                <c:v>0.37117751395276616</c:v>
              </c:pt>
              <c:pt idx="1468">
                <c:v>0.37151985701492857</c:v>
              </c:pt>
              <c:pt idx="1469">
                <c:v>0.37151985701492857</c:v>
              </c:pt>
              <c:pt idx="1470">
                <c:v>0.371862200077091</c:v>
              </c:pt>
              <c:pt idx="1471">
                <c:v>0.371862200077091</c:v>
              </c:pt>
              <c:pt idx="1472">
                <c:v>0.3722045431392534</c:v>
              </c:pt>
              <c:pt idx="1473">
                <c:v>0.3722045431392534</c:v>
              </c:pt>
              <c:pt idx="1474">
                <c:v>0.37254688620141574</c:v>
              </c:pt>
              <c:pt idx="1475">
                <c:v>0.37254688620141574</c:v>
              </c:pt>
              <c:pt idx="1476">
                <c:v>0.3726936046566282</c:v>
              </c:pt>
              <c:pt idx="1477">
                <c:v>0.3726936046566282</c:v>
              </c:pt>
              <c:pt idx="1478">
                <c:v>0.3726936046566282</c:v>
              </c:pt>
              <c:pt idx="1479">
                <c:v>0.3726936046566282</c:v>
              </c:pt>
              <c:pt idx="1480">
                <c:v>0.3726936046566282</c:v>
              </c:pt>
              <c:pt idx="1481">
                <c:v>0.3726936046566282</c:v>
              </c:pt>
              <c:pt idx="1482">
                <c:v>0.3730359477187906</c:v>
              </c:pt>
              <c:pt idx="1483">
                <c:v>0.3730359477187906</c:v>
              </c:pt>
              <c:pt idx="1484">
                <c:v>0.373378290780953</c:v>
              </c:pt>
              <c:pt idx="1485">
                <c:v>0.373378290780953</c:v>
              </c:pt>
              <c:pt idx="1486">
                <c:v>0.3737206338431154</c:v>
              </c:pt>
              <c:pt idx="1487">
                <c:v>0.3737206338431154</c:v>
              </c:pt>
              <c:pt idx="1488">
                <c:v>0.3740629769052778</c:v>
              </c:pt>
              <c:pt idx="1489">
                <c:v>0.3740629769052778</c:v>
              </c:pt>
              <c:pt idx="1490">
                <c:v>0.3744053199674402</c:v>
              </c:pt>
              <c:pt idx="1491">
                <c:v>0.3744053199674402</c:v>
              </c:pt>
              <c:pt idx="1492">
                <c:v>0.3747476630296026</c:v>
              </c:pt>
              <c:pt idx="1493">
                <c:v>0.3747476630296026</c:v>
              </c:pt>
              <c:pt idx="1494">
                <c:v>0.375090006091765</c:v>
              </c:pt>
              <c:pt idx="1495">
                <c:v>0.375090006091765</c:v>
              </c:pt>
              <c:pt idx="1496">
                <c:v>0.3754323491539274</c:v>
              </c:pt>
              <c:pt idx="1497">
                <c:v>0.3754323491539274</c:v>
              </c:pt>
              <c:pt idx="1498">
                <c:v>0.3757746922160898</c:v>
              </c:pt>
              <c:pt idx="1499">
                <c:v>0.3757746922160898</c:v>
              </c:pt>
              <c:pt idx="1500">
                <c:v>0.3761170352782522</c:v>
              </c:pt>
              <c:pt idx="1501">
                <c:v>0.3761170352782522</c:v>
              </c:pt>
              <c:pt idx="1502">
                <c:v>0.3764593783404146</c:v>
              </c:pt>
              <c:pt idx="1503">
                <c:v>0.3764593783404146</c:v>
              </c:pt>
              <c:pt idx="1504">
                <c:v>0.376801721402577</c:v>
              </c:pt>
              <c:pt idx="1505">
                <c:v>0.376801721402577</c:v>
              </c:pt>
              <c:pt idx="1506">
                <c:v>0.3771440644647394</c:v>
              </c:pt>
              <c:pt idx="1507">
                <c:v>0.3771440644647394</c:v>
              </c:pt>
              <c:pt idx="1508">
                <c:v>0.3774864075269018</c:v>
              </c:pt>
              <c:pt idx="1509">
                <c:v>0.3774864075269018</c:v>
              </c:pt>
              <c:pt idx="1510">
                <c:v>0.3778287505890642</c:v>
              </c:pt>
              <c:pt idx="1511">
                <c:v>0.3778287505890642</c:v>
              </c:pt>
              <c:pt idx="1512">
                <c:v>0.3781710936512266</c:v>
              </c:pt>
              <c:pt idx="1513">
                <c:v>0.3781710936512266</c:v>
              </c:pt>
              <c:pt idx="1514">
                <c:v>0.378513436713389</c:v>
              </c:pt>
              <c:pt idx="1515">
                <c:v>0.378513436713389</c:v>
              </c:pt>
              <c:pt idx="1516">
                <c:v>0.3788557797755514</c:v>
              </c:pt>
              <c:pt idx="1517">
                <c:v>0.3788557797755514</c:v>
              </c:pt>
              <c:pt idx="1518">
                <c:v>0.3791981228377138</c:v>
              </c:pt>
              <c:pt idx="1519">
                <c:v>0.3791981228377138</c:v>
              </c:pt>
              <c:pt idx="1520">
                <c:v>0.37954046589987617</c:v>
              </c:pt>
              <c:pt idx="1521">
                <c:v>0.37954046589987617</c:v>
              </c:pt>
              <c:pt idx="1522">
                <c:v>0.3798828089620386</c:v>
              </c:pt>
              <c:pt idx="1523">
                <c:v>0.3798828089620386</c:v>
              </c:pt>
              <c:pt idx="1524">
                <c:v>0.380225152024201</c:v>
              </c:pt>
              <c:pt idx="1525">
                <c:v>0.380225152024201</c:v>
              </c:pt>
              <c:pt idx="1526">
                <c:v>0.3805674950863634</c:v>
              </c:pt>
              <c:pt idx="1527">
                <c:v>0.3805674950863634</c:v>
              </c:pt>
              <c:pt idx="1528">
                <c:v>0.3809098381485258</c:v>
              </c:pt>
              <c:pt idx="1529">
                <c:v>0.3809098381485258</c:v>
              </c:pt>
              <c:pt idx="1530">
                <c:v>0.3812521812106882</c:v>
              </c:pt>
              <c:pt idx="1531">
                <c:v>0.3812521812106882</c:v>
              </c:pt>
              <c:pt idx="1532">
                <c:v>0.38159452427285057</c:v>
              </c:pt>
              <c:pt idx="1533">
                <c:v>0.38159452427285057</c:v>
              </c:pt>
              <c:pt idx="1534">
                <c:v>0.381936867335013</c:v>
              </c:pt>
              <c:pt idx="1535">
                <c:v>0.381936867335013</c:v>
              </c:pt>
              <c:pt idx="1536">
                <c:v>0.3822792103971754</c:v>
              </c:pt>
              <c:pt idx="1537">
                <c:v>0.3822792103971754</c:v>
              </c:pt>
              <c:pt idx="1538">
                <c:v>0.3826215534593378</c:v>
              </c:pt>
              <c:pt idx="1539">
                <c:v>0.3826215534593378</c:v>
              </c:pt>
              <c:pt idx="1540">
                <c:v>0.3829638965215002</c:v>
              </c:pt>
              <c:pt idx="1541">
                <c:v>0.3829638965215002</c:v>
              </c:pt>
              <c:pt idx="1542">
                <c:v>0.3833062395836626</c:v>
              </c:pt>
              <c:pt idx="1543">
                <c:v>0.3833062395836626</c:v>
              </c:pt>
              <c:pt idx="1544">
                <c:v>0.38364858264582496</c:v>
              </c:pt>
              <c:pt idx="1545">
                <c:v>0.38364858264582496</c:v>
              </c:pt>
              <c:pt idx="1546">
                <c:v>0.3839909257079874</c:v>
              </c:pt>
              <c:pt idx="1547">
                <c:v>0.3839909257079874</c:v>
              </c:pt>
              <c:pt idx="1548">
                <c:v>0.3843332687701498</c:v>
              </c:pt>
              <c:pt idx="1549">
                <c:v>0.3843332687701498</c:v>
              </c:pt>
              <c:pt idx="1550">
                <c:v>0.3846756118323122</c:v>
              </c:pt>
              <c:pt idx="1551">
                <c:v>0.3846756118323122</c:v>
              </c:pt>
              <c:pt idx="1552">
                <c:v>0.3850179548944746</c:v>
              </c:pt>
              <c:pt idx="1553">
                <c:v>0.3850179548944746</c:v>
              </c:pt>
              <c:pt idx="1554">
                <c:v>0.38536029795663695</c:v>
              </c:pt>
              <c:pt idx="1555">
                <c:v>0.38536029795663695</c:v>
              </c:pt>
              <c:pt idx="1556">
                <c:v>0.38570264101879936</c:v>
              </c:pt>
              <c:pt idx="1557">
                <c:v>0.38570264101879936</c:v>
              </c:pt>
              <c:pt idx="1558">
                <c:v>0.3860449840809618</c:v>
              </c:pt>
              <c:pt idx="1559">
                <c:v>0.3860449840809618</c:v>
              </c:pt>
              <c:pt idx="1560">
                <c:v>0.3863873271431242</c:v>
              </c:pt>
              <c:pt idx="1561">
                <c:v>0.3863873271431242</c:v>
              </c:pt>
              <c:pt idx="1562">
                <c:v>0.3867296702052866</c:v>
              </c:pt>
              <c:pt idx="1563">
                <c:v>0.3867296702052866</c:v>
              </c:pt>
              <c:pt idx="1564">
                <c:v>0.387072013267449</c:v>
              </c:pt>
              <c:pt idx="1565">
                <c:v>0.387072013267449</c:v>
              </c:pt>
              <c:pt idx="1566">
                <c:v>0.38741435632961135</c:v>
              </c:pt>
              <c:pt idx="1567">
                <c:v>0.38741435632961135</c:v>
              </c:pt>
              <c:pt idx="1568">
                <c:v>0.38775669939177376</c:v>
              </c:pt>
              <c:pt idx="1569">
                <c:v>0.38775669939177376</c:v>
              </c:pt>
              <c:pt idx="1570">
                <c:v>0.38809904245393617</c:v>
              </c:pt>
              <c:pt idx="1571">
                <c:v>0.38809904245393617</c:v>
              </c:pt>
              <c:pt idx="1572">
                <c:v>0.3884413855160986</c:v>
              </c:pt>
              <c:pt idx="1573">
                <c:v>0.3884413855160986</c:v>
              </c:pt>
              <c:pt idx="1574">
                <c:v>0.388783728578261</c:v>
              </c:pt>
              <c:pt idx="1575">
                <c:v>0.388783728578261</c:v>
              </c:pt>
              <c:pt idx="1576">
                <c:v>0.3891260716404234</c:v>
              </c:pt>
              <c:pt idx="1577">
                <c:v>0.3891260716404234</c:v>
              </c:pt>
              <c:pt idx="1578">
                <c:v>0.38946841470258575</c:v>
              </c:pt>
              <c:pt idx="1579">
                <c:v>0.38946841470258575</c:v>
              </c:pt>
              <c:pt idx="1580">
                <c:v>0.38981075776474816</c:v>
              </c:pt>
              <c:pt idx="1581">
                <c:v>0.38981075776474816</c:v>
              </c:pt>
              <c:pt idx="1582">
                <c:v>0.39015310082691057</c:v>
              </c:pt>
              <c:pt idx="1583">
                <c:v>0.39015310082691057</c:v>
              </c:pt>
              <c:pt idx="1584">
                <c:v>0.390495443889073</c:v>
              </c:pt>
              <c:pt idx="1585">
                <c:v>0.390495443889073</c:v>
              </c:pt>
              <c:pt idx="1586">
                <c:v>0.3908377869512354</c:v>
              </c:pt>
              <c:pt idx="1587">
                <c:v>0.3908377869512354</c:v>
              </c:pt>
              <c:pt idx="1588">
                <c:v>0.3911801300133978</c:v>
              </c:pt>
              <c:pt idx="1589">
                <c:v>0.3911801300133978</c:v>
              </c:pt>
              <c:pt idx="1590">
                <c:v>0.39152247307556015</c:v>
              </c:pt>
              <c:pt idx="1591">
                <c:v>0.39152247307556015</c:v>
              </c:pt>
              <c:pt idx="1592">
                <c:v>0.39186481613772256</c:v>
              </c:pt>
              <c:pt idx="1593">
                <c:v>0.39186481613772256</c:v>
              </c:pt>
              <c:pt idx="1594">
                <c:v>0.39220715919988497</c:v>
              </c:pt>
              <c:pt idx="1595">
                <c:v>0.39220715919988497</c:v>
              </c:pt>
              <c:pt idx="1596">
                <c:v>0.3925495022620474</c:v>
              </c:pt>
              <c:pt idx="1597">
                <c:v>0.3925495022620474</c:v>
              </c:pt>
              <c:pt idx="1598">
                <c:v>0.3928918453242098</c:v>
              </c:pt>
              <c:pt idx="1599">
                <c:v>0.3928918453242098</c:v>
              </c:pt>
              <c:pt idx="1600">
                <c:v>0.39323418838637214</c:v>
              </c:pt>
              <c:pt idx="1601">
                <c:v>0.39323418838637214</c:v>
              </c:pt>
              <c:pt idx="1602">
                <c:v>0.39357653144853455</c:v>
              </c:pt>
              <c:pt idx="1603">
                <c:v>0.39357653144853455</c:v>
              </c:pt>
              <c:pt idx="1604">
                <c:v>0.39391887451069696</c:v>
              </c:pt>
              <c:pt idx="1605">
                <c:v>0.39391887451069696</c:v>
              </c:pt>
              <c:pt idx="1606">
                <c:v>0.39426121757285937</c:v>
              </c:pt>
              <c:pt idx="1607">
                <c:v>0.39426121757285937</c:v>
              </c:pt>
              <c:pt idx="1608">
                <c:v>0.3946035606350218</c:v>
              </c:pt>
              <c:pt idx="1609">
                <c:v>0.3946035606350218</c:v>
              </c:pt>
              <c:pt idx="1610">
                <c:v>0.3949459036971842</c:v>
              </c:pt>
              <c:pt idx="1611">
                <c:v>0.3949459036971842</c:v>
              </c:pt>
              <c:pt idx="1612">
                <c:v>0.39528824675934654</c:v>
              </c:pt>
              <c:pt idx="1613">
                <c:v>0.39528824675934654</c:v>
              </c:pt>
              <c:pt idx="1614">
                <c:v>0.39563058982150895</c:v>
              </c:pt>
              <c:pt idx="1615">
                <c:v>0.39563058982150895</c:v>
              </c:pt>
              <c:pt idx="1616">
                <c:v>0.39597293288367136</c:v>
              </c:pt>
              <c:pt idx="1617">
                <c:v>0.39597293288367136</c:v>
              </c:pt>
              <c:pt idx="1618">
                <c:v>0.39631527594583377</c:v>
              </c:pt>
              <c:pt idx="1619">
                <c:v>0.39631527594583377</c:v>
              </c:pt>
              <c:pt idx="1620">
                <c:v>0.3966576190079962</c:v>
              </c:pt>
              <c:pt idx="1621">
                <c:v>0.3966576190079962</c:v>
              </c:pt>
              <c:pt idx="1622">
                <c:v>0.39699996207015853</c:v>
              </c:pt>
              <c:pt idx="1623">
                <c:v>0.39699996207015853</c:v>
              </c:pt>
              <c:pt idx="1624">
                <c:v>0.397146680525371</c:v>
              </c:pt>
              <c:pt idx="1625">
                <c:v>0.397146680525371</c:v>
              </c:pt>
              <c:pt idx="1626">
                <c:v>0.397146680525371</c:v>
              </c:pt>
              <c:pt idx="1627">
                <c:v>0.397146680525371</c:v>
              </c:pt>
              <c:pt idx="1628">
                <c:v>0.397146680525371</c:v>
              </c:pt>
              <c:pt idx="1629">
                <c:v>0.397146680525371</c:v>
              </c:pt>
              <c:pt idx="1630">
                <c:v>0.3974890235875334</c:v>
              </c:pt>
              <c:pt idx="1631">
                <c:v>0.3974890235875334</c:v>
              </c:pt>
              <c:pt idx="1632">
                <c:v>0.3978313666496958</c:v>
              </c:pt>
              <c:pt idx="1633">
                <c:v>0.3978313666496958</c:v>
              </c:pt>
              <c:pt idx="1634">
                <c:v>0.39817370971185817</c:v>
              </c:pt>
              <c:pt idx="1635">
                <c:v>0.39817370971185817</c:v>
              </c:pt>
              <c:pt idx="1636">
                <c:v>0.3985160527740206</c:v>
              </c:pt>
              <c:pt idx="1637">
                <c:v>0.3985160527740206</c:v>
              </c:pt>
              <c:pt idx="1638">
                <c:v>0.398858395836183</c:v>
              </c:pt>
              <c:pt idx="1639">
                <c:v>0.398858395836183</c:v>
              </c:pt>
              <c:pt idx="1640">
                <c:v>0.3992007388983454</c:v>
              </c:pt>
              <c:pt idx="1641">
                <c:v>0.3992007388983454</c:v>
              </c:pt>
              <c:pt idx="1642">
                <c:v>0.3995430819605078</c:v>
              </c:pt>
              <c:pt idx="1643">
                <c:v>0.3995430819605078</c:v>
              </c:pt>
              <c:pt idx="1644">
                <c:v>0.3998854250226702</c:v>
              </c:pt>
              <c:pt idx="1645">
                <c:v>0.3998854250226702</c:v>
              </c:pt>
              <c:pt idx="1646">
                <c:v>0.40022776808483257</c:v>
              </c:pt>
              <c:pt idx="1647">
                <c:v>0.40022776808483257</c:v>
              </c:pt>
              <c:pt idx="1648">
                <c:v>0.400570111146995</c:v>
              </c:pt>
              <c:pt idx="1649">
                <c:v>0.400570111146995</c:v>
              </c:pt>
              <c:pt idx="1650">
                <c:v>0.4009124542091574</c:v>
              </c:pt>
              <c:pt idx="1651">
                <c:v>0.4009124542091574</c:v>
              </c:pt>
              <c:pt idx="1652">
                <c:v>0.4012547972713198</c:v>
              </c:pt>
              <c:pt idx="1653">
                <c:v>0.4012547972713198</c:v>
              </c:pt>
              <c:pt idx="1654">
                <c:v>0.4015971403334822</c:v>
              </c:pt>
              <c:pt idx="1655">
                <c:v>0.4015971403334822</c:v>
              </c:pt>
              <c:pt idx="1656">
                <c:v>0.4019394833956446</c:v>
              </c:pt>
              <c:pt idx="1657">
                <c:v>0.4019394833956446</c:v>
              </c:pt>
              <c:pt idx="1658">
                <c:v>0.40228182645780697</c:v>
              </c:pt>
              <c:pt idx="1659">
                <c:v>0.40228182645780697</c:v>
              </c:pt>
              <c:pt idx="1660">
                <c:v>0.4026241695199694</c:v>
              </c:pt>
              <c:pt idx="1661">
                <c:v>0.4026241695199694</c:v>
              </c:pt>
              <c:pt idx="1662">
                <c:v>0.4029665125821318</c:v>
              </c:pt>
              <c:pt idx="1663">
                <c:v>0.4029665125821318</c:v>
              </c:pt>
              <c:pt idx="1664">
                <c:v>0.4033088556442942</c:v>
              </c:pt>
              <c:pt idx="1665">
                <c:v>0.4033088556442942</c:v>
              </c:pt>
              <c:pt idx="1666">
                <c:v>0.4036511987064566</c:v>
              </c:pt>
              <c:pt idx="1667">
                <c:v>0.4036511987064566</c:v>
              </c:pt>
              <c:pt idx="1668">
                <c:v>0.40399354176861896</c:v>
              </c:pt>
              <c:pt idx="1669">
                <c:v>0.40399354176861896</c:v>
              </c:pt>
              <c:pt idx="1670">
                <c:v>0.40433588483078137</c:v>
              </c:pt>
              <c:pt idx="1671">
                <c:v>0.40433588483078137</c:v>
              </c:pt>
              <c:pt idx="1672">
                <c:v>0.4046782278929438</c:v>
              </c:pt>
              <c:pt idx="1673">
                <c:v>0.4046782278929438</c:v>
              </c:pt>
              <c:pt idx="1674">
                <c:v>0.4050205709551062</c:v>
              </c:pt>
              <c:pt idx="1675">
                <c:v>0.4050205709551062</c:v>
              </c:pt>
              <c:pt idx="1676">
                <c:v>0.4053629140172686</c:v>
              </c:pt>
              <c:pt idx="1677">
                <c:v>0.4053629140172686</c:v>
              </c:pt>
              <c:pt idx="1678">
                <c:v>0.405705257079431</c:v>
              </c:pt>
              <c:pt idx="1679">
                <c:v>0.405705257079431</c:v>
              </c:pt>
              <c:pt idx="1680">
                <c:v>0.40604760014159336</c:v>
              </c:pt>
              <c:pt idx="1681">
                <c:v>0.40604760014159336</c:v>
              </c:pt>
              <c:pt idx="1682">
                <c:v>0.40638994320375577</c:v>
              </c:pt>
              <c:pt idx="1683">
                <c:v>0.40638994320375577</c:v>
              </c:pt>
              <c:pt idx="1684">
                <c:v>0.4067322862659182</c:v>
              </c:pt>
              <c:pt idx="1685">
                <c:v>0.4067322862659182</c:v>
              </c:pt>
              <c:pt idx="1686">
                <c:v>0.4070746293280806</c:v>
              </c:pt>
              <c:pt idx="1687">
                <c:v>0.4070746293280806</c:v>
              </c:pt>
              <c:pt idx="1688">
                <c:v>0.407416972390243</c:v>
              </c:pt>
              <c:pt idx="1689">
                <c:v>0.407416972390243</c:v>
              </c:pt>
              <c:pt idx="1690">
                <c:v>0.4077593154524054</c:v>
              </c:pt>
              <c:pt idx="1691">
                <c:v>0.4077593154524054</c:v>
              </c:pt>
              <c:pt idx="1692">
                <c:v>0.40810165851456776</c:v>
              </c:pt>
              <c:pt idx="1693">
                <c:v>0.40810165851456776</c:v>
              </c:pt>
              <c:pt idx="1694">
                <c:v>0.40844400157673016</c:v>
              </c:pt>
              <c:pt idx="1695">
                <c:v>0.40844400157673016</c:v>
              </c:pt>
              <c:pt idx="1696">
                <c:v>0.4087863446388926</c:v>
              </c:pt>
              <c:pt idx="1697">
                <c:v>0.4087863446388926</c:v>
              </c:pt>
              <c:pt idx="1698">
                <c:v>0.409128687701055</c:v>
              </c:pt>
              <c:pt idx="1699">
                <c:v>0.409128687701055</c:v>
              </c:pt>
              <c:pt idx="1700">
                <c:v>0.4094710307632174</c:v>
              </c:pt>
              <c:pt idx="1701">
                <c:v>0.4094710307632174</c:v>
              </c:pt>
              <c:pt idx="1702">
                <c:v>0.40981337382537975</c:v>
              </c:pt>
              <c:pt idx="1703">
                <c:v>0.40981337382537975</c:v>
              </c:pt>
              <c:pt idx="1704">
                <c:v>0.41015571688754215</c:v>
              </c:pt>
              <c:pt idx="1705">
                <c:v>0.41015571688754215</c:v>
              </c:pt>
              <c:pt idx="1706">
                <c:v>0.41049805994970456</c:v>
              </c:pt>
              <c:pt idx="1707">
                <c:v>0.41049805994970456</c:v>
              </c:pt>
              <c:pt idx="1708">
                <c:v>0.410840403011867</c:v>
              </c:pt>
              <c:pt idx="1709">
                <c:v>0.410840403011867</c:v>
              </c:pt>
              <c:pt idx="1710">
                <c:v>0.4111827460740294</c:v>
              </c:pt>
              <c:pt idx="1711">
                <c:v>0.4111827460740294</c:v>
              </c:pt>
              <c:pt idx="1712">
                <c:v>0.4115250891361918</c:v>
              </c:pt>
              <c:pt idx="1713">
                <c:v>0.4115250891361918</c:v>
              </c:pt>
              <c:pt idx="1714">
                <c:v>0.41186743219835414</c:v>
              </c:pt>
              <c:pt idx="1715">
                <c:v>0.41186743219835414</c:v>
              </c:pt>
              <c:pt idx="1716">
                <c:v>0.41220977526051655</c:v>
              </c:pt>
              <c:pt idx="1717">
                <c:v>0.41220977526051655</c:v>
              </c:pt>
              <c:pt idx="1718">
                <c:v>0.41255211832267896</c:v>
              </c:pt>
              <c:pt idx="1719">
                <c:v>0.41255211832267896</c:v>
              </c:pt>
              <c:pt idx="1720">
                <c:v>0.41289446138484137</c:v>
              </c:pt>
              <c:pt idx="1721">
                <c:v>0.41289446138484137</c:v>
              </c:pt>
              <c:pt idx="1722">
                <c:v>0.4132368044470038</c:v>
              </c:pt>
              <c:pt idx="1723">
                <c:v>0.4132368044470038</c:v>
              </c:pt>
              <c:pt idx="1724">
                <c:v>0.4135791475091662</c:v>
              </c:pt>
              <c:pt idx="1725">
                <c:v>0.4135791475091662</c:v>
              </c:pt>
              <c:pt idx="1726">
                <c:v>0.41392149057132854</c:v>
              </c:pt>
              <c:pt idx="1727">
                <c:v>0.41392149057132854</c:v>
              </c:pt>
              <c:pt idx="1728">
                <c:v>0.41426383363349095</c:v>
              </c:pt>
              <c:pt idx="1729">
                <c:v>0.41426383363349095</c:v>
              </c:pt>
              <c:pt idx="1730">
                <c:v>0.41460617669565336</c:v>
              </c:pt>
              <c:pt idx="1731">
                <c:v>0.41460617669565336</c:v>
              </c:pt>
              <c:pt idx="1732">
                <c:v>0.41494851975781577</c:v>
              </c:pt>
              <c:pt idx="1733">
                <c:v>0.41494851975781577</c:v>
              </c:pt>
              <c:pt idx="1734">
                <c:v>0.4152908628199782</c:v>
              </c:pt>
              <c:pt idx="1735">
                <c:v>0.4152908628199782</c:v>
              </c:pt>
              <c:pt idx="1736">
                <c:v>0.4156332058821406</c:v>
              </c:pt>
              <c:pt idx="1737">
                <c:v>0.4156332058821406</c:v>
              </c:pt>
              <c:pt idx="1738">
                <c:v>0.41597554894430294</c:v>
              </c:pt>
              <c:pt idx="1739">
                <c:v>0.41597554894430294</c:v>
              </c:pt>
              <c:pt idx="1740">
                <c:v>0.41631789200646535</c:v>
              </c:pt>
              <c:pt idx="1741">
                <c:v>0.41631789200646535</c:v>
              </c:pt>
              <c:pt idx="1742">
                <c:v>0.41666023506862776</c:v>
              </c:pt>
              <c:pt idx="1743">
                <c:v>0.41666023506862776</c:v>
              </c:pt>
              <c:pt idx="1744">
                <c:v>0.41700257813079017</c:v>
              </c:pt>
              <c:pt idx="1745">
                <c:v>0.41700257813079017</c:v>
              </c:pt>
              <c:pt idx="1746">
                <c:v>0.4173449211929526</c:v>
              </c:pt>
              <c:pt idx="1747">
                <c:v>0.4173449211929526</c:v>
              </c:pt>
              <c:pt idx="1748">
                <c:v>0.41768726425511493</c:v>
              </c:pt>
              <c:pt idx="1749">
                <c:v>0.41768726425511493</c:v>
              </c:pt>
              <c:pt idx="1750">
                <c:v>0.41802960731727734</c:v>
              </c:pt>
              <c:pt idx="1751">
                <c:v>0.41802960731727734</c:v>
              </c:pt>
              <c:pt idx="1752">
                <c:v>0.41837195037943975</c:v>
              </c:pt>
              <c:pt idx="1753">
                <c:v>0.41837195037943975</c:v>
              </c:pt>
              <c:pt idx="1754">
                <c:v>0.41871429344160216</c:v>
              </c:pt>
              <c:pt idx="1755">
                <c:v>0.41871429344160216</c:v>
              </c:pt>
              <c:pt idx="1756">
                <c:v>0.41905663650376457</c:v>
              </c:pt>
              <c:pt idx="1757">
                <c:v>0.41905663650376457</c:v>
              </c:pt>
              <c:pt idx="1758">
                <c:v>0.419398979565927</c:v>
              </c:pt>
              <c:pt idx="1759">
                <c:v>0.419398979565927</c:v>
              </c:pt>
              <c:pt idx="1760">
                <c:v>0.41974132262808933</c:v>
              </c:pt>
              <c:pt idx="1761">
                <c:v>0.41974132262808933</c:v>
              </c:pt>
              <c:pt idx="1762">
                <c:v>0.42008366569025174</c:v>
              </c:pt>
              <c:pt idx="1763">
                <c:v>0.42008366569025174</c:v>
              </c:pt>
              <c:pt idx="1764">
                <c:v>0.42042600875241415</c:v>
              </c:pt>
              <c:pt idx="1765">
                <c:v>0.42042600875241415</c:v>
              </c:pt>
              <c:pt idx="1766">
                <c:v>0.42076835181457656</c:v>
              </c:pt>
              <c:pt idx="1767">
                <c:v>0.42076835181457656</c:v>
              </c:pt>
              <c:pt idx="1768">
                <c:v>0.42111069487673897</c:v>
              </c:pt>
              <c:pt idx="1769">
                <c:v>0.42111069487673897</c:v>
              </c:pt>
              <c:pt idx="1770">
                <c:v>0.4214530379389013</c:v>
              </c:pt>
              <c:pt idx="1771">
                <c:v>0.4214530379389013</c:v>
              </c:pt>
              <c:pt idx="1772">
                <c:v>0.4215997563941138</c:v>
              </c:pt>
              <c:pt idx="1773">
                <c:v>0.4215997563941138</c:v>
              </c:pt>
              <c:pt idx="1774">
                <c:v>0.4215997563941138</c:v>
              </c:pt>
              <c:pt idx="1775">
                <c:v>0.4215997563941138</c:v>
              </c:pt>
              <c:pt idx="1776">
                <c:v>0.4215997563941138</c:v>
              </c:pt>
              <c:pt idx="1777">
                <c:v>0.4215997563941138</c:v>
              </c:pt>
              <c:pt idx="1778">
                <c:v>0.4219420994562762</c:v>
              </c:pt>
              <c:pt idx="1779">
                <c:v>0.4219420994562762</c:v>
              </c:pt>
              <c:pt idx="1780">
                <c:v>0.4222844425184386</c:v>
              </c:pt>
              <c:pt idx="1781">
                <c:v>0.4222844425184386</c:v>
              </c:pt>
              <c:pt idx="1782">
                <c:v>0.42262678558060096</c:v>
              </c:pt>
              <c:pt idx="1783">
                <c:v>0.42262678558060096</c:v>
              </c:pt>
              <c:pt idx="1784">
                <c:v>0.42296912864276337</c:v>
              </c:pt>
              <c:pt idx="1785">
                <c:v>0.42296912864276337</c:v>
              </c:pt>
              <c:pt idx="1786">
                <c:v>0.4233114717049258</c:v>
              </c:pt>
              <c:pt idx="1787">
                <c:v>0.4233114717049258</c:v>
              </c:pt>
              <c:pt idx="1788">
                <c:v>0.4236538147670882</c:v>
              </c:pt>
              <c:pt idx="1789">
                <c:v>0.4236538147670882</c:v>
              </c:pt>
              <c:pt idx="1790">
                <c:v>0.4239961578292506</c:v>
              </c:pt>
              <c:pt idx="1791">
                <c:v>0.4239961578292506</c:v>
              </c:pt>
              <c:pt idx="1792">
                <c:v>0.424338500891413</c:v>
              </c:pt>
              <c:pt idx="1793">
                <c:v>0.424338500891413</c:v>
              </c:pt>
              <c:pt idx="1794">
                <c:v>0.42468084395357536</c:v>
              </c:pt>
              <c:pt idx="1795">
                <c:v>0.42468084395357536</c:v>
              </c:pt>
              <c:pt idx="1796">
                <c:v>0.42502318701573777</c:v>
              </c:pt>
              <c:pt idx="1797">
                <c:v>0.42502318701573777</c:v>
              </c:pt>
              <c:pt idx="1798">
                <c:v>0.4253655300779002</c:v>
              </c:pt>
              <c:pt idx="1799">
                <c:v>0.4253655300779002</c:v>
              </c:pt>
              <c:pt idx="1800">
                <c:v>0.4257078731400626</c:v>
              </c:pt>
              <c:pt idx="1801">
                <c:v>0.4257078731400626</c:v>
              </c:pt>
              <c:pt idx="1802">
                <c:v>0.426050216202225</c:v>
              </c:pt>
              <c:pt idx="1803">
                <c:v>0.426050216202225</c:v>
              </c:pt>
              <c:pt idx="1804">
                <c:v>0.4263925592643874</c:v>
              </c:pt>
              <c:pt idx="1805">
                <c:v>0.4263925592643874</c:v>
              </c:pt>
              <c:pt idx="1806">
                <c:v>0.42673490232654976</c:v>
              </c:pt>
              <c:pt idx="1807">
                <c:v>0.42673490232654976</c:v>
              </c:pt>
              <c:pt idx="1808">
                <c:v>0.42707724538871217</c:v>
              </c:pt>
              <c:pt idx="1809">
                <c:v>0.42707724538871217</c:v>
              </c:pt>
              <c:pt idx="1810">
                <c:v>0.4274195884508746</c:v>
              </c:pt>
              <c:pt idx="1811">
                <c:v>0.4274195884508746</c:v>
              </c:pt>
              <c:pt idx="1812">
                <c:v>0.427761931513037</c:v>
              </c:pt>
              <c:pt idx="1813">
                <c:v>0.427761931513037</c:v>
              </c:pt>
              <c:pt idx="1814">
                <c:v>0.4281042745751994</c:v>
              </c:pt>
              <c:pt idx="1815">
                <c:v>0.4281042745751994</c:v>
              </c:pt>
              <c:pt idx="1816">
                <c:v>0.42844661763736175</c:v>
              </c:pt>
              <c:pt idx="1817">
                <c:v>0.42844661763736175</c:v>
              </c:pt>
              <c:pt idx="1818">
                <c:v>0.42878896069952416</c:v>
              </c:pt>
              <c:pt idx="1819">
                <c:v>0.42878896069952416</c:v>
              </c:pt>
              <c:pt idx="1820">
                <c:v>0.42913130376168657</c:v>
              </c:pt>
              <c:pt idx="1821">
                <c:v>0.42913130376168657</c:v>
              </c:pt>
              <c:pt idx="1822">
                <c:v>0.429473646823849</c:v>
              </c:pt>
              <c:pt idx="1823">
                <c:v>0.429473646823849</c:v>
              </c:pt>
              <c:pt idx="1824">
                <c:v>0.4298159898860114</c:v>
              </c:pt>
              <c:pt idx="1825">
                <c:v>0.4298159898860114</c:v>
              </c:pt>
              <c:pt idx="1826">
                <c:v>0.4301583329481738</c:v>
              </c:pt>
              <c:pt idx="1827">
                <c:v>0.4301583329481738</c:v>
              </c:pt>
              <c:pt idx="1828">
                <c:v>0.43050067601033615</c:v>
              </c:pt>
              <c:pt idx="1829">
                <c:v>0.43050067601033615</c:v>
              </c:pt>
              <c:pt idx="1830">
                <c:v>0.43084301907249856</c:v>
              </c:pt>
              <c:pt idx="1831">
                <c:v>0.43084301907249856</c:v>
              </c:pt>
              <c:pt idx="1832">
                <c:v>0.43118536213466097</c:v>
              </c:pt>
              <c:pt idx="1833">
                <c:v>0.43118536213466097</c:v>
              </c:pt>
              <c:pt idx="1834">
                <c:v>0.4315277051968234</c:v>
              </c:pt>
              <c:pt idx="1835">
                <c:v>0.4315277051968234</c:v>
              </c:pt>
              <c:pt idx="1836">
                <c:v>0.4318700482589858</c:v>
              </c:pt>
              <c:pt idx="1837">
                <c:v>0.4318700482589858</c:v>
              </c:pt>
              <c:pt idx="1838">
                <c:v>0.4322123913211482</c:v>
              </c:pt>
              <c:pt idx="1839">
                <c:v>0.4322123913211482</c:v>
              </c:pt>
              <c:pt idx="1840">
                <c:v>0.43255473438331055</c:v>
              </c:pt>
              <c:pt idx="1841">
                <c:v>0.43255473438331055</c:v>
              </c:pt>
              <c:pt idx="1842">
                <c:v>0.43289707744547296</c:v>
              </c:pt>
              <c:pt idx="1843">
                <c:v>0.43289707744547296</c:v>
              </c:pt>
              <c:pt idx="1844">
                <c:v>0.43323942050763536</c:v>
              </c:pt>
              <c:pt idx="1845">
                <c:v>0.43323942050763536</c:v>
              </c:pt>
              <c:pt idx="1846">
                <c:v>0.4335817635697978</c:v>
              </c:pt>
              <c:pt idx="1847">
                <c:v>0.4335817635697978</c:v>
              </c:pt>
              <c:pt idx="1848">
                <c:v>0.4339241066319602</c:v>
              </c:pt>
              <c:pt idx="1849">
                <c:v>0.4339241066319602</c:v>
              </c:pt>
              <c:pt idx="1850">
                <c:v>0.43426644969412254</c:v>
              </c:pt>
              <c:pt idx="1851">
                <c:v>0.43426644969412254</c:v>
              </c:pt>
              <c:pt idx="1852">
                <c:v>0.43460879275628495</c:v>
              </c:pt>
              <c:pt idx="1853">
                <c:v>0.43460879275628495</c:v>
              </c:pt>
              <c:pt idx="1854">
                <c:v>0.43495113581844735</c:v>
              </c:pt>
              <c:pt idx="1855">
                <c:v>0.43495113581844735</c:v>
              </c:pt>
              <c:pt idx="1856">
                <c:v>0.43529347888060976</c:v>
              </c:pt>
              <c:pt idx="1857">
                <c:v>0.43529347888060976</c:v>
              </c:pt>
              <c:pt idx="1858">
                <c:v>0.4356358219427722</c:v>
              </c:pt>
              <c:pt idx="1859">
                <c:v>0.4356358219427722</c:v>
              </c:pt>
              <c:pt idx="1860">
                <c:v>0.4359781650049346</c:v>
              </c:pt>
              <c:pt idx="1861">
                <c:v>0.4359781650049346</c:v>
              </c:pt>
              <c:pt idx="1862">
                <c:v>0.43632050806709693</c:v>
              </c:pt>
              <c:pt idx="1863">
                <c:v>0.43632050806709693</c:v>
              </c:pt>
              <c:pt idx="1864">
                <c:v>0.43666285112925934</c:v>
              </c:pt>
              <c:pt idx="1865">
                <c:v>0.43666285112925934</c:v>
              </c:pt>
              <c:pt idx="1866">
                <c:v>0.43700519419142175</c:v>
              </c:pt>
              <c:pt idx="1867">
                <c:v>0.43700519419142175</c:v>
              </c:pt>
              <c:pt idx="1868">
                <c:v>0.43734753725358416</c:v>
              </c:pt>
              <c:pt idx="1869">
                <c:v>0.43734753725358416</c:v>
              </c:pt>
              <c:pt idx="1870">
                <c:v>0.43768988031574657</c:v>
              </c:pt>
              <c:pt idx="1871">
                <c:v>0.43768988031574657</c:v>
              </c:pt>
              <c:pt idx="1872">
                <c:v>0.438032223377909</c:v>
              </c:pt>
              <c:pt idx="1873">
                <c:v>0.438032223377909</c:v>
              </c:pt>
              <c:pt idx="1874">
                <c:v>0.43837456644007133</c:v>
              </c:pt>
              <c:pt idx="1875">
                <c:v>0.43837456644007133</c:v>
              </c:pt>
              <c:pt idx="1876">
                <c:v>0.43871690950223374</c:v>
              </c:pt>
              <c:pt idx="1877">
                <c:v>0.43871690950223374</c:v>
              </c:pt>
              <c:pt idx="1878">
                <c:v>0.43905925256439615</c:v>
              </c:pt>
              <c:pt idx="1879">
                <c:v>0.43905925256439615</c:v>
              </c:pt>
              <c:pt idx="1880">
                <c:v>0.43940159562655856</c:v>
              </c:pt>
              <c:pt idx="1881">
                <c:v>0.43940159562655856</c:v>
              </c:pt>
              <c:pt idx="1882">
                <c:v>0.43974393868872097</c:v>
              </c:pt>
              <c:pt idx="1883">
                <c:v>0.43974393868872097</c:v>
              </c:pt>
              <c:pt idx="1884">
                <c:v>0.4400862817508834</c:v>
              </c:pt>
              <c:pt idx="1885">
                <c:v>0.4400862817508834</c:v>
              </c:pt>
              <c:pt idx="1886">
                <c:v>0.44042862481304573</c:v>
              </c:pt>
              <c:pt idx="1887">
                <c:v>0.44042862481304573</c:v>
              </c:pt>
              <c:pt idx="1888">
                <c:v>0.44077096787520814</c:v>
              </c:pt>
              <c:pt idx="1889">
                <c:v>0.44077096787520814</c:v>
              </c:pt>
              <c:pt idx="1890">
                <c:v>0.44111331093737055</c:v>
              </c:pt>
              <c:pt idx="1891">
                <c:v>0.44111331093737055</c:v>
              </c:pt>
              <c:pt idx="1892">
                <c:v>0.44145565399953296</c:v>
              </c:pt>
              <c:pt idx="1893">
                <c:v>0.44145565399953296</c:v>
              </c:pt>
              <c:pt idx="1894">
                <c:v>0.44179799706169537</c:v>
              </c:pt>
              <c:pt idx="1895">
                <c:v>0.44179799706169537</c:v>
              </c:pt>
              <c:pt idx="1896">
                <c:v>0.4421403401238577</c:v>
              </c:pt>
              <c:pt idx="1897">
                <c:v>0.4421403401238577</c:v>
              </c:pt>
              <c:pt idx="1898">
                <c:v>0.44248268318602013</c:v>
              </c:pt>
              <c:pt idx="1899">
                <c:v>0.44248268318602013</c:v>
              </c:pt>
              <c:pt idx="1900">
                <c:v>0.44282502624818254</c:v>
              </c:pt>
              <c:pt idx="1901">
                <c:v>0.44282502624818254</c:v>
              </c:pt>
              <c:pt idx="1902">
                <c:v>0.44316736931034495</c:v>
              </c:pt>
              <c:pt idx="1903">
                <c:v>0.44316736931034495</c:v>
              </c:pt>
              <c:pt idx="1904">
                <c:v>0.44350971237250736</c:v>
              </c:pt>
              <c:pt idx="1905">
                <c:v>0.44350971237250736</c:v>
              </c:pt>
              <c:pt idx="1906">
                <c:v>0.44385205543466977</c:v>
              </c:pt>
              <c:pt idx="1907">
                <c:v>0.44385205543466977</c:v>
              </c:pt>
              <c:pt idx="1908">
                <c:v>0.4441943984968321</c:v>
              </c:pt>
              <c:pt idx="1909">
                <c:v>0.4441943984968321</c:v>
              </c:pt>
              <c:pt idx="1910">
                <c:v>0.44453674155899453</c:v>
              </c:pt>
              <c:pt idx="1911">
                <c:v>0.44453674155899453</c:v>
              </c:pt>
              <c:pt idx="1912">
                <c:v>0.44487908462115694</c:v>
              </c:pt>
              <c:pt idx="1913">
                <c:v>0.44487908462115694</c:v>
              </c:pt>
              <c:pt idx="1914">
                <c:v>0.44522142768331935</c:v>
              </c:pt>
              <c:pt idx="1915">
                <c:v>0.44522142768331935</c:v>
              </c:pt>
              <c:pt idx="1916">
                <c:v>0.44556377074548176</c:v>
              </c:pt>
              <c:pt idx="1917">
                <c:v>0.44556377074548176</c:v>
              </c:pt>
              <c:pt idx="1918">
                <c:v>0.4459061138076441</c:v>
              </c:pt>
              <c:pt idx="1919">
                <c:v>0.4459061138076441</c:v>
              </c:pt>
              <c:pt idx="1920">
                <c:v>0.44605283226285664</c:v>
              </c:pt>
              <c:pt idx="1921">
                <c:v>0.44605283226285664</c:v>
              </c:pt>
              <c:pt idx="1922">
                <c:v>0.44605283226285664</c:v>
              </c:pt>
              <c:pt idx="1923">
                <c:v>0.44605283226285664</c:v>
              </c:pt>
              <c:pt idx="1924">
                <c:v>0.44605283226285664</c:v>
              </c:pt>
              <c:pt idx="1925">
                <c:v>0.44605283226285664</c:v>
              </c:pt>
              <c:pt idx="1926">
                <c:v>0.44639517532501904</c:v>
              </c:pt>
              <c:pt idx="1927">
                <c:v>0.44639517532501904</c:v>
              </c:pt>
              <c:pt idx="1928">
                <c:v>0.44673751838718145</c:v>
              </c:pt>
              <c:pt idx="1929">
                <c:v>0.44673751838718145</c:v>
              </c:pt>
              <c:pt idx="1930">
                <c:v>0.4470798614493438</c:v>
              </c:pt>
              <c:pt idx="1931">
                <c:v>0.4470798614493438</c:v>
              </c:pt>
              <c:pt idx="1932">
                <c:v>0.4474222045115062</c:v>
              </c:pt>
              <c:pt idx="1933">
                <c:v>0.4474222045115062</c:v>
              </c:pt>
              <c:pt idx="1934">
                <c:v>0.4477645475736686</c:v>
              </c:pt>
              <c:pt idx="1935">
                <c:v>0.4477645475736686</c:v>
              </c:pt>
              <c:pt idx="1936">
                <c:v>0.44810689063583103</c:v>
              </c:pt>
              <c:pt idx="1937">
                <c:v>0.44810689063583103</c:v>
              </c:pt>
              <c:pt idx="1938">
                <c:v>0.44844923369799344</c:v>
              </c:pt>
              <c:pt idx="1939">
                <c:v>0.44844923369799344</c:v>
              </c:pt>
              <c:pt idx="1940">
                <c:v>0.44879157676015585</c:v>
              </c:pt>
              <c:pt idx="1941">
                <c:v>0.44879157676015585</c:v>
              </c:pt>
              <c:pt idx="1942">
                <c:v>0.4491339198223182</c:v>
              </c:pt>
              <c:pt idx="1943">
                <c:v>0.4491339198223182</c:v>
              </c:pt>
              <c:pt idx="1944">
                <c:v>0.4494762628844806</c:v>
              </c:pt>
              <c:pt idx="1945">
                <c:v>0.4494762628844806</c:v>
              </c:pt>
              <c:pt idx="1946">
                <c:v>0.449818605946643</c:v>
              </c:pt>
              <c:pt idx="1947">
                <c:v>0.449818605946643</c:v>
              </c:pt>
              <c:pt idx="1948">
                <c:v>0.45016094900880543</c:v>
              </c:pt>
              <c:pt idx="1949">
                <c:v>0.45016094900880543</c:v>
              </c:pt>
              <c:pt idx="1950">
                <c:v>0.45050329207096784</c:v>
              </c:pt>
              <c:pt idx="1951">
                <c:v>0.45050329207096784</c:v>
              </c:pt>
              <c:pt idx="1952">
                <c:v>0.45084563513313025</c:v>
              </c:pt>
              <c:pt idx="1953">
                <c:v>0.45084563513313025</c:v>
              </c:pt>
              <c:pt idx="1954">
                <c:v>0.4511879781952926</c:v>
              </c:pt>
              <c:pt idx="1955">
                <c:v>0.4511879781952926</c:v>
              </c:pt>
              <c:pt idx="1956">
                <c:v>0.451530321257455</c:v>
              </c:pt>
              <c:pt idx="1957">
                <c:v>0.451530321257455</c:v>
              </c:pt>
              <c:pt idx="1958">
                <c:v>0.4518726643196174</c:v>
              </c:pt>
              <c:pt idx="1959">
                <c:v>0.4518726643196174</c:v>
              </c:pt>
              <c:pt idx="1960">
                <c:v>0.45221500738177983</c:v>
              </c:pt>
              <c:pt idx="1961">
                <c:v>0.45221500738177983</c:v>
              </c:pt>
              <c:pt idx="1962">
                <c:v>0.45255735044394224</c:v>
              </c:pt>
              <c:pt idx="1963">
                <c:v>0.45255735044394224</c:v>
              </c:pt>
              <c:pt idx="1964">
                <c:v>0.4528996935061046</c:v>
              </c:pt>
              <c:pt idx="1965">
                <c:v>0.4528996935061046</c:v>
              </c:pt>
              <c:pt idx="1966">
                <c:v>0.453242036568267</c:v>
              </c:pt>
              <c:pt idx="1967">
                <c:v>0.453242036568267</c:v>
              </c:pt>
              <c:pt idx="1968">
                <c:v>0.4535843796304294</c:v>
              </c:pt>
              <c:pt idx="1969">
                <c:v>0.4535843796304294</c:v>
              </c:pt>
              <c:pt idx="1970">
                <c:v>0.4539267226925918</c:v>
              </c:pt>
              <c:pt idx="1971">
                <c:v>0.4539267226925918</c:v>
              </c:pt>
              <c:pt idx="1972">
                <c:v>0.45426906575475423</c:v>
              </c:pt>
              <c:pt idx="1973">
                <c:v>0.45426906575475423</c:v>
              </c:pt>
              <c:pt idx="1974">
                <c:v>0.45461140881691664</c:v>
              </c:pt>
              <c:pt idx="1975">
                <c:v>0.45461140881691664</c:v>
              </c:pt>
              <c:pt idx="1976">
                <c:v>0.454953751879079</c:v>
              </c:pt>
              <c:pt idx="1977">
                <c:v>0.454953751879079</c:v>
              </c:pt>
              <c:pt idx="1978">
                <c:v>0.4552960949412414</c:v>
              </c:pt>
              <c:pt idx="1979">
                <c:v>0.4552960949412414</c:v>
              </c:pt>
              <c:pt idx="1980">
                <c:v>0.4556384380034038</c:v>
              </c:pt>
              <c:pt idx="1981">
                <c:v>0.4556384380034038</c:v>
              </c:pt>
              <c:pt idx="1982">
                <c:v>0.4559807810655662</c:v>
              </c:pt>
              <c:pt idx="1983">
                <c:v>0.4559807810655662</c:v>
              </c:pt>
              <c:pt idx="1984">
                <c:v>0.45632312412772863</c:v>
              </c:pt>
              <c:pt idx="1985">
                <c:v>0.45632312412772863</c:v>
              </c:pt>
              <c:pt idx="1986">
                <c:v>0.45666546718989104</c:v>
              </c:pt>
              <c:pt idx="1987">
                <c:v>0.45666546718989104</c:v>
              </c:pt>
              <c:pt idx="1988">
                <c:v>0.4570078102520534</c:v>
              </c:pt>
              <c:pt idx="1989">
                <c:v>0.4570078102520534</c:v>
              </c:pt>
              <c:pt idx="1990">
                <c:v>0.4573501533142158</c:v>
              </c:pt>
              <c:pt idx="1991">
                <c:v>0.4573501533142158</c:v>
              </c:pt>
              <c:pt idx="1992">
                <c:v>0.4576924963763782</c:v>
              </c:pt>
              <c:pt idx="1993">
                <c:v>0.4576924963763782</c:v>
              </c:pt>
              <c:pt idx="1994">
                <c:v>0.4580348394385406</c:v>
              </c:pt>
              <c:pt idx="1995">
                <c:v>0.4580348394385406</c:v>
              </c:pt>
              <c:pt idx="1996">
                <c:v>0.45837718250070303</c:v>
              </c:pt>
              <c:pt idx="1997">
                <c:v>0.45837718250070303</c:v>
              </c:pt>
              <c:pt idx="1998">
                <c:v>0.45871952556286544</c:v>
              </c:pt>
              <c:pt idx="1999">
                <c:v>0.45871952556286544</c:v>
              </c:pt>
              <c:pt idx="2000">
                <c:v>0.4590618686250278</c:v>
              </c:pt>
              <c:pt idx="2001">
                <c:v>0.4590618686250278</c:v>
              </c:pt>
              <c:pt idx="2002">
                <c:v>0.4594042116871902</c:v>
              </c:pt>
              <c:pt idx="2003">
                <c:v>0.4594042116871902</c:v>
              </c:pt>
              <c:pt idx="2004">
                <c:v>0.4597465547493526</c:v>
              </c:pt>
              <c:pt idx="2005">
                <c:v>0.4597465547493526</c:v>
              </c:pt>
              <c:pt idx="2006">
                <c:v>0.460088897811515</c:v>
              </c:pt>
              <c:pt idx="2007">
                <c:v>0.460088897811515</c:v>
              </c:pt>
              <c:pt idx="2008">
                <c:v>0.4604312408736774</c:v>
              </c:pt>
              <c:pt idx="2009">
                <c:v>0.4604312408736774</c:v>
              </c:pt>
              <c:pt idx="2010">
                <c:v>0.4607735839358398</c:v>
              </c:pt>
              <c:pt idx="2011">
                <c:v>0.4607735839358398</c:v>
              </c:pt>
              <c:pt idx="2012">
                <c:v>0.4611159269980022</c:v>
              </c:pt>
              <c:pt idx="2013">
                <c:v>0.4611159269980022</c:v>
              </c:pt>
              <c:pt idx="2014">
                <c:v>0.4614582700601646</c:v>
              </c:pt>
              <c:pt idx="2015">
                <c:v>0.4614582700601646</c:v>
              </c:pt>
              <c:pt idx="2016">
                <c:v>0.461800613122327</c:v>
              </c:pt>
              <c:pt idx="2017">
                <c:v>0.461800613122327</c:v>
              </c:pt>
              <c:pt idx="2018">
                <c:v>0.4621429561844894</c:v>
              </c:pt>
              <c:pt idx="2019">
                <c:v>0.4621429561844894</c:v>
              </c:pt>
              <c:pt idx="2020">
                <c:v>0.4624852992466518</c:v>
              </c:pt>
              <c:pt idx="2021">
                <c:v>0.4624852992466518</c:v>
              </c:pt>
              <c:pt idx="2022">
                <c:v>0.4628276423088142</c:v>
              </c:pt>
              <c:pt idx="2023">
                <c:v>0.4628276423088142</c:v>
              </c:pt>
              <c:pt idx="2024">
                <c:v>0.4631699853709766</c:v>
              </c:pt>
              <c:pt idx="2025">
                <c:v>0.4631699853709766</c:v>
              </c:pt>
              <c:pt idx="2026">
                <c:v>0.463512328433139</c:v>
              </c:pt>
              <c:pt idx="2027">
                <c:v>0.463512328433139</c:v>
              </c:pt>
              <c:pt idx="2028">
                <c:v>0.4638546714953014</c:v>
              </c:pt>
              <c:pt idx="2029">
                <c:v>0.4638546714953014</c:v>
              </c:pt>
              <c:pt idx="2030">
                <c:v>0.4641970145574638</c:v>
              </c:pt>
              <c:pt idx="2031">
                <c:v>0.4641970145574638</c:v>
              </c:pt>
              <c:pt idx="2032">
                <c:v>0.46453935761962617</c:v>
              </c:pt>
              <c:pt idx="2033">
                <c:v>0.46453935761962617</c:v>
              </c:pt>
              <c:pt idx="2034">
                <c:v>0.4648817006817886</c:v>
              </c:pt>
              <c:pt idx="2035">
                <c:v>0.4648817006817886</c:v>
              </c:pt>
              <c:pt idx="2036">
                <c:v>0.465224043743951</c:v>
              </c:pt>
              <c:pt idx="2037">
                <c:v>0.465224043743951</c:v>
              </c:pt>
              <c:pt idx="2038">
                <c:v>0.4655663868061134</c:v>
              </c:pt>
              <c:pt idx="2039">
                <c:v>0.4655663868061134</c:v>
              </c:pt>
              <c:pt idx="2040">
                <c:v>0.4659087298682758</c:v>
              </c:pt>
              <c:pt idx="2041">
                <c:v>0.4659087298682758</c:v>
              </c:pt>
              <c:pt idx="2042">
                <c:v>0.4662510729304382</c:v>
              </c:pt>
              <c:pt idx="2043">
                <c:v>0.4662510729304382</c:v>
              </c:pt>
              <c:pt idx="2044">
                <c:v>0.46659341599260057</c:v>
              </c:pt>
              <c:pt idx="2045">
                <c:v>0.46659341599260057</c:v>
              </c:pt>
              <c:pt idx="2046">
                <c:v>0.466935759054763</c:v>
              </c:pt>
              <c:pt idx="2047">
                <c:v>0.466935759054763</c:v>
              </c:pt>
              <c:pt idx="2048">
                <c:v>0.4672781021169254</c:v>
              </c:pt>
              <c:pt idx="2049">
                <c:v>0.4672781021169254</c:v>
              </c:pt>
              <c:pt idx="2050">
                <c:v>0.4676204451790878</c:v>
              </c:pt>
              <c:pt idx="2051">
                <c:v>0.4676204451790878</c:v>
              </c:pt>
              <c:pt idx="2052">
                <c:v>0.4679627882412502</c:v>
              </c:pt>
              <c:pt idx="2053">
                <c:v>0.4679627882412502</c:v>
              </c:pt>
              <c:pt idx="2054">
                <c:v>0.4683051313034126</c:v>
              </c:pt>
              <c:pt idx="2055">
                <c:v>0.4683051313034126</c:v>
              </c:pt>
              <c:pt idx="2056">
                <c:v>0.46864747436557497</c:v>
              </c:pt>
              <c:pt idx="2057">
                <c:v>0.46864747436557497</c:v>
              </c:pt>
              <c:pt idx="2058">
                <c:v>0.4689898174277374</c:v>
              </c:pt>
              <c:pt idx="2059">
                <c:v>0.4689898174277374</c:v>
              </c:pt>
              <c:pt idx="2060">
                <c:v>0.4693321604898998</c:v>
              </c:pt>
              <c:pt idx="2061">
                <c:v>0.4693321604898998</c:v>
              </c:pt>
              <c:pt idx="2062">
                <c:v>0.4696745035520622</c:v>
              </c:pt>
              <c:pt idx="2063">
                <c:v>0.4696745035520622</c:v>
              </c:pt>
              <c:pt idx="2064">
                <c:v>0.4700168466142246</c:v>
              </c:pt>
              <c:pt idx="2065">
                <c:v>0.4700168466142246</c:v>
              </c:pt>
              <c:pt idx="2066">
                <c:v>0.470359189676387</c:v>
              </c:pt>
              <c:pt idx="2067">
                <c:v>0.470359189676387</c:v>
              </c:pt>
              <c:pt idx="2068">
                <c:v>0.4705059081315994</c:v>
              </c:pt>
              <c:pt idx="2069">
                <c:v>0.4705059081315994</c:v>
              </c:pt>
              <c:pt idx="2070">
                <c:v>0.4705059081315994</c:v>
              </c:pt>
              <c:pt idx="2071">
                <c:v>0.4705059081315994</c:v>
              </c:pt>
              <c:pt idx="2072">
                <c:v>0.4705059081315994</c:v>
              </c:pt>
              <c:pt idx="2073">
                <c:v>0.4705059081315994</c:v>
              </c:pt>
              <c:pt idx="2074">
                <c:v>0.47084825119376184</c:v>
              </c:pt>
              <c:pt idx="2075">
                <c:v>0.47084825119376184</c:v>
              </c:pt>
              <c:pt idx="2076">
                <c:v>0.47119059425592424</c:v>
              </c:pt>
              <c:pt idx="2077">
                <c:v>0.47119059425592424</c:v>
              </c:pt>
              <c:pt idx="2078">
                <c:v>0.4715329373180866</c:v>
              </c:pt>
              <c:pt idx="2079">
                <c:v>0.4715329373180866</c:v>
              </c:pt>
              <c:pt idx="2080">
                <c:v>0.471875280380249</c:v>
              </c:pt>
              <c:pt idx="2081">
                <c:v>0.471875280380249</c:v>
              </c:pt>
              <c:pt idx="2082">
                <c:v>0.4722176234424114</c:v>
              </c:pt>
              <c:pt idx="2083">
                <c:v>0.4722176234424114</c:v>
              </c:pt>
              <c:pt idx="2084">
                <c:v>0.4725599665045738</c:v>
              </c:pt>
              <c:pt idx="2085">
                <c:v>0.4725599665045738</c:v>
              </c:pt>
              <c:pt idx="2086">
                <c:v>0.47290230956673623</c:v>
              </c:pt>
              <c:pt idx="2087">
                <c:v>0.47290230956673623</c:v>
              </c:pt>
              <c:pt idx="2088">
                <c:v>0.47324465262889864</c:v>
              </c:pt>
              <c:pt idx="2089">
                <c:v>0.47324465262889864</c:v>
              </c:pt>
              <c:pt idx="2090">
                <c:v>0.473586995691061</c:v>
              </c:pt>
              <c:pt idx="2091">
                <c:v>0.473586995691061</c:v>
              </c:pt>
              <c:pt idx="2092">
                <c:v>0.4739293387532234</c:v>
              </c:pt>
              <c:pt idx="2093">
                <c:v>0.4739293387532234</c:v>
              </c:pt>
              <c:pt idx="2094">
                <c:v>0.4742716818153858</c:v>
              </c:pt>
              <c:pt idx="2095">
                <c:v>0.4742716818153858</c:v>
              </c:pt>
              <c:pt idx="2096">
                <c:v>0.4746140248775482</c:v>
              </c:pt>
              <c:pt idx="2097">
                <c:v>0.4746140248775482</c:v>
              </c:pt>
              <c:pt idx="2098">
                <c:v>0.47495636793971063</c:v>
              </c:pt>
              <c:pt idx="2099">
                <c:v>0.47495636793971063</c:v>
              </c:pt>
              <c:pt idx="2100">
                <c:v>0.47529871100187304</c:v>
              </c:pt>
              <c:pt idx="2101">
                <c:v>0.47529871100187304</c:v>
              </c:pt>
              <c:pt idx="2102">
                <c:v>0.4756410540640354</c:v>
              </c:pt>
              <c:pt idx="2103">
                <c:v>0.4756410540640354</c:v>
              </c:pt>
              <c:pt idx="2104">
                <c:v>0.4759833971261978</c:v>
              </c:pt>
              <c:pt idx="2105">
                <c:v>0.4759833971261978</c:v>
              </c:pt>
              <c:pt idx="2106">
                <c:v>0.4763257401883602</c:v>
              </c:pt>
              <c:pt idx="2107">
                <c:v>0.4763257401883602</c:v>
              </c:pt>
              <c:pt idx="2108">
                <c:v>0.4766680832505226</c:v>
              </c:pt>
              <c:pt idx="2109">
                <c:v>0.4766680832505226</c:v>
              </c:pt>
              <c:pt idx="2110">
                <c:v>0.47701042631268503</c:v>
              </c:pt>
              <c:pt idx="2111">
                <c:v>0.47701042631268503</c:v>
              </c:pt>
              <c:pt idx="2112">
                <c:v>0.4773527693748474</c:v>
              </c:pt>
              <c:pt idx="2113">
                <c:v>0.4773527693748474</c:v>
              </c:pt>
              <c:pt idx="2114">
                <c:v>0.4776951124370098</c:v>
              </c:pt>
              <c:pt idx="2115">
                <c:v>0.4776951124370098</c:v>
              </c:pt>
              <c:pt idx="2116">
                <c:v>0.4780374554991722</c:v>
              </c:pt>
              <c:pt idx="2117">
                <c:v>0.4780374554991722</c:v>
              </c:pt>
              <c:pt idx="2118">
                <c:v>0.4783797985613346</c:v>
              </c:pt>
              <c:pt idx="2119">
                <c:v>0.4783797985613346</c:v>
              </c:pt>
              <c:pt idx="2120">
                <c:v>0.478722141623497</c:v>
              </c:pt>
              <c:pt idx="2121">
                <c:v>0.478722141623497</c:v>
              </c:pt>
              <c:pt idx="2122">
                <c:v>0.47906448468565943</c:v>
              </c:pt>
              <c:pt idx="2123">
                <c:v>0.47906448468565943</c:v>
              </c:pt>
              <c:pt idx="2124">
                <c:v>0.4794068277478218</c:v>
              </c:pt>
              <c:pt idx="2125">
                <c:v>0.4794068277478218</c:v>
              </c:pt>
              <c:pt idx="2126">
                <c:v>0.4797491708099842</c:v>
              </c:pt>
              <c:pt idx="2127">
                <c:v>0.4797491708099842</c:v>
              </c:pt>
              <c:pt idx="2128">
                <c:v>0.4800915138721466</c:v>
              </c:pt>
              <c:pt idx="2129">
                <c:v>0.4800915138721466</c:v>
              </c:pt>
              <c:pt idx="2130">
                <c:v>0.480433856934309</c:v>
              </c:pt>
              <c:pt idx="2131">
                <c:v>0.480433856934309</c:v>
              </c:pt>
              <c:pt idx="2132">
                <c:v>0.4807761999964714</c:v>
              </c:pt>
              <c:pt idx="2133">
                <c:v>0.4807761999964714</c:v>
              </c:pt>
              <c:pt idx="2134">
                <c:v>0.48111854305863383</c:v>
              </c:pt>
              <c:pt idx="2135">
                <c:v>0.48111854305863383</c:v>
              </c:pt>
              <c:pt idx="2136">
                <c:v>0.4814608861207962</c:v>
              </c:pt>
              <c:pt idx="2137">
                <c:v>0.4814608861207962</c:v>
              </c:pt>
              <c:pt idx="2138">
                <c:v>0.4818032291829586</c:v>
              </c:pt>
              <c:pt idx="2139">
                <c:v>0.4818032291829586</c:v>
              </c:pt>
              <c:pt idx="2140">
                <c:v>0.482145572245121</c:v>
              </c:pt>
              <c:pt idx="2141">
                <c:v>0.482145572245121</c:v>
              </c:pt>
              <c:pt idx="2142">
                <c:v>0.4824879153072834</c:v>
              </c:pt>
              <c:pt idx="2143">
                <c:v>0.4824879153072834</c:v>
              </c:pt>
              <c:pt idx="2144">
                <c:v>0.4828302583694458</c:v>
              </c:pt>
              <c:pt idx="2145">
                <c:v>0.4828302583694458</c:v>
              </c:pt>
              <c:pt idx="2146">
                <c:v>0.48317260143160823</c:v>
              </c:pt>
              <c:pt idx="2147">
                <c:v>0.48317260143160823</c:v>
              </c:pt>
              <c:pt idx="2148">
                <c:v>0.4835149444937706</c:v>
              </c:pt>
              <c:pt idx="2149">
                <c:v>0.4835149444937706</c:v>
              </c:pt>
              <c:pt idx="2150">
                <c:v>0.483857287555933</c:v>
              </c:pt>
              <c:pt idx="2151">
                <c:v>0.483857287555933</c:v>
              </c:pt>
              <c:pt idx="2152">
                <c:v>0.4841996306180954</c:v>
              </c:pt>
              <c:pt idx="2153">
                <c:v>0.4841996306180954</c:v>
              </c:pt>
              <c:pt idx="2154">
                <c:v>0.4845419736802578</c:v>
              </c:pt>
              <c:pt idx="2155">
                <c:v>0.4845419736802578</c:v>
              </c:pt>
              <c:pt idx="2156">
                <c:v>0.4848843167424202</c:v>
              </c:pt>
              <c:pt idx="2157">
                <c:v>0.4848843167424202</c:v>
              </c:pt>
              <c:pt idx="2158">
                <c:v>0.48522665980458257</c:v>
              </c:pt>
              <c:pt idx="2159">
                <c:v>0.48522665980458257</c:v>
              </c:pt>
              <c:pt idx="2160">
                <c:v>0.485569002866745</c:v>
              </c:pt>
              <c:pt idx="2161">
                <c:v>0.485569002866745</c:v>
              </c:pt>
              <c:pt idx="2162">
                <c:v>0.4859113459289074</c:v>
              </c:pt>
              <c:pt idx="2163">
                <c:v>0.4859113459289074</c:v>
              </c:pt>
              <c:pt idx="2164">
                <c:v>0.4862536889910698</c:v>
              </c:pt>
              <c:pt idx="2165">
                <c:v>0.4862536889910698</c:v>
              </c:pt>
              <c:pt idx="2166">
                <c:v>0.4865960320532322</c:v>
              </c:pt>
              <c:pt idx="2167">
                <c:v>0.4865960320532322</c:v>
              </c:pt>
              <c:pt idx="2168">
                <c:v>0.4869383751153946</c:v>
              </c:pt>
              <c:pt idx="2169">
                <c:v>0.4869383751153946</c:v>
              </c:pt>
              <c:pt idx="2170">
                <c:v>0.48728071817755697</c:v>
              </c:pt>
              <c:pt idx="2171">
                <c:v>0.48728071817755697</c:v>
              </c:pt>
              <c:pt idx="2172">
                <c:v>0.4876230612397194</c:v>
              </c:pt>
              <c:pt idx="2173">
                <c:v>0.4876230612397194</c:v>
              </c:pt>
              <c:pt idx="2174">
                <c:v>0.4879654043018818</c:v>
              </c:pt>
              <c:pt idx="2175">
                <c:v>0.4879654043018818</c:v>
              </c:pt>
              <c:pt idx="2176">
                <c:v>0.4883077473640442</c:v>
              </c:pt>
              <c:pt idx="2177">
                <c:v>0.4883077473640442</c:v>
              </c:pt>
              <c:pt idx="2178">
                <c:v>0.4886500904262066</c:v>
              </c:pt>
              <c:pt idx="2179">
                <c:v>0.4886500904262066</c:v>
              </c:pt>
              <c:pt idx="2180">
                <c:v>0.48899243348836896</c:v>
              </c:pt>
              <c:pt idx="2181">
                <c:v>0.48899243348836896</c:v>
              </c:pt>
              <c:pt idx="2182">
                <c:v>0.48933477655053137</c:v>
              </c:pt>
              <c:pt idx="2183">
                <c:v>0.48933477655053137</c:v>
              </c:pt>
              <c:pt idx="2184">
                <c:v>0.4896771196126938</c:v>
              </c:pt>
              <c:pt idx="2185">
                <c:v>0.4896771196126938</c:v>
              </c:pt>
              <c:pt idx="2186">
                <c:v>0.4900194626748562</c:v>
              </c:pt>
              <c:pt idx="2187">
                <c:v>0.4900194626748562</c:v>
              </c:pt>
              <c:pt idx="2188">
                <c:v>0.4903618057370186</c:v>
              </c:pt>
              <c:pt idx="2189">
                <c:v>0.4903618057370186</c:v>
              </c:pt>
              <c:pt idx="2190">
                <c:v>0.490704148799181</c:v>
              </c:pt>
              <c:pt idx="2191">
                <c:v>0.490704148799181</c:v>
              </c:pt>
              <c:pt idx="2192">
                <c:v>0.49104649186134336</c:v>
              </c:pt>
              <c:pt idx="2193">
                <c:v>0.49104649186134336</c:v>
              </c:pt>
              <c:pt idx="2194">
                <c:v>0.49138883492350577</c:v>
              </c:pt>
              <c:pt idx="2195">
                <c:v>0.49138883492350577</c:v>
              </c:pt>
              <c:pt idx="2196">
                <c:v>0.4917311779856682</c:v>
              </c:pt>
              <c:pt idx="2197">
                <c:v>0.4917311779856682</c:v>
              </c:pt>
              <c:pt idx="2198">
                <c:v>0.4920735210478306</c:v>
              </c:pt>
              <c:pt idx="2199">
                <c:v>0.4920735210478306</c:v>
              </c:pt>
              <c:pt idx="2200">
                <c:v>0.492415864109993</c:v>
              </c:pt>
              <c:pt idx="2201">
                <c:v>0.492415864109993</c:v>
              </c:pt>
              <c:pt idx="2202">
                <c:v>0.4927582071721554</c:v>
              </c:pt>
              <c:pt idx="2203">
                <c:v>0.4927582071721554</c:v>
              </c:pt>
              <c:pt idx="2204">
                <c:v>0.49310055023431776</c:v>
              </c:pt>
              <c:pt idx="2205">
                <c:v>0.49310055023431776</c:v>
              </c:pt>
              <c:pt idx="2206">
                <c:v>0.49344289329648017</c:v>
              </c:pt>
              <c:pt idx="2207">
                <c:v>0.49344289329648017</c:v>
              </c:pt>
              <c:pt idx="2208">
                <c:v>0.4937852363586426</c:v>
              </c:pt>
              <c:pt idx="2209">
                <c:v>0.4937852363586426</c:v>
              </c:pt>
              <c:pt idx="2210">
                <c:v>0.494127579420805</c:v>
              </c:pt>
              <c:pt idx="2211">
                <c:v>0.494127579420805</c:v>
              </c:pt>
              <c:pt idx="2212">
                <c:v>0.4944699224829674</c:v>
              </c:pt>
              <c:pt idx="2213">
                <c:v>0.4944699224829674</c:v>
              </c:pt>
              <c:pt idx="2214">
                <c:v>0.4948122655451298</c:v>
              </c:pt>
              <c:pt idx="2215">
                <c:v>0.4948122655451298</c:v>
              </c:pt>
              <c:pt idx="2216">
                <c:v>0.4949589840003422</c:v>
              </c:pt>
              <c:pt idx="2217">
                <c:v>0.4949589840003422</c:v>
              </c:pt>
              <c:pt idx="2218">
                <c:v>0.4949589840003422</c:v>
              </c:pt>
              <c:pt idx="2219">
                <c:v>0.4949589840003422</c:v>
              </c:pt>
              <c:pt idx="2220">
                <c:v>0.4949589840003422</c:v>
              </c:pt>
              <c:pt idx="2221">
                <c:v>0.4949589840003422</c:v>
              </c:pt>
              <c:pt idx="2222">
                <c:v>0.4953013270625046</c:v>
              </c:pt>
              <c:pt idx="2223">
                <c:v>0.4953013270625046</c:v>
              </c:pt>
              <c:pt idx="2224">
                <c:v>0.49564367012466704</c:v>
              </c:pt>
              <c:pt idx="2225">
                <c:v>0.49564367012466704</c:v>
              </c:pt>
              <c:pt idx="2226">
                <c:v>0.4959860131868294</c:v>
              </c:pt>
              <c:pt idx="2227">
                <c:v>0.4959860131868294</c:v>
              </c:pt>
              <c:pt idx="2228">
                <c:v>0.4963283562489918</c:v>
              </c:pt>
              <c:pt idx="2229">
                <c:v>0.4963283562489918</c:v>
              </c:pt>
              <c:pt idx="2230">
                <c:v>0.4966706993111542</c:v>
              </c:pt>
              <c:pt idx="2231">
                <c:v>0.4966706993111542</c:v>
              </c:pt>
              <c:pt idx="2232">
                <c:v>0.4970130423733166</c:v>
              </c:pt>
              <c:pt idx="2233">
                <c:v>0.4970130423733166</c:v>
              </c:pt>
              <c:pt idx="2234">
                <c:v>0.497355385435479</c:v>
              </c:pt>
              <c:pt idx="2235">
                <c:v>0.497355385435479</c:v>
              </c:pt>
              <c:pt idx="2236">
                <c:v>0.49769772849764143</c:v>
              </c:pt>
              <c:pt idx="2237">
                <c:v>0.49769772849764143</c:v>
              </c:pt>
              <c:pt idx="2238">
                <c:v>0.4980400715598038</c:v>
              </c:pt>
              <c:pt idx="2239">
                <c:v>0.4980400715598038</c:v>
              </c:pt>
              <c:pt idx="2240">
                <c:v>0.4983824146219662</c:v>
              </c:pt>
              <c:pt idx="2241">
                <c:v>0.4983824146219662</c:v>
              </c:pt>
              <c:pt idx="2242">
                <c:v>0.4987247576841286</c:v>
              </c:pt>
              <c:pt idx="2243">
                <c:v>0.4987247576841286</c:v>
              </c:pt>
              <c:pt idx="2244">
                <c:v>0.499067100746291</c:v>
              </c:pt>
              <c:pt idx="2245">
                <c:v>0.499067100746291</c:v>
              </c:pt>
              <c:pt idx="2246">
                <c:v>0.4994094438084534</c:v>
              </c:pt>
              <c:pt idx="2247">
                <c:v>0.4994094438084534</c:v>
              </c:pt>
              <c:pt idx="2248">
                <c:v>0.49975178687061583</c:v>
              </c:pt>
              <c:pt idx="2249">
                <c:v>0.49975178687061583</c:v>
              </c:pt>
              <c:pt idx="2250">
                <c:v>0.5000941299327782</c:v>
              </c:pt>
              <c:pt idx="2251">
                <c:v>0.5000941299327782</c:v>
              </c:pt>
              <c:pt idx="2252">
                <c:v>0.5004364729949407</c:v>
              </c:pt>
              <c:pt idx="2253">
                <c:v>0.5004364729949407</c:v>
              </c:pt>
              <c:pt idx="2254">
                <c:v>0.5007788160571031</c:v>
              </c:pt>
              <c:pt idx="2255">
                <c:v>0.5007788160571031</c:v>
              </c:pt>
              <c:pt idx="2256">
                <c:v>0.5011211591192654</c:v>
              </c:pt>
              <c:pt idx="2257">
                <c:v>0.5011211591192654</c:v>
              </c:pt>
              <c:pt idx="2258">
                <c:v>0.5014635021814278</c:v>
              </c:pt>
              <c:pt idx="2259">
                <c:v>0.5014635021814278</c:v>
              </c:pt>
              <c:pt idx="2260">
                <c:v>0.5018058452435902</c:v>
              </c:pt>
              <c:pt idx="2261">
                <c:v>0.5018058452435902</c:v>
              </c:pt>
              <c:pt idx="2262">
                <c:v>0.5021481883057526</c:v>
              </c:pt>
              <c:pt idx="2263">
                <c:v>0.5021481883057526</c:v>
              </c:pt>
              <c:pt idx="2264">
                <c:v>0.502490531367915</c:v>
              </c:pt>
              <c:pt idx="2265">
                <c:v>0.502490531367915</c:v>
              </c:pt>
              <c:pt idx="2266">
                <c:v>0.5028328744300774</c:v>
              </c:pt>
              <c:pt idx="2267">
                <c:v>0.5028328744300774</c:v>
              </c:pt>
              <c:pt idx="2268">
                <c:v>0.5031752174922398</c:v>
              </c:pt>
              <c:pt idx="2269">
                <c:v>0.5031752174922398</c:v>
              </c:pt>
              <c:pt idx="2270">
                <c:v>0.5035175605544022</c:v>
              </c:pt>
              <c:pt idx="2271">
                <c:v>0.5035175605544022</c:v>
              </c:pt>
              <c:pt idx="2272">
                <c:v>0.5038599036165646</c:v>
              </c:pt>
              <c:pt idx="2273">
                <c:v>0.5038599036165646</c:v>
              </c:pt>
              <c:pt idx="2274">
                <c:v>0.504202246678727</c:v>
              </c:pt>
              <c:pt idx="2275">
                <c:v>0.504202246678727</c:v>
              </c:pt>
              <c:pt idx="2276">
                <c:v>0.5045445897408894</c:v>
              </c:pt>
              <c:pt idx="2277">
                <c:v>0.5045445897408894</c:v>
              </c:pt>
              <c:pt idx="2278">
                <c:v>0.5048869328030517</c:v>
              </c:pt>
              <c:pt idx="2279">
                <c:v>0.5048869328030517</c:v>
              </c:pt>
              <c:pt idx="2280">
                <c:v>0.5052292758652142</c:v>
              </c:pt>
              <c:pt idx="2281">
                <c:v>0.5052292758652142</c:v>
              </c:pt>
              <c:pt idx="2282">
                <c:v>0.5055716189273766</c:v>
              </c:pt>
              <c:pt idx="2283">
                <c:v>0.5055716189273766</c:v>
              </c:pt>
              <c:pt idx="2284">
                <c:v>0.505913961989539</c:v>
              </c:pt>
              <c:pt idx="2285">
                <c:v>0.505913961989539</c:v>
              </c:pt>
              <c:pt idx="2286">
                <c:v>0.5062563050517014</c:v>
              </c:pt>
              <c:pt idx="2287">
                <c:v>0.5062563050517014</c:v>
              </c:pt>
              <c:pt idx="2288">
                <c:v>0.5065986481138638</c:v>
              </c:pt>
              <c:pt idx="2289">
                <c:v>0.5065986481138638</c:v>
              </c:pt>
              <c:pt idx="2290">
                <c:v>0.5069409911760262</c:v>
              </c:pt>
              <c:pt idx="2291">
                <c:v>0.5069409911760262</c:v>
              </c:pt>
              <c:pt idx="2292">
                <c:v>0.5072833342381886</c:v>
              </c:pt>
              <c:pt idx="2293">
                <c:v>0.5072833342381886</c:v>
              </c:pt>
              <c:pt idx="2294">
                <c:v>0.507625677300351</c:v>
              </c:pt>
              <c:pt idx="2295">
                <c:v>0.507625677300351</c:v>
              </c:pt>
              <c:pt idx="2296">
                <c:v>0.5079680203625134</c:v>
              </c:pt>
              <c:pt idx="2297">
                <c:v>0.5079680203625134</c:v>
              </c:pt>
              <c:pt idx="2298">
                <c:v>0.5083103634246758</c:v>
              </c:pt>
              <c:pt idx="2299">
                <c:v>0.5083103634246758</c:v>
              </c:pt>
              <c:pt idx="2300">
                <c:v>0.5086527064868381</c:v>
              </c:pt>
              <c:pt idx="2301">
                <c:v>0.5086527064868381</c:v>
              </c:pt>
              <c:pt idx="2302">
                <c:v>0.5089950495490005</c:v>
              </c:pt>
              <c:pt idx="2303">
                <c:v>0.5089950495490005</c:v>
              </c:pt>
              <c:pt idx="2304">
                <c:v>0.509337392611163</c:v>
              </c:pt>
              <c:pt idx="2305">
                <c:v>0.509337392611163</c:v>
              </c:pt>
              <c:pt idx="2306">
                <c:v>0.5096797356733254</c:v>
              </c:pt>
              <c:pt idx="2307">
                <c:v>0.5096797356733254</c:v>
              </c:pt>
              <c:pt idx="2308">
                <c:v>0.5100220787354878</c:v>
              </c:pt>
              <c:pt idx="2309">
                <c:v>0.5100220787354878</c:v>
              </c:pt>
              <c:pt idx="2310">
                <c:v>0.5103644217976502</c:v>
              </c:pt>
              <c:pt idx="2311">
                <c:v>0.5103644217976502</c:v>
              </c:pt>
              <c:pt idx="2312">
                <c:v>0.5107067648598126</c:v>
              </c:pt>
              <c:pt idx="2313">
                <c:v>0.5107067648598126</c:v>
              </c:pt>
              <c:pt idx="2314">
                <c:v>0.511049107921975</c:v>
              </c:pt>
              <c:pt idx="2315">
                <c:v>0.511049107921975</c:v>
              </c:pt>
              <c:pt idx="2316">
                <c:v>0.5113914509841374</c:v>
              </c:pt>
              <c:pt idx="2317">
                <c:v>0.5113914509841374</c:v>
              </c:pt>
              <c:pt idx="2318">
                <c:v>0.5117337940462998</c:v>
              </c:pt>
              <c:pt idx="2319">
                <c:v>0.5117337940462998</c:v>
              </c:pt>
              <c:pt idx="2320">
                <c:v>0.5120761371084622</c:v>
              </c:pt>
              <c:pt idx="2321">
                <c:v>0.5120761371084622</c:v>
              </c:pt>
              <c:pt idx="2322">
                <c:v>0.5124184801706246</c:v>
              </c:pt>
              <c:pt idx="2323">
                <c:v>0.5124184801706246</c:v>
              </c:pt>
              <c:pt idx="2324">
                <c:v>0.5127608232327869</c:v>
              </c:pt>
              <c:pt idx="2325">
                <c:v>0.5127608232327869</c:v>
              </c:pt>
              <c:pt idx="2326">
                <c:v>0.5131031662949493</c:v>
              </c:pt>
              <c:pt idx="2327">
                <c:v>0.5131031662949493</c:v>
              </c:pt>
              <c:pt idx="2328">
                <c:v>0.5134455093571118</c:v>
              </c:pt>
              <c:pt idx="2329">
                <c:v>0.5134455093571118</c:v>
              </c:pt>
              <c:pt idx="2330">
                <c:v>0.5137878524192742</c:v>
              </c:pt>
              <c:pt idx="2331">
                <c:v>0.5137878524192742</c:v>
              </c:pt>
              <c:pt idx="2332">
                <c:v>0.5141301954814366</c:v>
              </c:pt>
              <c:pt idx="2333">
                <c:v>0.5141301954814366</c:v>
              </c:pt>
              <c:pt idx="2334">
                <c:v>0.514472538543599</c:v>
              </c:pt>
              <c:pt idx="2335">
                <c:v>0.514472538543599</c:v>
              </c:pt>
              <c:pt idx="2336">
                <c:v>0.5148148816057614</c:v>
              </c:pt>
              <c:pt idx="2337">
                <c:v>0.5148148816057614</c:v>
              </c:pt>
              <c:pt idx="2338">
                <c:v>0.5151572246679238</c:v>
              </c:pt>
              <c:pt idx="2339">
                <c:v>0.5151572246679238</c:v>
              </c:pt>
              <c:pt idx="2340">
                <c:v>0.5154995677300862</c:v>
              </c:pt>
              <c:pt idx="2341">
                <c:v>0.5154995677300862</c:v>
              </c:pt>
              <c:pt idx="2342">
                <c:v>0.5158419107922486</c:v>
              </c:pt>
              <c:pt idx="2343">
                <c:v>0.5158419107922486</c:v>
              </c:pt>
              <c:pt idx="2344">
                <c:v>0.516184253854411</c:v>
              </c:pt>
              <c:pt idx="2345">
                <c:v>0.516184253854411</c:v>
              </c:pt>
              <c:pt idx="2346">
                <c:v>0.5165265969165733</c:v>
              </c:pt>
              <c:pt idx="2347">
                <c:v>0.5165265969165733</c:v>
              </c:pt>
              <c:pt idx="2348">
                <c:v>0.5168689399787357</c:v>
              </c:pt>
              <c:pt idx="2349">
                <c:v>0.5168689399787357</c:v>
              </c:pt>
              <c:pt idx="2350">
                <c:v>0.5172112830408981</c:v>
              </c:pt>
              <c:pt idx="2351">
                <c:v>0.5172112830408981</c:v>
              </c:pt>
              <c:pt idx="2352">
                <c:v>0.5175536261030605</c:v>
              </c:pt>
              <c:pt idx="2353">
                <c:v>0.5175536261030605</c:v>
              </c:pt>
              <c:pt idx="2354">
                <c:v>0.517895969165223</c:v>
              </c:pt>
              <c:pt idx="2355">
                <c:v>0.517895969165223</c:v>
              </c:pt>
              <c:pt idx="2356">
                <c:v>0.5182383122273854</c:v>
              </c:pt>
              <c:pt idx="2357">
                <c:v>0.5182383122273854</c:v>
              </c:pt>
              <c:pt idx="2358">
                <c:v>0.5185806552895478</c:v>
              </c:pt>
              <c:pt idx="2359">
                <c:v>0.5185806552895478</c:v>
              </c:pt>
              <c:pt idx="2360">
                <c:v>0.5189229983517102</c:v>
              </c:pt>
              <c:pt idx="2361">
                <c:v>0.5189229983517102</c:v>
              </c:pt>
              <c:pt idx="2362">
                <c:v>0.5192653414138726</c:v>
              </c:pt>
              <c:pt idx="2363">
                <c:v>0.5192653414138726</c:v>
              </c:pt>
              <c:pt idx="2364">
                <c:v>0.519412059869085</c:v>
              </c:pt>
              <c:pt idx="2365">
                <c:v>0.519412059869085</c:v>
              </c:pt>
              <c:pt idx="2366">
                <c:v>0.519412059869085</c:v>
              </c:pt>
              <c:pt idx="2367">
                <c:v>0.519412059869085</c:v>
              </c:pt>
              <c:pt idx="2368">
                <c:v>0.519412059869085</c:v>
              </c:pt>
              <c:pt idx="2369">
                <c:v>0.519412059869085</c:v>
              </c:pt>
              <c:pt idx="2370">
                <c:v>0.5197544029312474</c:v>
              </c:pt>
              <c:pt idx="2371">
                <c:v>0.5197544029312474</c:v>
              </c:pt>
              <c:pt idx="2372">
                <c:v>0.5200967459934098</c:v>
              </c:pt>
              <c:pt idx="2373">
                <c:v>0.5200967459934098</c:v>
              </c:pt>
              <c:pt idx="2374">
                <c:v>0.5204390890555722</c:v>
              </c:pt>
              <c:pt idx="2375">
                <c:v>0.5204390890555722</c:v>
              </c:pt>
              <c:pt idx="2376">
                <c:v>0.5207814321177346</c:v>
              </c:pt>
              <c:pt idx="2377">
                <c:v>0.5207814321177346</c:v>
              </c:pt>
              <c:pt idx="2378">
                <c:v>0.521123775179897</c:v>
              </c:pt>
              <c:pt idx="2379">
                <c:v>0.521123775179897</c:v>
              </c:pt>
              <c:pt idx="2380">
                <c:v>0.5214661182420594</c:v>
              </c:pt>
              <c:pt idx="2381">
                <c:v>0.5214661182420594</c:v>
              </c:pt>
              <c:pt idx="2382">
                <c:v>0.5218084613042218</c:v>
              </c:pt>
              <c:pt idx="2383">
                <c:v>0.5218084613042218</c:v>
              </c:pt>
              <c:pt idx="2384">
                <c:v>0.5221508043663842</c:v>
              </c:pt>
              <c:pt idx="2385">
                <c:v>0.5221508043663842</c:v>
              </c:pt>
              <c:pt idx="2386">
                <c:v>0.5224931474285466</c:v>
              </c:pt>
              <c:pt idx="2387">
                <c:v>0.5224931474285466</c:v>
              </c:pt>
              <c:pt idx="2388">
                <c:v>0.522835490490709</c:v>
              </c:pt>
              <c:pt idx="2389">
                <c:v>0.522835490490709</c:v>
              </c:pt>
              <c:pt idx="2390">
                <c:v>0.5231778335528714</c:v>
              </c:pt>
              <c:pt idx="2391">
                <c:v>0.5231778335528714</c:v>
              </c:pt>
              <c:pt idx="2392">
                <c:v>0.5235201766150338</c:v>
              </c:pt>
              <c:pt idx="2393">
                <c:v>0.5235201766150338</c:v>
              </c:pt>
              <c:pt idx="2394">
                <c:v>0.5238625196771962</c:v>
              </c:pt>
              <c:pt idx="2395">
                <c:v>0.5238625196771962</c:v>
              </c:pt>
              <c:pt idx="2396">
                <c:v>0.5242048627393586</c:v>
              </c:pt>
              <c:pt idx="2397">
                <c:v>0.5242048627393586</c:v>
              </c:pt>
              <c:pt idx="2398">
                <c:v>0.524547205801521</c:v>
              </c:pt>
              <c:pt idx="2399">
                <c:v>0.524547205801521</c:v>
              </c:pt>
              <c:pt idx="2400">
                <c:v>0.5248895488636834</c:v>
              </c:pt>
              <c:pt idx="2401">
                <c:v>0.5248895488636834</c:v>
              </c:pt>
              <c:pt idx="2402">
                <c:v>0.5252318919258459</c:v>
              </c:pt>
              <c:pt idx="2403">
                <c:v>0.5252318919258459</c:v>
              </c:pt>
              <c:pt idx="2404">
                <c:v>0.5255742349880081</c:v>
              </c:pt>
              <c:pt idx="2405">
                <c:v>0.5255742349880081</c:v>
              </c:pt>
              <c:pt idx="2406">
                <c:v>0.5259165780501706</c:v>
              </c:pt>
              <c:pt idx="2407">
                <c:v>0.5259165780501706</c:v>
              </c:pt>
              <c:pt idx="2408">
                <c:v>0.526258921112333</c:v>
              </c:pt>
              <c:pt idx="2409">
                <c:v>0.526258921112333</c:v>
              </c:pt>
              <c:pt idx="2410">
                <c:v>0.5266012641744954</c:v>
              </c:pt>
              <c:pt idx="2411">
                <c:v>0.5266012641744954</c:v>
              </c:pt>
              <c:pt idx="2412">
                <c:v>0.5269436072366578</c:v>
              </c:pt>
              <c:pt idx="2413">
                <c:v>0.5269436072366578</c:v>
              </c:pt>
              <c:pt idx="2414">
                <c:v>0.5272859502988202</c:v>
              </c:pt>
              <c:pt idx="2415">
                <c:v>0.5272859502988202</c:v>
              </c:pt>
              <c:pt idx="2416">
                <c:v>0.5276282933609826</c:v>
              </c:pt>
              <c:pt idx="2417">
                <c:v>0.5276282933609826</c:v>
              </c:pt>
              <c:pt idx="2418">
                <c:v>0.527970636423145</c:v>
              </c:pt>
              <c:pt idx="2419">
                <c:v>0.527970636423145</c:v>
              </c:pt>
              <c:pt idx="2420">
                <c:v>0.5283129794853074</c:v>
              </c:pt>
              <c:pt idx="2421">
                <c:v>0.5283129794853074</c:v>
              </c:pt>
              <c:pt idx="2422">
                <c:v>0.5286553225474698</c:v>
              </c:pt>
              <c:pt idx="2423">
                <c:v>0.5286553225474698</c:v>
              </c:pt>
              <c:pt idx="2424">
                <c:v>0.5289976656096322</c:v>
              </c:pt>
              <c:pt idx="2425">
                <c:v>0.5289976656096322</c:v>
              </c:pt>
              <c:pt idx="2426">
                <c:v>0.5293400086717945</c:v>
              </c:pt>
              <c:pt idx="2427">
                <c:v>0.5293400086717945</c:v>
              </c:pt>
              <c:pt idx="2428">
                <c:v>0.529682351733957</c:v>
              </c:pt>
              <c:pt idx="2429">
                <c:v>0.529682351733957</c:v>
              </c:pt>
              <c:pt idx="2430">
                <c:v>0.5300246947961194</c:v>
              </c:pt>
              <c:pt idx="2431">
                <c:v>0.5300246947961194</c:v>
              </c:pt>
              <c:pt idx="2432">
                <c:v>0.5303670378582818</c:v>
              </c:pt>
              <c:pt idx="2433">
                <c:v>0.5303670378582818</c:v>
              </c:pt>
              <c:pt idx="2434">
                <c:v>0.5307093809204442</c:v>
              </c:pt>
              <c:pt idx="2435">
                <c:v>0.5307093809204442</c:v>
              </c:pt>
              <c:pt idx="2436">
                <c:v>0.5310517239826066</c:v>
              </c:pt>
              <c:pt idx="2437">
                <c:v>0.5310517239826066</c:v>
              </c:pt>
              <c:pt idx="2438">
                <c:v>0.531394067044769</c:v>
              </c:pt>
              <c:pt idx="2439">
                <c:v>0.531394067044769</c:v>
              </c:pt>
              <c:pt idx="2440">
                <c:v>0.5317364101069314</c:v>
              </c:pt>
              <c:pt idx="2441">
                <c:v>0.5317364101069314</c:v>
              </c:pt>
              <c:pt idx="2442">
                <c:v>0.5320787531690938</c:v>
              </c:pt>
              <c:pt idx="2443">
                <c:v>0.5320787531690938</c:v>
              </c:pt>
              <c:pt idx="2444">
                <c:v>0.5324210962312562</c:v>
              </c:pt>
              <c:pt idx="2445">
                <c:v>0.5324210962312562</c:v>
              </c:pt>
              <c:pt idx="2446">
                <c:v>0.5327634392934186</c:v>
              </c:pt>
              <c:pt idx="2447">
                <c:v>0.5327634392934186</c:v>
              </c:pt>
              <c:pt idx="2448">
                <c:v>0.5331057823555809</c:v>
              </c:pt>
              <c:pt idx="2449">
                <c:v>0.5331057823555809</c:v>
              </c:pt>
              <c:pt idx="2450">
                <c:v>0.5334481254177433</c:v>
              </c:pt>
              <c:pt idx="2451">
                <c:v>0.5334481254177433</c:v>
              </c:pt>
              <c:pt idx="2452">
                <c:v>0.5337904684799057</c:v>
              </c:pt>
              <c:pt idx="2453">
                <c:v>0.5337904684799057</c:v>
              </c:pt>
              <c:pt idx="2454">
                <c:v>0.5341328115420682</c:v>
              </c:pt>
              <c:pt idx="2455">
                <c:v>0.5341328115420682</c:v>
              </c:pt>
              <c:pt idx="2456">
                <c:v>0.5344751546042306</c:v>
              </c:pt>
              <c:pt idx="2457">
                <c:v>0.5344751546042306</c:v>
              </c:pt>
              <c:pt idx="2458">
                <c:v>0.534817497666393</c:v>
              </c:pt>
              <c:pt idx="2459">
                <c:v>0.534817497666393</c:v>
              </c:pt>
              <c:pt idx="2460">
                <c:v>0.5351598407285554</c:v>
              </c:pt>
              <c:pt idx="2461">
                <c:v>0.5351598407285554</c:v>
              </c:pt>
              <c:pt idx="2462">
                <c:v>0.5355021837907178</c:v>
              </c:pt>
              <c:pt idx="2463">
                <c:v>0.5355021837907178</c:v>
              </c:pt>
              <c:pt idx="2464">
                <c:v>0.5358445268528802</c:v>
              </c:pt>
              <c:pt idx="2465">
                <c:v>0.5358445268528802</c:v>
              </c:pt>
              <c:pt idx="2466">
                <c:v>0.5361868699150426</c:v>
              </c:pt>
              <c:pt idx="2467">
                <c:v>0.5361868699150426</c:v>
              </c:pt>
              <c:pt idx="2468">
                <c:v>0.536529212977205</c:v>
              </c:pt>
              <c:pt idx="2469">
                <c:v>0.536529212977205</c:v>
              </c:pt>
              <c:pt idx="2470">
                <c:v>0.5368715560393674</c:v>
              </c:pt>
              <c:pt idx="2471">
                <c:v>0.5368715560393674</c:v>
              </c:pt>
              <c:pt idx="2472">
                <c:v>0.5372138991015297</c:v>
              </c:pt>
              <c:pt idx="2473">
                <c:v>0.5372138991015297</c:v>
              </c:pt>
              <c:pt idx="2474">
                <c:v>0.5375562421636921</c:v>
              </c:pt>
              <c:pt idx="2475">
                <c:v>0.5375562421636921</c:v>
              </c:pt>
              <c:pt idx="2476">
                <c:v>0.5378985852258545</c:v>
              </c:pt>
              <c:pt idx="2477">
                <c:v>0.5378985852258545</c:v>
              </c:pt>
              <c:pt idx="2478">
                <c:v>0.538240928288017</c:v>
              </c:pt>
              <c:pt idx="2479">
                <c:v>0.538240928288017</c:v>
              </c:pt>
              <c:pt idx="2480">
                <c:v>0.5385832713501794</c:v>
              </c:pt>
              <c:pt idx="2481">
                <c:v>0.5385832713501794</c:v>
              </c:pt>
              <c:pt idx="2482">
                <c:v>0.5389256144123418</c:v>
              </c:pt>
              <c:pt idx="2483">
                <c:v>0.5389256144123418</c:v>
              </c:pt>
              <c:pt idx="2484">
                <c:v>0.5392679574745042</c:v>
              </c:pt>
              <c:pt idx="2485">
                <c:v>0.5392679574745042</c:v>
              </c:pt>
              <c:pt idx="2486">
                <c:v>0.5396103005366666</c:v>
              </c:pt>
              <c:pt idx="2487">
                <c:v>0.5396103005366666</c:v>
              </c:pt>
              <c:pt idx="2488">
                <c:v>0.539952643598829</c:v>
              </c:pt>
              <c:pt idx="2489">
                <c:v>0.539952643598829</c:v>
              </c:pt>
              <c:pt idx="2490">
                <c:v>0.5402949866609914</c:v>
              </c:pt>
              <c:pt idx="2491">
                <c:v>0.5402949866609914</c:v>
              </c:pt>
              <c:pt idx="2492">
                <c:v>0.5406373297231538</c:v>
              </c:pt>
              <c:pt idx="2493">
                <c:v>0.5406373297231538</c:v>
              </c:pt>
              <c:pt idx="2494">
                <c:v>0.5409796727853161</c:v>
              </c:pt>
              <c:pt idx="2495">
                <c:v>0.5409796727853161</c:v>
              </c:pt>
              <c:pt idx="2496">
                <c:v>0.5413220158474785</c:v>
              </c:pt>
              <c:pt idx="2497">
                <c:v>0.5413220158474785</c:v>
              </c:pt>
              <c:pt idx="2498">
                <c:v>0.5416643589096409</c:v>
              </c:pt>
              <c:pt idx="2499">
                <c:v>0.5416643589096409</c:v>
              </c:pt>
              <c:pt idx="2500">
                <c:v>0.5420067019718033</c:v>
              </c:pt>
              <c:pt idx="2501">
                <c:v>0.5420067019718033</c:v>
              </c:pt>
              <c:pt idx="2502">
                <c:v>0.5423490450339657</c:v>
              </c:pt>
              <c:pt idx="2503">
                <c:v>0.5423490450339657</c:v>
              </c:pt>
              <c:pt idx="2504">
                <c:v>0.5426913880961282</c:v>
              </c:pt>
              <c:pt idx="2505">
                <c:v>0.5426913880961282</c:v>
              </c:pt>
              <c:pt idx="2506">
                <c:v>0.5430337311582906</c:v>
              </c:pt>
              <c:pt idx="2507">
                <c:v>0.5430337311582906</c:v>
              </c:pt>
              <c:pt idx="2508">
                <c:v>0.543376074220453</c:v>
              </c:pt>
              <c:pt idx="2509">
                <c:v>0.543376074220453</c:v>
              </c:pt>
              <c:pt idx="2510">
                <c:v>0.5437184172826154</c:v>
              </c:pt>
              <c:pt idx="2511">
                <c:v>0.5437184172826154</c:v>
              </c:pt>
              <c:pt idx="2512">
                <c:v>0.5438651357378278</c:v>
              </c:pt>
              <c:pt idx="2513">
                <c:v>0.5438651357378278</c:v>
              </c:pt>
              <c:pt idx="2514">
                <c:v>0.5438651357378278</c:v>
              </c:pt>
              <c:pt idx="2515">
                <c:v>0.5438651357378278</c:v>
              </c:pt>
              <c:pt idx="2516">
                <c:v>0.5438651357378278</c:v>
              </c:pt>
              <c:pt idx="2517">
                <c:v>0.5438651357378278</c:v>
              </c:pt>
              <c:pt idx="2518">
                <c:v>0.5442074787999902</c:v>
              </c:pt>
              <c:pt idx="2519">
                <c:v>0.5442074787999902</c:v>
              </c:pt>
              <c:pt idx="2520">
                <c:v>0.5445498218621526</c:v>
              </c:pt>
              <c:pt idx="2521">
                <c:v>0.5445498218621526</c:v>
              </c:pt>
              <c:pt idx="2522">
                <c:v>0.544892164924315</c:v>
              </c:pt>
              <c:pt idx="2523">
                <c:v>0.544892164924315</c:v>
              </c:pt>
              <c:pt idx="2524">
                <c:v>0.5452345079864774</c:v>
              </c:pt>
              <c:pt idx="2525">
                <c:v>0.5452345079864774</c:v>
              </c:pt>
              <c:pt idx="2526">
                <c:v>0.5455768510486398</c:v>
              </c:pt>
              <c:pt idx="2527">
                <c:v>0.5455768510486398</c:v>
              </c:pt>
              <c:pt idx="2528">
                <c:v>0.5459191941108021</c:v>
              </c:pt>
              <c:pt idx="2529">
                <c:v>0.5459191941108021</c:v>
              </c:pt>
              <c:pt idx="2530">
                <c:v>0.5462615371729646</c:v>
              </c:pt>
              <c:pt idx="2531">
                <c:v>0.5462615371729646</c:v>
              </c:pt>
              <c:pt idx="2532">
                <c:v>0.546603880235127</c:v>
              </c:pt>
              <c:pt idx="2533">
                <c:v>0.546603880235127</c:v>
              </c:pt>
              <c:pt idx="2534">
                <c:v>0.5469462232972894</c:v>
              </c:pt>
              <c:pt idx="2535">
                <c:v>0.5469462232972894</c:v>
              </c:pt>
              <c:pt idx="2536">
                <c:v>0.5472885663594518</c:v>
              </c:pt>
              <c:pt idx="2537">
                <c:v>0.5472885663594518</c:v>
              </c:pt>
              <c:pt idx="2538">
                <c:v>0.5476309094216142</c:v>
              </c:pt>
              <c:pt idx="2539">
                <c:v>0.5476309094216142</c:v>
              </c:pt>
              <c:pt idx="2540">
                <c:v>0.5479732524837766</c:v>
              </c:pt>
              <c:pt idx="2541">
                <c:v>0.5479732524837766</c:v>
              </c:pt>
              <c:pt idx="2542">
                <c:v>0.548315595545939</c:v>
              </c:pt>
              <c:pt idx="2543">
                <c:v>0.548315595545939</c:v>
              </c:pt>
              <c:pt idx="2544">
                <c:v>0.5486579386081014</c:v>
              </c:pt>
              <c:pt idx="2545">
                <c:v>0.5486579386081014</c:v>
              </c:pt>
              <c:pt idx="2546">
                <c:v>0.5490002816702638</c:v>
              </c:pt>
              <c:pt idx="2547">
                <c:v>0.5490002816702638</c:v>
              </c:pt>
              <c:pt idx="2548">
                <c:v>0.5493426247324262</c:v>
              </c:pt>
              <c:pt idx="2549">
                <c:v>0.5493426247324262</c:v>
              </c:pt>
              <c:pt idx="2550">
                <c:v>0.5496849677945886</c:v>
              </c:pt>
              <c:pt idx="2551">
                <c:v>0.5496849677945886</c:v>
              </c:pt>
              <c:pt idx="2552">
                <c:v>0.5500273108567509</c:v>
              </c:pt>
              <c:pt idx="2553">
                <c:v>0.5500273108567509</c:v>
              </c:pt>
              <c:pt idx="2554">
                <c:v>0.5503696539189133</c:v>
              </c:pt>
              <c:pt idx="2555">
                <c:v>0.5503696539189133</c:v>
              </c:pt>
              <c:pt idx="2556">
                <c:v>0.5507119969810758</c:v>
              </c:pt>
              <c:pt idx="2557">
                <c:v>0.5507119969810758</c:v>
              </c:pt>
              <c:pt idx="2558">
                <c:v>0.5510543400432382</c:v>
              </c:pt>
              <c:pt idx="2559">
                <c:v>0.5510543400432382</c:v>
              </c:pt>
              <c:pt idx="2560">
                <c:v>0.5513966831054006</c:v>
              </c:pt>
              <c:pt idx="2561">
                <c:v>0.5513966831054006</c:v>
              </c:pt>
              <c:pt idx="2562">
                <c:v>0.551739026167563</c:v>
              </c:pt>
              <c:pt idx="2563">
                <c:v>0.551739026167563</c:v>
              </c:pt>
              <c:pt idx="2564">
                <c:v>0.5520813692297254</c:v>
              </c:pt>
              <c:pt idx="2565">
                <c:v>0.5520813692297254</c:v>
              </c:pt>
              <c:pt idx="2566">
                <c:v>0.5524237122918878</c:v>
              </c:pt>
              <c:pt idx="2567">
                <c:v>0.5524237122918878</c:v>
              </c:pt>
              <c:pt idx="2568">
                <c:v>0.5527660553540502</c:v>
              </c:pt>
              <c:pt idx="2569">
                <c:v>0.5527660553540502</c:v>
              </c:pt>
              <c:pt idx="2570">
                <c:v>0.5531083984162126</c:v>
              </c:pt>
              <c:pt idx="2571">
                <c:v>0.5531083984162126</c:v>
              </c:pt>
              <c:pt idx="2572">
                <c:v>0.553450741478375</c:v>
              </c:pt>
              <c:pt idx="2573">
                <c:v>0.553450741478375</c:v>
              </c:pt>
              <c:pt idx="2574">
                <c:v>0.5537930845405373</c:v>
              </c:pt>
              <c:pt idx="2575">
                <c:v>0.5537930845405373</c:v>
              </c:pt>
              <c:pt idx="2576">
                <c:v>0.5541354276026997</c:v>
              </c:pt>
              <c:pt idx="2577">
                <c:v>0.5541354276026997</c:v>
              </c:pt>
              <c:pt idx="2578">
                <c:v>0.5544777706648621</c:v>
              </c:pt>
              <c:pt idx="2579">
                <c:v>0.5544777706648621</c:v>
              </c:pt>
              <c:pt idx="2580">
                <c:v>0.5548201137270246</c:v>
              </c:pt>
              <c:pt idx="2581">
                <c:v>0.5548201137270246</c:v>
              </c:pt>
              <c:pt idx="2582">
                <c:v>0.555162456789187</c:v>
              </c:pt>
              <c:pt idx="2583">
                <c:v>0.555162456789187</c:v>
              </c:pt>
              <c:pt idx="2584">
                <c:v>0.5555047998513494</c:v>
              </c:pt>
              <c:pt idx="2585">
                <c:v>0.5555047998513494</c:v>
              </c:pt>
              <c:pt idx="2586">
                <c:v>0.5558471429135118</c:v>
              </c:pt>
              <c:pt idx="2587">
                <c:v>0.5558471429135118</c:v>
              </c:pt>
              <c:pt idx="2588">
                <c:v>0.5561894859756742</c:v>
              </c:pt>
              <c:pt idx="2589">
                <c:v>0.5561894859756742</c:v>
              </c:pt>
              <c:pt idx="2590">
                <c:v>0.5565318290378366</c:v>
              </c:pt>
              <c:pt idx="2591">
                <c:v>0.5565318290378366</c:v>
              </c:pt>
              <c:pt idx="2592">
                <c:v>0.556874172099999</c:v>
              </c:pt>
              <c:pt idx="2593">
                <c:v>0.556874172099999</c:v>
              </c:pt>
              <c:pt idx="2594">
                <c:v>0.5572165151621614</c:v>
              </c:pt>
              <c:pt idx="2595">
                <c:v>0.5572165151621614</c:v>
              </c:pt>
              <c:pt idx="2596">
                <c:v>0.5575588582243237</c:v>
              </c:pt>
              <c:pt idx="2597">
                <c:v>0.5575588582243237</c:v>
              </c:pt>
              <c:pt idx="2598">
                <c:v>0.5579012012864861</c:v>
              </c:pt>
              <c:pt idx="2599">
                <c:v>0.5579012012864861</c:v>
              </c:pt>
              <c:pt idx="2600">
                <c:v>0.5582435443486485</c:v>
              </c:pt>
              <c:pt idx="2601">
                <c:v>0.5582435443486485</c:v>
              </c:pt>
              <c:pt idx="2602">
                <c:v>0.5585858874108109</c:v>
              </c:pt>
              <c:pt idx="2603">
                <c:v>0.5585858874108109</c:v>
              </c:pt>
              <c:pt idx="2604">
                <c:v>0.5589282304729734</c:v>
              </c:pt>
              <c:pt idx="2605">
                <c:v>0.5589282304729734</c:v>
              </c:pt>
              <c:pt idx="2606">
                <c:v>0.5592705735351358</c:v>
              </c:pt>
              <c:pt idx="2607">
                <c:v>0.5592705735351358</c:v>
              </c:pt>
              <c:pt idx="2608">
                <c:v>0.5596129165972982</c:v>
              </c:pt>
              <c:pt idx="2609">
                <c:v>0.5596129165972982</c:v>
              </c:pt>
              <c:pt idx="2610">
                <c:v>0.5599552596594606</c:v>
              </c:pt>
              <c:pt idx="2611">
                <c:v>0.5599552596594606</c:v>
              </c:pt>
              <c:pt idx="2612">
                <c:v>0.560297602721623</c:v>
              </c:pt>
              <c:pt idx="2613">
                <c:v>0.560297602721623</c:v>
              </c:pt>
              <c:pt idx="2614">
                <c:v>0.5606399457837854</c:v>
              </c:pt>
              <c:pt idx="2615">
                <c:v>0.5606399457837854</c:v>
              </c:pt>
              <c:pt idx="2616">
                <c:v>0.5609822888459478</c:v>
              </c:pt>
              <c:pt idx="2617">
                <c:v>0.5609822888459478</c:v>
              </c:pt>
              <c:pt idx="2618">
                <c:v>0.5613246319081102</c:v>
              </c:pt>
              <c:pt idx="2619">
                <c:v>0.5613246319081102</c:v>
              </c:pt>
              <c:pt idx="2620">
                <c:v>0.5616669749702725</c:v>
              </c:pt>
              <c:pt idx="2621">
                <c:v>0.5616669749702725</c:v>
              </c:pt>
              <c:pt idx="2622">
                <c:v>0.5620093180324349</c:v>
              </c:pt>
              <c:pt idx="2623">
                <c:v>0.5620093180324349</c:v>
              </c:pt>
              <c:pt idx="2624">
                <c:v>0.5623516610945973</c:v>
              </c:pt>
              <c:pt idx="2625">
                <c:v>0.5623516610945973</c:v>
              </c:pt>
              <c:pt idx="2626">
                <c:v>0.5626940041567597</c:v>
              </c:pt>
              <c:pt idx="2627">
                <c:v>0.5626940041567597</c:v>
              </c:pt>
              <c:pt idx="2628">
                <c:v>0.5630363472189222</c:v>
              </c:pt>
              <c:pt idx="2629">
                <c:v>0.5630363472189222</c:v>
              </c:pt>
              <c:pt idx="2630">
                <c:v>0.5633786902810846</c:v>
              </c:pt>
              <c:pt idx="2631">
                <c:v>0.5633786902810846</c:v>
              </c:pt>
              <c:pt idx="2632">
                <c:v>0.563721033343247</c:v>
              </c:pt>
              <c:pt idx="2633">
                <c:v>0.563721033343247</c:v>
              </c:pt>
              <c:pt idx="2634">
                <c:v>0.5640633764054094</c:v>
              </c:pt>
              <c:pt idx="2635">
                <c:v>0.5640633764054094</c:v>
              </c:pt>
              <c:pt idx="2636">
                <c:v>0.5644057194675718</c:v>
              </c:pt>
              <c:pt idx="2637">
                <c:v>0.5644057194675718</c:v>
              </c:pt>
              <c:pt idx="2638">
                <c:v>0.5647480625297342</c:v>
              </c:pt>
              <c:pt idx="2639">
                <c:v>0.5647480625297342</c:v>
              </c:pt>
              <c:pt idx="2640">
                <c:v>0.5650904055918966</c:v>
              </c:pt>
              <c:pt idx="2641">
                <c:v>0.5650904055918966</c:v>
              </c:pt>
              <c:pt idx="2642">
                <c:v>0.5654327486540589</c:v>
              </c:pt>
              <c:pt idx="2643">
                <c:v>0.5654327486540589</c:v>
              </c:pt>
              <c:pt idx="2644">
                <c:v>0.5657750917162213</c:v>
              </c:pt>
              <c:pt idx="2645">
                <c:v>0.5657750917162213</c:v>
              </c:pt>
              <c:pt idx="2646">
                <c:v>0.5661174347783837</c:v>
              </c:pt>
              <c:pt idx="2647">
                <c:v>0.5661174347783837</c:v>
              </c:pt>
              <c:pt idx="2648">
                <c:v>0.5664597778405461</c:v>
              </c:pt>
              <c:pt idx="2649">
                <c:v>0.5664597778405461</c:v>
              </c:pt>
              <c:pt idx="2650">
                <c:v>0.5668021209027085</c:v>
              </c:pt>
              <c:pt idx="2651">
                <c:v>0.5668021209027085</c:v>
              </c:pt>
              <c:pt idx="2652">
                <c:v>0.567144463964871</c:v>
              </c:pt>
              <c:pt idx="2653">
                <c:v>0.567144463964871</c:v>
              </c:pt>
              <c:pt idx="2654">
                <c:v>0.5674868070270334</c:v>
              </c:pt>
              <c:pt idx="2655">
                <c:v>0.5674868070270334</c:v>
              </c:pt>
              <c:pt idx="2656">
                <c:v>0.5678291500891958</c:v>
              </c:pt>
              <c:pt idx="2657">
                <c:v>0.5678291500891958</c:v>
              </c:pt>
              <c:pt idx="2658">
                <c:v>0.5681714931513582</c:v>
              </c:pt>
              <c:pt idx="2659">
                <c:v>0.5681714931513582</c:v>
              </c:pt>
              <c:pt idx="2660">
                <c:v>0.5683182116065707</c:v>
              </c:pt>
              <c:pt idx="2661">
                <c:v>0.5683182116065707</c:v>
              </c:pt>
              <c:pt idx="2662">
                <c:v>0.5683182116065707</c:v>
              </c:pt>
              <c:pt idx="2663">
                <c:v>0.5683182116065707</c:v>
              </c:pt>
              <c:pt idx="2664">
                <c:v>0.5683182116065707</c:v>
              </c:pt>
              <c:pt idx="2665">
                <c:v>0.5683182116065707</c:v>
              </c:pt>
              <c:pt idx="2666">
                <c:v>0.5686605546687331</c:v>
              </c:pt>
              <c:pt idx="2667">
                <c:v>0.5686605546687331</c:v>
              </c:pt>
              <c:pt idx="2668">
                <c:v>0.5690028977308955</c:v>
              </c:pt>
              <c:pt idx="2669">
                <c:v>0.5690028977308955</c:v>
              </c:pt>
              <c:pt idx="2670">
                <c:v>0.5693452407930579</c:v>
              </c:pt>
              <c:pt idx="2671">
                <c:v>0.5693452407930579</c:v>
              </c:pt>
              <c:pt idx="2672">
                <c:v>0.5696875838552203</c:v>
              </c:pt>
              <c:pt idx="2673">
                <c:v>0.5696875838552203</c:v>
              </c:pt>
              <c:pt idx="2674">
                <c:v>0.5700299269173827</c:v>
              </c:pt>
              <c:pt idx="2675">
                <c:v>0.5700299269173827</c:v>
              </c:pt>
              <c:pt idx="2676">
                <c:v>0.570372269979545</c:v>
              </c:pt>
              <c:pt idx="2677">
                <c:v>0.570372269979545</c:v>
              </c:pt>
              <c:pt idx="2678">
                <c:v>0.5707146130417075</c:v>
              </c:pt>
              <c:pt idx="2679">
                <c:v>0.5707146130417075</c:v>
              </c:pt>
              <c:pt idx="2680">
                <c:v>0.5710569561038699</c:v>
              </c:pt>
              <c:pt idx="2681">
                <c:v>0.5710569561038699</c:v>
              </c:pt>
              <c:pt idx="2682">
                <c:v>0.5713992991660323</c:v>
              </c:pt>
              <c:pt idx="2683">
                <c:v>0.5713992991660323</c:v>
              </c:pt>
              <c:pt idx="2684">
                <c:v>0.5717416422281947</c:v>
              </c:pt>
              <c:pt idx="2685">
                <c:v>0.5717416422281947</c:v>
              </c:pt>
              <c:pt idx="2686">
                <c:v>0.5720839852903571</c:v>
              </c:pt>
              <c:pt idx="2687">
                <c:v>0.5720839852903571</c:v>
              </c:pt>
              <c:pt idx="2688">
                <c:v>0.5724263283525195</c:v>
              </c:pt>
              <c:pt idx="2689">
                <c:v>0.5724263283525195</c:v>
              </c:pt>
              <c:pt idx="2690">
                <c:v>0.5727686714146819</c:v>
              </c:pt>
              <c:pt idx="2691">
                <c:v>0.5727686714146819</c:v>
              </c:pt>
              <c:pt idx="2692">
                <c:v>0.5731110144768443</c:v>
              </c:pt>
              <c:pt idx="2693">
                <c:v>0.5731110144768443</c:v>
              </c:pt>
              <c:pt idx="2694">
                <c:v>0.5734533575390067</c:v>
              </c:pt>
              <c:pt idx="2695">
                <c:v>0.5734533575390067</c:v>
              </c:pt>
              <c:pt idx="2696">
                <c:v>0.5737957006011691</c:v>
              </c:pt>
              <c:pt idx="2697">
                <c:v>0.5737957006011691</c:v>
              </c:pt>
              <c:pt idx="2698">
                <c:v>0.5741380436633315</c:v>
              </c:pt>
              <c:pt idx="2699">
                <c:v>0.5741380436633315</c:v>
              </c:pt>
              <c:pt idx="2700">
                <c:v>0.5744803867254938</c:v>
              </c:pt>
              <c:pt idx="2701">
                <c:v>0.5744803867254938</c:v>
              </c:pt>
              <c:pt idx="2702">
                <c:v>0.5748227297876563</c:v>
              </c:pt>
              <c:pt idx="2703">
                <c:v>0.5748227297876563</c:v>
              </c:pt>
              <c:pt idx="2704">
                <c:v>0.5751650728498187</c:v>
              </c:pt>
              <c:pt idx="2705">
                <c:v>0.5751650728498187</c:v>
              </c:pt>
              <c:pt idx="2706">
                <c:v>0.5755074159119811</c:v>
              </c:pt>
              <c:pt idx="2707">
                <c:v>0.5755074159119811</c:v>
              </c:pt>
              <c:pt idx="2708">
                <c:v>0.5758497589741435</c:v>
              </c:pt>
              <c:pt idx="2709">
                <c:v>0.5758497589741435</c:v>
              </c:pt>
              <c:pt idx="2710">
                <c:v>0.5761921020363059</c:v>
              </c:pt>
              <c:pt idx="2711">
                <c:v>0.5761921020363059</c:v>
              </c:pt>
              <c:pt idx="2712">
                <c:v>0.5765344450984683</c:v>
              </c:pt>
              <c:pt idx="2713">
                <c:v>0.5765344450984683</c:v>
              </c:pt>
              <c:pt idx="2714">
                <c:v>0.5768767881606307</c:v>
              </c:pt>
              <c:pt idx="2715">
                <c:v>0.5768767881606307</c:v>
              </c:pt>
              <c:pt idx="2716">
                <c:v>0.5772191312227931</c:v>
              </c:pt>
              <c:pt idx="2717">
                <c:v>0.5772191312227931</c:v>
              </c:pt>
              <c:pt idx="2718">
                <c:v>0.5775614742849555</c:v>
              </c:pt>
              <c:pt idx="2719">
                <c:v>0.5775614742849555</c:v>
              </c:pt>
              <c:pt idx="2720">
                <c:v>0.5779038173471179</c:v>
              </c:pt>
              <c:pt idx="2721">
                <c:v>0.5779038173471179</c:v>
              </c:pt>
              <c:pt idx="2722">
                <c:v>0.5782461604092802</c:v>
              </c:pt>
              <c:pt idx="2723">
                <c:v>0.5782461604092802</c:v>
              </c:pt>
              <c:pt idx="2724">
                <c:v>0.5785885034714426</c:v>
              </c:pt>
              <c:pt idx="2725">
                <c:v>0.5785885034714426</c:v>
              </c:pt>
              <c:pt idx="2726">
                <c:v>0.578930846533605</c:v>
              </c:pt>
              <c:pt idx="2727">
                <c:v>0.578930846533605</c:v>
              </c:pt>
              <c:pt idx="2728">
                <c:v>0.5792731895957675</c:v>
              </c:pt>
              <c:pt idx="2729">
                <c:v>0.5792731895957675</c:v>
              </c:pt>
              <c:pt idx="2730">
                <c:v>0.5796155326579299</c:v>
              </c:pt>
              <c:pt idx="2731">
                <c:v>0.5796155326579299</c:v>
              </c:pt>
              <c:pt idx="2732">
                <c:v>0.5799578757200923</c:v>
              </c:pt>
              <c:pt idx="2733">
                <c:v>0.5799578757200923</c:v>
              </c:pt>
              <c:pt idx="2734">
                <c:v>0.5803002187822547</c:v>
              </c:pt>
              <c:pt idx="2735">
                <c:v>0.5803002187822547</c:v>
              </c:pt>
              <c:pt idx="2736">
                <c:v>0.5806425618444171</c:v>
              </c:pt>
              <c:pt idx="2737">
                <c:v>0.5806425618444171</c:v>
              </c:pt>
              <c:pt idx="2738">
                <c:v>0.5809849049065795</c:v>
              </c:pt>
              <c:pt idx="2739">
                <c:v>0.5809849049065795</c:v>
              </c:pt>
              <c:pt idx="2740">
                <c:v>0.5813272479687419</c:v>
              </c:pt>
              <c:pt idx="2741">
                <c:v>0.5813272479687419</c:v>
              </c:pt>
              <c:pt idx="2742">
                <c:v>0.5816695910309043</c:v>
              </c:pt>
              <c:pt idx="2743">
                <c:v>0.5816695910309043</c:v>
              </c:pt>
              <c:pt idx="2744">
                <c:v>0.5820119340930666</c:v>
              </c:pt>
              <c:pt idx="2745">
                <c:v>0.5820119340930666</c:v>
              </c:pt>
              <c:pt idx="2746">
                <c:v>0.582354277155229</c:v>
              </c:pt>
              <c:pt idx="2747">
                <c:v>0.582354277155229</c:v>
              </c:pt>
              <c:pt idx="2748">
                <c:v>0.5826966202173914</c:v>
              </c:pt>
              <c:pt idx="2749">
                <c:v>0.5826966202173914</c:v>
              </c:pt>
              <c:pt idx="2750">
                <c:v>0.5830389632795538</c:v>
              </c:pt>
              <c:pt idx="2751">
                <c:v>0.5830389632795538</c:v>
              </c:pt>
              <c:pt idx="2752">
                <c:v>0.5833813063417163</c:v>
              </c:pt>
              <c:pt idx="2753">
                <c:v>0.5833813063417163</c:v>
              </c:pt>
              <c:pt idx="2754">
                <c:v>0.5837236494038787</c:v>
              </c:pt>
              <c:pt idx="2755">
                <c:v>0.5837236494038787</c:v>
              </c:pt>
              <c:pt idx="2756">
                <c:v>0.5840659924660411</c:v>
              </c:pt>
              <c:pt idx="2757">
                <c:v>0.5840659924660411</c:v>
              </c:pt>
              <c:pt idx="2758">
                <c:v>0.5844083355282035</c:v>
              </c:pt>
              <c:pt idx="2759">
                <c:v>0.5844083355282035</c:v>
              </c:pt>
              <c:pt idx="2760">
                <c:v>0.5847506785903659</c:v>
              </c:pt>
              <c:pt idx="2761">
                <c:v>0.5847506785903659</c:v>
              </c:pt>
              <c:pt idx="2762">
                <c:v>0.5850930216525283</c:v>
              </c:pt>
              <c:pt idx="2763">
                <c:v>0.5850930216525283</c:v>
              </c:pt>
              <c:pt idx="2764">
                <c:v>0.5854353647146907</c:v>
              </c:pt>
              <c:pt idx="2765">
                <c:v>0.5854353647146907</c:v>
              </c:pt>
              <c:pt idx="2766">
                <c:v>0.5857777077768531</c:v>
              </c:pt>
              <c:pt idx="2767">
                <c:v>0.5857777077768531</c:v>
              </c:pt>
              <c:pt idx="2768">
                <c:v>0.5861200508390154</c:v>
              </c:pt>
              <c:pt idx="2769">
                <c:v>0.5861200508390154</c:v>
              </c:pt>
              <c:pt idx="2770">
                <c:v>0.5864623939011778</c:v>
              </c:pt>
              <c:pt idx="2771">
                <c:v>0.5864623939011778</c:v>
              </c:pt>
              <c:pt idx="2772">
                <c:v>0.5868047369633402</c:v>
              </c:pt>
              <c:pt idx="2773">
                <c:v>0.5868047369633402</c:v>
              </c:pt>
              <c:pt idx="2774">
                <c:v>0.5871470800255026</c:v>
              </c:pt>
              <c:pt idx="2775">
                <c:v>0.5871470800255026</c:v>
              </c:pt>
              <c:pt idx="2776">
                <c:v>0.587489423087665</c:v>
              </c:pt>
              <c:pt idx="2777">
                <c:v>0.587489423087665</c:v>
              </c:pt>
              <c:pt idx="2778">
                <c:v>0.5878317661498275</c:v>
              </c:pt>
              <c:pt idx="2779">
                <c:v>0.5878317661498275</c:v>
              </c:pt>
              <c:pt idx="2780">
                <c:v>0.5881741092119899</c:v>
              </c:pt>
              <c:pt idx="2781">
                <c:v>0.5881741092119899</c:v>
              </c:pt>
              <c:pt idx="2782">
                <c:v>0.5885164522741523</c:v>
              </c:pt>
              <c:pt idx="2783">
                <c:v>0.5885164522741523</c:v>
              </c:pt>
              <c:pt idx="2784">
                <c:v>0.5888587953363147</c:v>
              </c:pt>
              <c:pt idx="2785">
                <c:v>0.5888587953363147</c:v>
              </c:pt>
              <c:pt idx="2786">
                <c:v>0.5892011383984771</c:v>
              </c:pt>
              <c:pt idx="2787">
                <c:v>0.5892011383984771</c:v>
              </c:pt>
              <c:pt idx="2788">
                <c:v>0.5895434814606395</c:v>
              </c:pt>
              <c:pt idx="2789">
                <c:v>0.5895434814606395</c:v>
              </c:pt>
              <c:pt idx="2790">
                <c:v>0.5898858245228018</c:v>
              </c:pt>
              <c:pt idx="2791">
                <c:v>0.5898858245228018</c:v>
              </c:pt>
              <c:pt idx="2792">
                <c:v>0.5902281675849642</c:v>
              </c:pt>
              <c:pt idx="2793">
                <c:v>0.5902281675849642</c:v>
              </c:pt>
              <c:pt idx="2794">
                <c:v>0.5905705106471266</c:v>
              </c:pt>
              <c:pt idx="2795">
                <c:v>0.5905705106471266</c:v>
              </c:pt>
              <c:pt idx="2796">
                <c:v>0.590912853709289</c:v>
              </c:pt>
              <c:pt idx="2797">
                <c:v>0.590912853709289</c:v>
              </c:pt>
              <c:pt idx="2798">
                <c:v>0.5912551967714514</c:v>
              </c:pt>
              <c:pt idx="2799">
                <c:v>0.5912551967714514</c:v>
              </c:pt>
              <c:pt idx="2800">
                <c:v>0.5915975398336139</c:v>
              </c:pt>
              <c:pt idx="2801">
                <c:v>0.5915975398336139</c:v>
              </c:pt>
              <c:pt idx="2802">
                <c:v>0.5919398828957763</c:v>
              </c:pt>
              <c:pt idx="2803">
                <c:v>0.5919398828957763</c:v>
              </c:pt>
              <c:pt idx="2804">
                <c:v>0.5922822259579387</c:v>
              </c:pt>
              <c:pt idx="2805">
                <c:v>0.5922822259579387</c:v>
              </c:pt>
              <c:pt idx="2806">
                <c:v>0.5926245690201011</c:v>
              </c:pt>
              <c:pt idx="2807">
                <c:v>0.5926245690201011</c:v>
              </c:pt>
              <c:pt idx="2808">
                <c:v>0.5927712874753135</c:v>
              </c:pt>
              <c:pt idx="2809">
                <c:v>0.5927712874753135</c:v>
              </c:pt>
              <c:pt idx="2810">
                <c:v>0.5927712874753135</c:v>
              </c:pt>
              <c:pt idx="2811">
                <c:v>0.5927712874753135</c:v>
              </c:pt>
              <c:pt idx="2812">
                <c:v>0.5927712874753135</c:v>
              </c:pt>
              <c:pt idx="2813">
                <c:v>0.5927712874753135</c:v>
              </c:pt>
              <c:pt idx="2814">
                <c:v>0.5931136305374759</c:v>
              </c:pt>
              <c:pt idx="2815">
                <c:v>0.5931136305374759</c:v>
              </c:pt>
              <c:pt idx="2816">
                <c:v>0.5934559735996383</c:v>
              </c:pt>
              <c:pt idx="2817">
                <c:v>0.5934559735996383</c:v>
              </c:pt>
              <c:pt idx="2818">
                <c:v>0.5937983166618007</c:v>
              </c:pt>
              <c:pt idx="2819">
                <c:v>0.5937983166618007</c:v>
              </c:pt>
              <c:pt idx="2820">
                <c:v>0.5941406597239631</c:v>
              </c:pt>
              <c:pt idx="2821">
                <c:v>0.5941406597239631</c:v>
              </c:pt>
              <c:pt idx="2822">
                <c:v>0.5944830027861255</c:v>
              </c:pt>
              <c:pt idx="2823">
                <c:v>0.5944830027861255</c:v>
              </c:pt>
              <c:pt idx="2824">
                <c:v>0.5948253458482878</c:v>
              </c:pt>
              <c:pt idx="2825">
                <c:v>0.5948253458482878</c:v>
              </c:pt>
              <c:pt idx="2826">
                <c:v>0.5951676889104502</c:v>
              </c:pt>
              <c:pt idx="2827">
                <c:v>0.5951676889104502</c:v>
              </c:pt>
              <c:pt idx="2828">
                <c:v>0.5955100319726127</c:v>
              </c:pt>
              <c:pt idx="2829">
                <c:v>0.5955100319726127</c:v>
              </c:pt>
              <c:pt idx="2830">
                <c:v>0.5958523750347751</c:v>
              </c:pt>
              <c:pt idx="2831">
                <c:v>0.5958523750347751</c:v>
              </c:pt>
              <c:pt idx="2832">
                <c:v>0.5961947180969375</c:v>
              </c:pt>
              <c:pt idx="2833">
                <c:v>0.5961947180969375</c:v>
              </c:pt>
              <c:pt idx="2834">
                <c:v>0.5965370611590999</c:v>
              </c:pt>
              <c:pt idx="2835">
                <c:v>0.5965370611590999</c:v>
              </c:pt>
              <c:pt idx="2836">
                <c:v>0.5968794042212623</c:v>
              </c:pt>
              <c:pt idx="2837">
                <c:v>0.5968794042212623</c:v>
              </c:pt>
              <c:pt idx="2838">
                <c:v>0.5972217472834247</c:v>
              </c:pt>
              <c:pt idx="2839">
                <c:v>0.5972217472834247</c:v>
              </c:pt>
              <c:pt idx="2840">
                <c:v>0.5975640903455871</c:v>
              </c:pt>
              <c:pt idx="2841">
                <c:v>0.5975640903455871</c:v>
              </c:pt>
              <c:pt idx="2842">
                <c:v>0.5979064334077495</c:v>
              </c:pt>
              <c:pt idx="2843">
                <c:v>0.5979064334077495</c:v>
              </c:pt>
              <c:pt idx="2844">
                <c:v>0.5982487764699119</c:v>
              </c:pt>
              <c:pt idx="2845">
                <c:v>0.5982487764699119</c:v>
              </c:pt>
              <c:pt idx="2846">
                <c:v>0.5985911195320743</c:v>
              </c:pt>
              <c:pt idx="2847">
                <c:v>0.5985911195320743</c:v>
              </c:pt>
              <c:pt idx="2848">
                <c:v>0.5989334625942366</c:v>
              </c:pt>
              <c:pt idx="2849">
                <c:v>0.5989334625942366</c:v>
              </c:pt>
              <c:pt idx="2850">
                <c:v>0.599275805656399</c:v>
              </c:pt>
              <c:pt idx="2851">
                <c:v>0.599275805656399</c:v>
              </c:pt>
              <c:pt idx="2852">
                <c:v>0.5996181487185615</c:v>
              </c:pt>
              <c:pt idx="2853">
                <c:v>0.5996181487185615</c:v>
              </c:pt>
              <c:pt idx="2854">
                <c:v>0.5999604917807239</c:v>
              </c:pt>
              <c:pt idx="2855">
                <c:v>0.5999604917807239</c:v>
              </c:pt>
              <c:pt idx="2856">
                <c:v>0.6003028348428863</c:v>
              </c:pt>
              <c:pt idx="2857">
                <c:v>0.6003028348428863</c:v>
              </c:pt>
              <c:pt idx="2858">
                <c:v>0.6006451779050487</c:v>
              </c:pt>
              <c:pt idx="2859">
                <c:v>0.6006451779050487</c:v>
              </c:pt>
              <c:pt idx="2860">
                <c:v>0.6009875209672111</c:v>
              </c:pt>
              <c:pt idx="2861">
                <c:v>0.6009875209672111</c:v>
              </c:pt>
              <c:pt idx="2862">
                <c:v>0.6013298640293735</c:v>
              </c:pt>
              <c:pt idx="2863">
                <c:v>0.6013298640293735</c:v>
              </c:pt>
              <c:pt idx="2864">
                <c:v>0.6016722070915359</c:v>
              </c:pt>
              <c:pt idx="2865">
                <c:v>0.6016722070915359</c:v>
              </c:pt>
              <c:pt idx="2866">
                <c:v>0.6020145501536983</c:v>
              </c:pt>
              <c:pt idx="2867">
                <c:v>0.6020145501536983</c:v>
              </c:pt>
              <c:pt idx="2868">
                <c:v>0.6023568932158607</c:v>
              </c:pt>
              <c:pt idx="2869">
                <c:v>0.6023568932158607</c:v>
              </c:pt>
              <c:pt idx="2870">
                <c:v>0.602699236278023</c:v>
              </c:pt>
              <c:pt idx="2871">
                <c:v>0.602699236278023</c:v>
              </c:pt>
              <c:pt idx="2872">
                <c:v>0.6030415793401854</c:v>
              </c:pt>
              <c:pt idx="2873">
                <c:v>0.6030415793401854</c:v>
              </c:pt>
              <c:pt idx="2874">
                <c:v>0.6033839224023478</c:v>
              </c:pt>
              <c:pt idx="2875">
                <c:v>0.6033839224023478</c:v>
              </c:pt>
              <c:pt idx="2876">
                <c:v>0.6037262654645102</c:v>
              </c:pt>
              <c:pt idx="2877">
                <c:v>0.6037262654645102</c:v>
              </c:pt>
              <c:pt idx="2878">
                <c:v>0.6040686085266727</c:v>
              </c:pt>
              <c:pt idx="2879">
                <c:v>0.6040686085266727</c:v>
              </c:pt>
              <c:pt idx="2880">
                <c:v>0.6044109515888351</c:v>
              </c:pt>
              <c:pt idx="2881">
                <c:v>0.6044109515888351</c:v>
              </c:pt>
              <c:pt idx="2882">
                <c:v>0.6047532946509975</c:v>
              </c:pt>
              <c:pt idx="2883">
                <c:v>0.6047532946509975</c:v>
              </c:pt>
              <c:pt idx="2884">
                <c:v>0.6050956377131599</c:v>
              </c:pt>
              <c:pt idx="2885">
                <c:v>0.6050956377131599</c:v>
              </c:pt>
              <c:pt idx="2886">
                <c:v>0.6054379807753223</c:v>
              </c:pt>
              <c:pt idx="2887">
                <c:v>0.6054379807753223</c:v>
              </c:pt>
              <c:pt idx="2888">
                <c:v>0.6057803238374847</c:v>
              </c:pt>
              <c:pt idx="2889">
                <c:v>0.6057803238374847</c:v>
              </c:pt>
              <c:pt idx="2890">
                <c:v>0.6061226668996471</c:v>
              </c:pt>
              <c:pt idx="2891">
                <c:v>0.6061226668996471</c:v>
              </c:pt>
              <c:pt idx="2892">
                <c:v>0.6064650099618094</c:v>
              </c:pt>
              <c:pt idx="2893">
                <c:v>0.6064650099618094</c:v>
              </c:pt>
              <c:pt idx="2894">
                <c:v>0.6068073530239718</c:v>
              </c:pt>
              <c:pt idx="2895">
                <c:v>0.6068073530239718</c:v>
              </c:pt>
              <c:pt idx="2896">
                <c:v>0.6071496960861342</c:v>
              </c:pt>
              <c:pt idx="2897">
                <c:v>0.6071496960861342</c:v>
              </c:pt>
              <c:pt idx="2898">
                <c:v>0.6074920391482966</c:v>
              </c:pt>
              <c:pt idx="2899">
                <c:v>0.6074920391482966</c:v>
              </c:pt>
              <c:pt idx="2900">
                <c:v>0.607834382210459</c:v>
              </c:pt>
              <c:pt idx="2901">
                <c:v>0.607834382210459</c:v>
              </c:pt>
              <c:pt idx="2902">
                <c:v>0.6081767252726215</c:v>
              </c:pt>
              <c:pt idx="2903">
                <c:v>0.6081767252726215</c:v>
              </c:pt>
              <c:pt idx="2904">
                <c:v>0.6085190683347839</c:v>
              </c:pt>
              <c:pt idx="2905">
                <c:v>0.6085190683347839</c:v>
              </c:pt>
              <c:pt idx="2906">
                <c:v>0.6088614113969463</c:v>
              </c:pt>
              <c:pt idx="2907">
                <c:v>0.6088614113969463</c:v>
              </c:pt>
              <c:pt idx="2908">
                <c:v>0.6092037544591087</c:v>
              </c:pt>
              <c:pt idx="2909">
                <c:v>0.6092037544591087</c:v>
              </c:pt>
              <c:pt idx="2910">
                <c:v>0.6095460975212711</c:v>
              </c:pt>
              <c:pt idx="2911">
                <c:v>0.6095460975212711</c:v>
              </c:pt>
              <c:pt idx="2912">
                <c:v>0.6098884405834335</c:v>
              </c:pt>
              <c:pt idx="2913">
                <c:v>0.6098884405834335</c:v>
              </c:pt>
              <c:pt idx="2914">
                <c:v>0.6102307836455959</c:v>
              </c:pt>
              <c:pt idx="2915">
                <c:v>0.6102307836455959</c:v>
              </c:pt>
              <c:pt idx="2916">
                <c:v>0.6105731267077582</c:v>
              </c:pt>
              <c:pt idx="2917">
                <c:v>0.6105731267077582</c:v>
              </c:pt>
              <c:pt idx="2918">
                <c:v>0.6109154697699206</c:v>
              </c:pt>
              <c:pt idx="2919">
                <c:v>0.6109154697699206</c:v>
              </c:pt>
              <c:pt idx="2920">
                <c:v>0.611257812832083</c:v>
              </c:pt>
              <c:pt idx="2921">
                <c:v>0.611257812832083</c:v>
              </c:pt>
              <c:pt idx="2922">
                <c:v>0.6116001558942454</c:v>
              </c:pt>
              <c:pt idx="2923">
                <c:v>0.6116001558942454</c:v>
              </c:pt>
              <c:pt idx="2924">
                <c:v>0.6119424989564078</c:v>
              </c:pt>
              <c:pt idx="2925">
                <c:v>0.6119424989564078</c:v>
              </c:pt>
              <c:pt idx="2926">
                <c:v>0.6122848420185703</c:v>
              </c:pt>
              <c:pt idx="2927">
                <c:v>0.6122848420185703</c:v>
              </c:pt>
              <c:pt idx="2928">
                <c:v>0.6126271850807327</c:v>
              </c:pt>
              <c:pt idx="2929">
                <c:v>0.6126271850807327</c:v>
              </c:pt>
              <c:pt idx="2930">
                <c:v>0.6129695281428951</c:v>
              </c:pt>
              <c:pt idx="2931">
                <c:v>0.6129695281428951</c:v>
              </c:pt>
              <c:pt idx="2932">
                <c:v>0.6133118712050575</c:v>
              </c:pt>
              <c:pt idx="2933">
                <c:v>0.6133118712050575</c:v>
              </c:pt>
              <c:pt idx="2934">
                <c:v>0.6136542142672199</c:v>
              </c:pt>
              <c:pt idx="2935">
                <c:v>0.6136542142672199</c:v>
              </c:pt>
              <c:pt idx="2936">
                <c:v>0.6139965573293823</c:v>
              </c:pt>
              <c:pt idx="2937">
                <c:v>0.6139965573293823</c:v>
              </c:pt>
              <c:pt idx="2938">
                <c:v>0.6143389003915446</c:v>
              </c:pt>
              <c:pt idx="2939">
                <c:v>0.6143389003915446</c:v>
              </c:pt>
              <c:pt idx="2940">
                <c:v>0.614681243453707</c:v>
              </c:pt>
              <c:pt idx="2941">
                <c:v>0.614681243453707</c:v>
              </c:pt>
              <c:pt idx="2942">
                <c:v>0.6150235865158694</c:v>
              </c:pt>
              <c:pt idx="2943">
                <c:v>0.6150235865158694</c:v>
              </c:pt>
              <c:pt idx="2944">
                <c:v>0.6153659295780318</c:v>
              </c:pt>
              <c:pt idx="2945">
                <c:v>0.6153659295780318</c:v>
              </c:pt>
              <c:pt idx="2946">
                <c:v>0.6157082726401942</c:v>
              </c:pt>
              <c:pt idx="2947">
                <c:v>0.6157082726401942</c:v>
              </c:pt>
              <c:pt idx="2948">
                <c:v>0.6160506157023566</c:v>
              </c:pt>
              <c:pt idx="2949">
                <c:v>0.6160506157023566</c:v>
              </c:pt>
              <c:pt idx="2950">
                <c:v>0.616392958764519</c:v>
              </c:pt>
              <c:pt idx="2951">
                <c:v>0.616392958764519</c:v>
              </c:pt>
              <c:pt idx="2952">
                <c:v>0.6167353018266815</c:v>
              </c:pt>
              <c:pt idx="2953">
                <c:v>0.6167353018266815</c:v>
              </c:pt>
              <c:pt idx="2954">
                <c:v>0.6170776448888439</c:v>
              </c:pt>
              <c:pt idx="2955">
                <c:v>0.6170776448888439</c:v>
              </c:pt>
              <c:pt idx="2956">
                <c:v>0.6172243633440563</c:v>
              </c:pt>
              <c:pt idx="2957">
                <c:v>0.6172243633440563</c:v>
              </c:pt>
              <c:pt idx="2958">
                <c:v>0.6172243633440563</c:v>
              </c:pt>
              <c:pt idx="2959">
                <c:v>0.6172243633440563</c:v>
              </c:pt>
              <c:pt idx="2960">
                <c:v>0.6172243633440563</c:v>
              </c:pt>
              <c:pt idx="2961">
                <c:v>0.6172243633440563</c:v>
              </c:pt>
              <c:pt idx="2962">
                <c:v>0.6175667064062187</c:v>
              </c:pt>
              <c:pt idx="2963">
                <c:v>0.6175667064062187</c:v>
              </c:pt>
              <c:pt idx="2964">
                <c:v>0.6179090494683811</c:v>
              </c:pt>
              <c:pt idx="2965">
                <c:v>0.6179090494683811</c:v>
              </c:pt>
              <c:pt idx="2966">
                <c:v>0.6182513925305435</c:v>
              </c:pt>
              <c:pt idx="2967">
                <c:v>0.6182513925305435</c:v>
              </c:pt>
              <c:pt idx="2968">
                <c:v>0.6185937355927059</c:v>
              </c:pt>
              <c:pt idx="2969">
                <c:v>0.6185937355927059</c:v>
              </c:pt>
              <c:pt idx="2970">
                <c:v>0.6189360786548683</c:v>
              </c:pt>
              <c:pt idx="2971">
                <c:v>0.6189360786548683</c:v>
              </c:pt>
              <c:pt idx="2972">
                <c:v>0.6192784217170306</c:v>
              </c:pt>
              <c:pt idx="2973">
                <c:v>0.6192784217170306</c:v>
              </c:pt>
              <c:pt idx="2974">
                <c:v>0.619620764779193</c:v>
              </c:pt>
              <c:pt idx="2975">
                <c:v>0.619620764779193</c:v>
              </c:pt>
              <c:pt idx="2976">
                <c:v>0.6199631078413554</c:v>
              </c:pt>
              <c:pt idx="2977">
                <c:v>0.6199631078413554</c:v>
              </c:pt>
              <c:pt idx="2978">
                <c:v>0.6203054509035179</c:v>
              </c:pt>
              <c:pt idx="2979">
                <c:v>0.6203054509035179</c:v>
              </c:pt>
              <c:pt idx="2980">
                <c:v>0.6206477939656803</c:v>
              </c:pt>
              <c:pt idx="2981">
                <c:v>0.6206477939656803</c:v>
              </c:pt>
              <c:pt idx="2982">
                <c:v>0.6209901370278427</c:v>
              </c:pt>
              <c:pt idx="2983">
                <c:v>0.6209901370278427</c:v>
              </c:pt>
              <c:pt idx="2984">
                <c:v>0.6213324800900051</c:v>
              </c:pt>
              <c:pt idx="2985">
                <c:v>0.6213324800900051</c:v>
              </c:pt>
              <c:pt idx="2986">
                <c:v>0.6216748231521675</c:v>
              </c:pt>
              <c:pt idx="2987">
                <c:v>0.6216748231521675</c:v>
              </c:pt>
              <c:pt idx="2988">
                <c:v>0.6220171662143299</c:v>
              </c:pt>
              <c:pt idx="2989">
                <c:v>0.6220171662143299</c:v>
              </c:pt>
              <c:pt idx="2990">
                <c:v>0.6223595092764923</c:v>
              </c:pt>
              <c:pt idx="2991">
                <c:v>0.6223595092764923</c:v>
              </c:pt>
              <c:pt idx="2992">
                <c:v>0.6227018523386547</c:v>
              </c:pt>
              <c:pt idx="2993">
                <c:v>0.6227018523386547</c:v>
              </c:pt>
              <c:pt idx="2994">
                <c:v>0.6230441954008171</c:v>
              </c:pt>
              <c:pt idx="2995">
                <c:v>0.6230441954008171</c:v>
              </c:pt>
              <c:pt idx="2996">
                <c:v>0.6233865384629794</c:v>
              </c:pt>
              <c:pt idx="2997">
                <c:v>0.6233865384629794</c:v>
              </c:pt>
              <c:pt idx="2998">
                <c:v>0.6237288815251418</c:v>
              </c:pt>
              <c:pt idx="2999">
                <c:v>0.6237288815251418</c:v>
              </c:pt>
              <c:pt idx="3000">
                <c:v>0.6240712245873042</c:v>
              </c:pt>
              <c:pt idx="3001">
                <c:v>0.6240712245873042</c:v>
              </c:pt>
              <c:pt idx="3002">
                <c:v>0.6244135676494666</c:v>
              </c:pt>
              <c:pt idx="3003">
                <c:v>0.6244135676494666</c:v>
              </c:pt>
              <c:pt idx="3004">
                <c:v>0.6247559107116291</c:v>
              </c:pt>
              <c:pt idx="3005">
                <c:v>0.6247559107116291</c:v>
              </c:pt>
              <c:pt idx="3006">
                <c:v>0.6250982537737915</c:v>
              </c:pt>
              <c:pt idx="3007">
                <c:v>0.6250982537737915</c:v>
              </c:pt>
              <c:pt idx="3008">
                <c:v>0.6254405968359539</c:v>
              </c:pt>
              <c:pt idx="3009">
                <c:v>0.6254405968359539</c:v>
              </c:pt>
              <c:pt idx="3010">
                <c:v>0.6257829398981163</c:v>
              </c:pt>
              <c:pt idx="3011">
                <c:v>0.6257829398981163</c:v>
              </c:pt>
              <c:pt idx="3012">
                <c:v>0.6261252829602787</c:v>
              </c:pt>
              <c:pt idx="3013">
                <c:v>0.6261252829602787</c:v>
              </c:pt>
              <c:pt idx="3014">
                <c:v>0.6264676260224411</c:v>
              </c:pt>
              <c:pt idx="3015">
                <c:v>0.6264676260224411</c:v>
              </c:pt>
              <c:pt idx="3016">
                <c:v>0.6268099690846035</c:v>
              </c:pt>
              <c:pt idx="3017">
                <c:v>0.6268099690846035</c:v>
              </c:pt>
              <c:pt idx="3018">
                <c:v>0.6271523121467658</c:v>
              </c:pt>
              <c:pt idx="3019">
                <c:v>0.6271523121467658</c:v>
              </c:pt>
              <c:pt idx="3020">
                <c:v>0.6274946552089282</c:v>
              </c:pt>
              <c:pt idx="3021">
                <c:v>0.6274946552089282</c:v>
              </c:pt>
              <c:pt idx="3022">
                <c:v>0.6278369982710906</c:v>
              </c:pt>
              <c:pt idx="3023">
                <c:v>0.6278369982710906</c:v>
              </c:pt>
              <c:pt idx="3024">
                <c:v>0.628179341333253</c:v>
              </c:pt>
              <c:pt idx="3025">
                <c:v>0.628179341333253</c:v>
              </c:pt>
              <c:pt idx="3026">
                <c:v>0.6285216843954154</c:v>
              </c:pt>
              <c:pt idx="3027">
                <c:v>0.6285216843954154</c:v>
              </c:pt>
              <c:pt idx="3028">
                <c:v>0.6288640274575779</c:v>
              </c:pt>
              <c:pt idx="3029">
                <c:v>0.6288640274575779</c:v>
              </c:pt>
              <c:pt idx="3030">
                <c:v>0.6292063705197403</c:v>
              </c:pt>
              <c:pt idx="3031">
                <c:v>0.6292063705197403</c:v>
              </c:pt>
              <c:pt idx="3032">
                <c:v>0.6295487135819027</c:v>
              </c:pt>
              <c:pt idx="3033">
                <c:v>0.6295487135819027</c:v>
              </c:pt>
              <c:pt idx="3034">
                <c:v>0.6298910566440651</c:v>
              </c:pt>
              <c:pt idx="3035">
                <c:v>0.6298910566440651</c:v>
              </c:pt>
              <c:pt idx="3036">
                <c:v>0.6302333997062275</c:v>
              </c:pt>
              <c:pt idx="3037">
                <c:v>0.6302333997062275</c:v>
              </c:pt>
              <c:pt idx="3038">
                <c:v>0.6305757427683899</c:v>
              </c:pt>
              <c:pt idx="3039">
                <c:v>0.6305757427683899</c:v>
              </c:pt>
              <c:pt idx="3040">
                <c:v>0.6309180858305522</c:v>
              </c:pt>
              <c:pt idx="3041">
                <c:v>0.6309180858305522</c:v>
              </c:pt>
              <c:pt idx="3042">
                <c:v>0.6312604288927146</c:v>
              </c:pt>
              <c:pt idx="3043">
                <c:v>0.6312604288927146</c:v>
              </c:pt>
              <c:pt idx="3044">
                <c:v>0.631602771954877</c:v>
              </c:pt>
              <c:pt idx="3045">
                <c:v>0.631602771954877</c:v>
              </c:pt>
              <c:pt idx="3046">
                <c:v>0.6319451150170394</c:v>
              </c:pt>
              <c:pt idx="3047">
                <c:v>0.6319451150170394</c:v>
              </c:pt>
              <c:pt idx="3048">
                <c:v>0.6322874580792018</c:v>
              </c:pt>
              <c:pt idx="3049">
                <c:v>0.6322874580792018</c:v>
              </c:pt>
              <c:pt idx="3050">
                <c:v>0.6326298011413642</c:v>
              </c:pt>
              <c:pt idx="3051">
                <c:v>0.6326298011413642</c:v>
              </c:pt>
              <c:pt idx="3052">
                <c:v>0.6329721442035267</c:v>
              </c:pt>
              <c:pt idx="3053">
                <c:v>0.6329721442035267</c:v>
              </c:pt>
              <c:pt idx="3054">
                <c:v>0.6333144872656891</c:v>
              </c:pt>
              <c:pt idx="3055">
                <c:v>0.6333144872656891</c:v>
              </c:pt>
              <c:pt idx="3056">
                <c:v>0.6336568303278515</c:v>
              </c:pt>
              <c:pt idx="3057">
                <c:v>0.6336568303278515</c:v>
              </c:pt>
              <c:pt idx="3058">
                <c:v>0.6339991733900139</c:v>
              </c:pt>
              <c:pt idx="3059">
                <c:v>0.6339991733900139</c:v>
              </c:pt>
              <c:pt idx="3060">
                <c:v>0.6343415164521763</c:v>
              </c:pt>
              <c:pt idx="3061">
                <c:v>0.6343415164521763</c:v>
              </c:pt>
              <c:pt idx="3062">
                <c:v>0.6346838595143387</c:v>
              </c:pt>
              <c:pt idx="3063">
                <c:v>0.6346838595143387</c:v>
              </c:pt>
              <c:pt idx="3064">
                <c:v>0.635026202576501</c:v>
              </c:pt>
              <c:pt idx="3065">
                <c:v>0.635026202576501</c:v>
              </c:pt>
              <c:pt idx="3066">
                <c:v>0.6353685456386634</c:v>
              </c:pt>
              <c:pt idx="3067">
                <c:v>0.6353685456386634</c:v>
              </c:pt>
              <c:pt idx="3068">
                <c:v>0.6357108887008258</c:v>
              </c:pt>
              <c:pt idx="3069">
                <c:v>0.6357108887008258</c:v>
              </c:pt>
              <c:pt idx="3070">
                <c:v>0.6360532317629882</c:v>
              </c:pt>
              <c:pt idx="3071">
                <c:v>0.6360532317629882</c:v>
              </c:pt>
              <c:pt idx="3072">
                <c:v>0.6363955748251506</c:v>
              </c:pt>
              <c:pt idx="3073">
                <c:v>0.6363955748251506</c:v>
              </c:pt>
              <c:pt idx="3074">
                <c:v>0.636737917887313</c:v>
              </c:pt>
              <c:pt idx="3075">
                <c:v>0.636737917887313</c:v>
              </c:pt>
              <c:pt idx="3076">
                <c:v>0.6370802609494755</c:v>
              </c:pt>
              <c:pt idx="3077">
                <c:v>0.6370802609494755</c:v>
              </c:pt>
              <c:pt idx="3078">
                <c:v>0.6374226040116379</c:v>
              </c:pt>
              <c:pt idx="3079">
                <c:v>0.6374226040116379</c:v>
              </c:pt>
              <c:pt idx="3080">
                <c:v>0.6377649470738003</c:v>
              </c:pt>
              <c:pt idx="3081">
                <c:v>0.6377649470738003</c:v>
              </c:pt>
              <c:pt idx="3082">
                <c:v>0.6381072901359627</c:v>
              </c:pt>
              <c:pt idx="3083">
                <c:v>0.6381072901359627</c:v>
              </c:pt>
              <c:pt idx="3084">
                <c:v>0.6384496331981251</c:v>
              </c:pt>
              <c:pt idx="3085">
                <c:v>0.6384496331981251</c:v>
              </c:pt>
              <c:pt idx="3086">
                <c:v>0.6387919762602874</c:v>
              </c:pt>
              <c:pt idx="3087">
                <c:v>0.6387919762602874</c:v>
              </c:pt>
              <c:pt idx="3088">
                <c:v>0.6391343193224498</c:v>
              </c:pt>
              <c:pt idx="3089">
                <c:v>0.6391343193224498</c:v>
              </c:pt>
              <c:pt idx="3090">
                <c:v>0.6394766623846122</c:v>
              </c:pt>
              <c:pt idx="3091">
                <c:v>0.6394766623846122</c:v>
              </c:pt>
              <c:pt idx="3092">
                <c:v>0.6398190054467746</c:v>
              </c:pt>
              <c:pt idx="3093">
                <c:v>0.6398190054467746</c:v>
              </c:pt>
              <c:pt idx="3094">
                <c:v>0.640161348508937</c:v>
              </c:pt>
              <c:pt idx="3095">
                <c:v>0.640161348508937</c:v>
              </c:pt>
              <c:pt idx="3096">
                <c:v>0.6405036915710994</c:v>
              </c:pt>
              <c:pt idx="3097">
                <c:v>0.6405036915710994</c:v>
              </c:pt>
              <c:pt idx="3098">
                <c:v>0.6408460346332618</c:v>
              </c:pt>
              <c:pt idx="3099">
                <c:v>0.6408460346332618</c:v>
              </c:pt>
              <c:pt idx="3100">
                <c:v>0.6411883776954242</c:v>
              </c:pt>
              <c:pt idx="3101">
                <c:v>0.6411883776954242</c:v>
              </c:pt>
              <c:pt idx="3102">
                <c:v>0.6415307207575867</c:v>
              </c:pt>
              <c:pt idx="3103">
                <c:v>0.6415307207575867</c:v>
              </c:pt>
              <c:pt idx="3104">
                <c:v>0.6416774392127991</c:v>
              </c:pt>
              <c:pt idx="3105">
                <c:v>0.6416774392127991</c:v>
              </c:pt>
              <c:pt idx="3106">
                <c:v>0.6416774392127991</c:v>
              </c:pt>
            </c:numLit>
          </c:xVal>
          <c:yVal>
            <c:numLit>
              <c:ptCount val="3107"/>
              <c:pt idx="0">
                <c:v>0</c:v>
              </c:pt>
              <c:pt idx="1">
                <c:v>0.1472207430804935</c:v>
              </c:pt>
              <c:pt idx="2">
                <c:v>0.1472207430804935</c:v>
              </c:pt>
              <c:pt idx="3">
                <c:v>0</c:v>
              </c:pt>
              <c:pt idx="4">
                <c:v>0</c:v>
              </c:pt>
              <c:pt idx="5">
                <c:v>0.1472207430804935</c:v>
              </c:pt>
              <c:pt idx="6">
                <c:v>0.1472207430804935</c:v>
              </c:pt>
              <c:pt idx="7">
                <c:v>0</c:v>
              </c:pt>
              <c:pt idx="8">
                <c:v>0</c:v>
              </c:pt>
              <c:pt idx="9">
                <c:v>0.1472207430804935</c:v>
              </c:pt>
              <c:pt idx="10">
                <c:v>0.1472207430804935</c:v>
              </c:pt>
              <c:pt idx="11">
                <c:v>0</c:v>
              </c:pt>
              <c:pt idx="12">
                <c:v>0</c:v>
              </c:pt>
              <c:pt idx="13">
                <c:v>0.1472207430804935</c:v>
              </c:pt>
              <c:pt idx="14">
                <c:v>0.1472207430804935</c:v>
              </c:pt>
              <c:pt idx="15">
                <c:v>0</c:v>
              </c:pt>
              <c:pt idx="16">
                <c:v>0</c:v>
              </c:pt>
              <c:pt idx="17">
                <c:v>0.1472207430804935</c:v>
              </c:pt>
              <c:pt idx="18">
                <c:v>0.1472207430804935</c:v>
              </c:pt>
              <c:pt idx="19">
                <c:v>0</c:v>
              </c:pt>
              <c:pt idx="20">
                <c:v>0</c:v>
              </c:pt>
              <c:pt idx="21">
                <c:v>0.1472207430804935</c:v>
              </c:pt>
              <c:pt idx="22">
                <c:v>0.1472207430804935</c:v>
              </c:pt>
              <c:pt idx="23">
                <c:v>0</c:v>
              </c:pt>
              <c:pt idx="24">
                <c:v>0</c:v>
              </c:pt>
              <c:pt idx="25">
                <c:v>0.1472207430804935</c:v>
              </c:pt>
              <c:pt idx="26">
                <c:v>0.1472207430804935</c:v>
              </c:pt>
              <c:pt idx="27">
                <c:v>0</c:v>
              </c:pt>
              <c:pt idx="28">
                <c:v>0</c:v>
              </c:pt>
              <c:pt idx="29">
                <c:v>0.1472207430804935</c:v>
              </c:pt>
              <c:pt idx="30">
                <c:v>0.1472207430804935</c:v>
              </c:pt>
              <c:pt idx="31">
                <c:v>0</c:v>
              </c:pt>
              <c:pt idx="32">
                <c:v>0</c:v>
              </c:pt>
              <c:pt idx="33">
                <c:v>0.1472207430804935</c:v>
              </c:pt>
              <c:pt idx="34">
                <c:v>0.1472207430804935</c:v>
              </c:pt>
              <c:pt idx="35">
                <c:v>0</c:v>
              </c:pt>
              <c:pt idx="36">
                <c:v>0</c:v>
              </c:pt>
              <c:pt idx="37">
                <c:v>0.1472207430804935</c:v>
              </c:pt>
              <c:pt idx="38">
                <c:v>0.1472207430804935</c:v>
              </c:pt>
              <c:pt idx="39">
                <c:v>0</c:v>
              </c:pt>
              <c:pt idx="40">
                <c:v>0</c:v>
              </c:pt>
              <c:pt idx="41">
                <c:v>0.1472207430804935</c:v>
              </c:pt>
              <c:pt idx="42">
                <c:v>0.1472207430804935</c:v>
              </c:pt>
              <c:pt idx="43">
                <c:v>0</c:v>
              </c:pt>
              <c:pt idx="44">
                <c:v>0</c:v>
              </c:pt>
              <c:pt idx="45">
                <c:v>0.1472207430804935</c:v>
              </c:pt>
              <c:pt idx="46">
                <c:v>0.1472207430804935</c:v>
              </c:pt>
              <c:pt idx="47">
                <c:v>0</c:v>
              </c:pt>
              <c:pt idx="48">
                <c:v>0</c:v>
              </c:pt>
              <c:pt idx="49">
                <c:v>0.1472207430804935</c:v>
              </c:pt>
              <c:pt idx="50">
                <c:v>0.1472207430804935</c:v>
              </c:pt>
              <c:pt idx="51">
                <c:v>0</c:v>
              </c:pt>
              <c:pt idx="52">
                <c:v>0</c:v>
              </c:pt>
              <c:pt idx="53">
                <c:v>0.1472207430804935</c:v>
              </c:pt>
              <c:pt idx="54">
                <c:v>0.1472207430804935</c:v>
              </c:pt>
              <c:pt idx="55">
                <c:v>0</c:v>
              </c:pt>
              <c:pt idx="56">
                <c:v>0</c:v>
              </c:pt>
              <c:pt idx="57">
                <c:v>0.1472207430804935</c:v>
              </c:pt>
              <c:pt idx="58">
                <c:v>0.1472207430804935</c:v>
              </c:pt>
              <c:pt idx="59">
                <c:v>0</c:v>
              </c:pt>
              <c:pt idx="60">
                <c:v>0</c:v>
              </c:pt>
              <c:pt idx="61">
                <c:v>0.1472207430804935</c:v>
              </c:pt>
              <c:pt idx="62">
                <c:v>0.1472207430804935</c:v>
              </c:pt>
              <c:pt idx="63">
                <c:v>0</c:v>
              </c:pt>
              <c:pt idx="64">
                <c:v>0</c:v>
              </c:pt>
              <c:pt idx="65">
                <c:v>0.1472207430804935</c:v>
              </c:pt>
              <c:pt idx="66">
                <c:v>0.1472207430804935</c:v>
              </c:pt>
              <c:pt idx="67">
                <c:v>0</c:v>
              </c:pt>
              <c:pt idx="68">
                <c:v>0</c:v>
              </c:pt>
              <c:pt idx="69">
                <c:v>0.1472207430804935</c:v>
              </c:pt>
              <c:pt idx="70">
                <c:v>0.1472207430804935</c:v>
              </c:pt>
              <c:pt idx="71">
                <c:v>0</c:v>
              </c:pt>
              <c:pt idx="72">
                <c:v>0</c:v>
              </c:pt>
              <c:pt idx="73">
                <c:v>0.1472207430804935</c:v>
              </c:pt>
              <c:pt idx="74">
                <c:v>0.1472207430804935</c:v>
              </c:pt>
              <c:pt idx="75">
                <c:v>0</c:v>
              </c:pt>
              <c:pt idx="76">
                <c:v>0</c:v>
              </c:pt>
              <c:pt idx="77">
                <c:v>0.1472207430804935</c:v>
              </c:pt>
              <c:pt idx="78">
                <c:v>0.1472207430804935</c:v>
              </c:pt>
              <c:pt idx="79">
                <c:v>0</c:v>
              </c:pt>
              <c:pt idx="80">
                <c:v>0</c:v>
              </c:pt>
              <c:pt idx="81">
                <c:v>0.1472207430804935</c:v>
              </c:pt>
              <c:pt idx="82">
                <c:v>0.1472207430804935</c:v>
              </c:pt>
              <c:pt idx="83">
                <c:v>0</c:v>
              </c:pt>
              <c:pt idx="84">
                <c:v>0</c:v>
              </c:pt>
              <c:pt idx="85">
                <c:v>0.1472207430804935</c:v>
              </c:pt>
              <c:pt idx="86">
                <c:v>0.1472207430804935</c:v>
              </c:pt>
              <c:pt idx="87">
                <c:v>0</c:v>
              </c:pt>
              <c:pt idx="88">
                <c:v>0</c:v>
              </c:pt>
              <c:pt idx="89">
                <c:v>0.1472207430804935</c:v>
              </c:pt>
              <c:pt idx="90">
                <c:v>0.1472207430804935</c:v>
              </c:pt>
              <c:pt idx="91">
                <c:v>0</c:v>
              </c:pt>
              <c:pt idx="92">
                <c:v>0</c:v>
              </c:pt>
              <c:pt idx="93">
                <c:v>0.1472207430804935</c:v>
              </c:pt>
              <c:pt idx="94">
                <c:v>0.1472207430804935</c:v>
              </c:pt>
              <c:pt idx="95">
                <c:v>0</c:v>
              </c:pt>
              <c:pt idx="96">
                <c:v>0</c:v>
              </c:pt>
              <c:pt idx="97">
                <c:v>0.1472207430804935</c:v>
              </c:pt>
              <c:pt idx="98">
                <c:v>0.1472207430804935</c:v>
              </c:pt>
              <c:pt idx="99">
                <c:v>0</c:v>
              </c:pt>
              <c:pt idx="100">
                <c:v>0</c:v>
              </c:pt>
              <c:pt idx="101">
                <c:v>0.1472207430804935</c:v>
              </c:pt>
              <c:pt idx="102">
                <c:v>0.1472207430804935</c:v>
              </c:pt>
              <c:pt idx="103">
                <c:v>0</c:v>
              </c:pt>
              <c:pt idx="104">
                <c:v>0</c:v>
              </c:pt>
              <c:pt idx="105">
                <c:v>0.1472207430804935</c:v>
              </c:pt>
              <c:pt idx="106">
                <c:v>0.1472207430804935</c:v>
              </c:pt>
              <c:pt idx="107">
                <c:v>0</c:v>
              </c:pt>
              <c:pt idx="108">
                <c:v>0</c:v>
              </c:pt>
              <c:pt idx="109">
                <c:v>0.1472207430804935</c:v>
              </c:pt>
              <c:pt idx="110">
                <c:v>0.1472207430804935</c:v>
              </c:pt>
              <c:pt idx="111">
                <c:v>0</c:v>
              </c:pt>
              <c:pt idx="112">
                <c:v>0</c:v>
              </c:pt>
              <c:pt idx="113">
                <c:v>0.1472207430804935</c:v>
              </c:pt>
              <c:pt idx="114">
                <c:v>0.1472207430804935</c:v>
              </c:pt>
              <c:pt idx="115">
                <c:v>0</c:v>
              </c:pt>
              <c:pt idx="116">
                <c:v>0</c:v>
              </c:pt>
              <c:pt idx="117">
                <c:v>0.1472207430804935</c:v>
              </c:pt>
              <c:pt idx="118">
                <c:v>0.1472207430804935</c:v>
              </c:pt>
              <c:pt idx="119">
                <c:v>0</c:v>
              </c:pt>
              <c:pt idx="120">
                <c:v>0</c:v>
              </c:pt>
              <c:pt idx="121">
                <c:v>0.1472207430804935</c:v>
              </c:pt>
              <c:pt idx="122">
                <c:v>0.1472207430804935</c:v>
              </c:pt>
              <c:pt idx="123">
                <c:v>0</c:v>
              </c:pt>
              <c:pt idx="124">
                <c:v>0</c:v>
              </c:pt>
              <c:pt idx="125">
                <c:v>0.1472207430804935</c:v>
              </c:pt>
              <c:pt idx="126">
                <c:v>0.1472207430804935</c:v>
              </c:pt>
              <c:pt idx="127">
                <c:v>0</c:v>
              </c:pt>
              <c:pt idx="128">
                <c:v>0</c:v>
              </c:pt>
              <c:pt idx="129">
                <c:v>0.1472207430804935</c:v>
              </c:pt>
              <c:pt idx="130">
                <c:v>0.1472207430804935</c:v>
              </c:pt>
              <c:pt idx="131">
                <c:v>0</c:v>
              </c:pt>
              <c:pt idx="132">
                <c:v>0</c:v>
              </c:pt>
              <c:pt idx="133">
                <c:v>0.1472207430804935</c:v>
              </c:pt>
              <c:pt idx="134">
                <c:v>0.1472207430804935</c:v>
              </c:pt>
              <c:pt idx="135">
                <c:v>0</c:v>
              </c:pt>
              <c:pt idx="136">
                <c:v>0</c:v>
              </c:pt>
              <c:pt idx="137">
                <c:v>0.1472207430804935</c:v>
              </c:pt>
              <c:pt idx="138">
                <c:v>0.1472207430804935</c:v>
              </c:pt>
              <c:pt idx="139">
                <c:v>0</c:v>
              </c:pt>
              <c:pt idx="140">
                <c:v>0</c:v>
              </c:pt>
              <c:pt idx="141">
                <c:v>0.1472207430804935</c:v>
              </c:pt>
              <c:pt idx="142">
                <c:v>0.1472207430804935</c:v>
              </c:pt>
              <c:pt idx="143">
                <c:v>0</c:v>
              </c:pt>
              <c:pt idx="144">
                <c:v>0.1472207430804935</c:v>
              </c:pt>
              <c:pt idx="145">
                <c:v>0</c:v>
              </c:pt>
              <c:pt idx="148">
                <c:v>0</c:v>
              </c:pt>
              <c:pt idx="149">
                <c:v>0.3516939973589567</c:v>
              </c:pt>
              <c:pt idx="150">
                <c:v>0.3516939973589567</c:v>
              </c:pt>
              <c:pt idx="151">
                <c:v>0</c:v>
              </c:pt>
              <c:pt idx="152">
                <c:v>0</c:v>
              </c:pt>
              <c:pt idx="153">
                <c:v>0.3516939973589567</c:v>
              </c:pt>
              <c:pt idx="154">
                <c:v>0.3516939973589567</c:v>
              </c:pt>
              <c:pt idx="155">
                <c:v>0</c:v>
              </c:pt>
              <c:pt idx="156">
                <c:v>0</c:v>
              </c:pt>
              <c:pt idx="157">
                <c:v>0.3516939973589567</c:v>
              </c:pt>
              <c:pt idx="158">
                <c:v>0.3516939973589567</c:v>
              </c:pt>
              <c:pt idx="159">
                <c:v>0</c:v>
              </c:pt>
              <c:pt idx="160">
                <c:v>0</c:v>
              </c:pt>
              <c:pt idx="161">
                <c:v>0.3516939973589567</c:v>
              </c:pt>
              <c:pt idx="162">
                <c:v>0.3516939973589567</c:v>
              </c:pt>
              <c:pt idx="163">
                <c:v>0</c:v>
              </c:pt>
              <c:pt idx="164">
                <c:v>0</c:v>
              </c:pt>
              <c:pt idx="165">
                <c:v>0.3516939973589567</c:v>
              </c:pt>
              <c:pt idx="166">
                <c:v>0.3516939973589567</c:v>
              </c:pt>
              <c:pt idx="167">
                <c:v>0</c:v>
              </c:pt>
              <c:pt idx="168">
                <c:v>0</c:v>
              </c:pt>
              <c:pt idx="169">
                <c:v>0.3516939973589567</c:v>
              </c:pt>
              <c:pt idx="170">
                <c:v>0.3516939973589567</c:v>
              </c:pt>
              <c:pt idx="171">
                <c:v>0</c:v>
              </c:pt>
              <c:pt idx="172">
                <c:v>0</c:v>
              </c:pt>
              <c:pt idx="173">
                <c:v>0.3516939973589567</c:v>
              </c:pt>
              <c:pt idx="174">
                <c:v>0.3516939973589567</c:v>
              </c:pt>
              <c:pt idx="175">
                <c:v>0</c:v>
              </c:pt>
              <c:pt idx="176">
                <c:v>0</c:v>
              </c:pt>
              <c:pt idx="177">
                <c:v>0.3516939973589567</c:v>
              </c:pt>
              <c:pt idx="178">
                <c:v>0.3516939973589567</c:v>
              </c:pt>
              <c:pt idx="179">
                <c:v>0</c:v>
              </c:pt>
              <c:pt idx="180">
                <c:v>0</c:v>
              </c:pt>
              <c:pt idx="181">
                <c:v>0.3516939973589567</c:v>
              </c:pt>
              <c:pt idx="182">
                <c:v>0.3516939973589567</c:v>
              </c:pt>
              <c:pt idx="183">
                <c:v>0</c:v>
              </c:pt>
              <c:pt idx="184">
                <c:v>0</c:v>
              </c:pt>
              <c:pt idx="185">
                <c:v>0.3516939973589567</c:v>
              </c:pt>
              <c:pt idx="186">
                <c:v>0.3516939973589567</c:v>
              </c:pt>
              <c:pt idx="187">
                <c:v>0</c:v>
              </c:pt>
              <c:pt idx="188">
                <c:v>0</c:v>
              </c:pt>
              <c:pt idx="189">
                <c:v>0.3516939973589567</c:v>
              </c:pt>
              <c:pt idx="190">
                <c:v>0.3516939973589567</c:v>
              </c:pt>
              <c:pt idx="191">
                <c:v>0</c:v>
              </c:pt>
              <c:pt idx="192">
                <c:v>0</c:v>
              </c:pt>
              <c:pt idx="193">
                <c:v>0.3516939973589567</c:v>
              </c:pt>
              <c:pt idx="194">
                <c:v>0.3516939973589567</c:v>
              </c:pt>
              <c:pt idx="195">
                <c:v>0</c:v>
              </c:pt>
              <c:pt idx="196">
                <c:v>0</c:v>
              </c:pt>
              <c:pt idx="197">
                <c:v>0.3516939973589567</c:v>
              </c:pt>
              <c:pt idx="198">
                <c:v>0.3516939973589567</c:v>
              </c:pt>
              <c:pt idx="199">
                <c:v>0</c:v>
              </c:pt>
              <c:pt idx="200">
                <c:v>0</c:v>
              </c:pt>
              <c:pt idx="201">
                <c:v>0.3516939973589567</c:v>
              </c:pt>
              <c:pt idx="202">
                <c:v>0.3516939973589567</c:v>
              </c:pt>
              <c:pt idx="203">
                <c:v>0</c:v>
              </c:pt>
              <c:pt idx="204">
                <c:v>0</c:v>
              </c:pt>
              <c:pt idx="205">
                <c:v>0.3516939973589567</c:v>
              </c:pt>
              <c:pt idx="206">
                <c:v>0.3516939973589567</c:v>
              </c:pt>
              <c:pt idx="207">
                <c:v>0</c:v>
              </c:pt>
              <c:pt idx="208">
                <c:v>0</c:v>
              </c:pt>
              <c:pt idx="209">
                <c:v>0.3516939973589567</c:v>
              </c:pt>
              <c:pt idx="210">
                <c:v>0.3516939973589567</c:v>
              </c:pt>
              <c:pt idx="211">
                <c:v>0</c:v>
              </c:pt>
              <c:pt idx="212">
                <c:v>0</c:v>
              </c:pt>
              <c:pt idx="213">
                <c:v>0.3516939973589567</c:v>
              </c:pt>
              <c:pt idx="214">
                <c:v>0.3516939973589567</c:v>
              </c:pt>
              <c:pt idx="215">
                <c:v>0</c:v>
              </c:pt>
              <c:pt idx="216">
                <c:v>0</c:v>
              </c:pt>
              <c:pt idx="217">
                <c:v>0.3516939973589567</c:v>
              </c:pt>
              <c:pt idx="218">
                <c:v>0.3516939973589567</c:v>
              </c:pt>
              <c:pt idx="219">
                <c:v>0</c:v>
              </c:pt>
              <c:pt idx="220">
                <c:v>0</c:v>
              </c:pt>
              <c:pt idx="221">
                <c:v>0.3516939973589567</c:v>
              </c:pt>
              <c:pt idx="222">
                <c:v>0.3516939973589567</c:v>
              </c:pt>
              <c:pt idx="223">
                <c:v>0</c:v>
              </c:pt>
              <c:pt idx="224">
                <c:v>0</c:v>
              </c:pt>
              <c:pt idx="225">
                <c:v>0.3516939973589567</c:v>
              </c:pt>
              <c:pt idx="226">
                <c:v>0.3516939973589567</c:v>
              </c:pt>
              <c:pt idx="227">
                <c:v>0</c:v>
              </c:pt>
              <c:pt idx="228">
                <c:v>0</c:v>
              </c:pt>
              <c:pt idx="229">
                <c:v>0.3516939973589567</c:v>
              </c:pt>
              <c:pt idx="230">
                <c:v>0.3516939973589567</c:v>
              </c:pt>
              <c:pt idx="231">
                <c:v>0</c:v>
              </c:pt>
              <c:pt idx="232">
                <c:v>0</c:v>
              </c:pt>
              <c:pt idx="233">
                <c:v>0.3516939973589567</c:v>
              </c:pt>
              <c:pt idx="234">
                <c:v>0.3516939973589567</c:v>
              </c:pt>
              <c:pt idx="235">
                <c:v>0</c:v>
              </c:pt>
              <c:pt idx="236">
                <c:v>0</c:v>
              </c:pt>
              <c:pt idx="237">
                <c:v>0.3516939973589567</c:v>
              </c:pt>
              <c:pt idx="238">
                <c:v>0.3516939973589567</c:v>
              </c:pt>
              <c:pt idx="239">
                <c:v>0</c:v>
              </c:pt>
              <c:pt idx="240">
                <c:v>0</c:v>
              </c:pt>
              <c:pt idx="241">
                <c:v>0.3516939973589567</c:v>
              </c:pt>
              <c:pt idx="242">
                <c:v>0.3516939973589567</c:v>
              </c:pt>
              <c:pt idx="243">
                <c:v>0</c:v>
              </c:pt>
              <c:pt idx="244">
                <c:v>0</c:v>
              </c:pt>
              <c:pt idx="245">
                <c:v>0.3516939973589567</c:v>
              </c:pt>
              <c:pt idx="246">
                <c:v>0.3516939973589567</c:v>
              </c:pt>
              <c:pt idx="247">
                <c:v>0</c:v>
              </c:pt>
              <c:pt idx="248">
                <c:v>0</c:v>
              </c:pt>
              <c:pt idx="249">
                <c:v>0.3516939973589567</c:v>
              </c:pt>
              <c:pt idx="250">
                <c:v>0.3516939973589567</c:v>
              </c:pt>
              <c:pt idx="251">
                <c:v>0</c:v>
              </c:pt>
              <c:pt idx="252">
                <c:v>0</c:v>
              </c:pt>
              <c:pt idx="253">
                <c:v>0.3516939973589567</c:v>
              </c:pt>
              <c:pt idx="254">
                <c:v>0.3516939973589567</c:v>
              </c:pt>
              <c:pt idx="255">
                <c:v>0</c:v>
              </c:pt>
              <c:pt idx="256">
                <c:v>0</c:v>
              </c:pt>
              <c:pt idx="257">
                <c:v>0.3516939973589567</c:v>
              </c:pt>
              <c:pt idx="258">
                <c:v>0.3516939973589567</c:v>
              </c:pt>
              <c:pt idx="259">
                <c:v>0</c:v>
              </c:pt>
              <c:pt idx="260">
                <c:v>0</c:v>
              </c:pt>
              <c:pt idx="261">
                <c:v>0.3516939973589567</c:v>
              </c:pt>
              <c:pt idx="262">
                <c:v>0.3516939973589567</c:v>
              </c:pt>
              <c:pt idx="263">
                <c:v>0</c:v>
              </c:pt>
              <c:pt idx="264">
                <c:v>0</c:v>
              </c:pt>
              <c:pt idx="265">
                <c:v>0.3516939973589567</c:v>
              </c:pt>
              <c:pt idx="266">
                <c:v>0.3516939973589567</c:v>
              </c:pt>
              <c:pt idx="267">
                <c:v>0</c:v>
              </c:pt>
              <c:pt idx="268">
                <c:v>0</c:v>
              </c:pt>
              <c:pt idx="269">
                <c:v>0.3516939973589567</c:v>
              </c:pt>
              <c:pt idx="270">
                <c:v>0.3516939973589567</c:v>
              </c:pt>
              <c:pt idx="271">
                <c:v>0</c:v>
              </c:pt>
              <c:pt idx="272">
                <c:v>0</c:v>
              </c:pt>
              <c:pt idx="273">
                <c:v>0.3516939973589567</c:v>
              </c:pt>
              <c:pt idx="274">
                <c:v>0.3516939973589567</c:v>
              </c:pt>
              <c:pt idx="275">
                <c:v>0</c:v>
              </c:pt>
              <c:pt idx="276">
                <c:v>0</c:v>
              </c:pt>
              <c:pt idx="277">
                <c:v>0.3516939973589567</c:v>
              </c:pt>
              <c:pt idx="278">
                <c:v>0.3516939973589567</c:v>
              </c:pt>
              <c:pt idx="279">
                <c:v>0</c:v>
              </c:pt>
              <c:pt idx="280">
                <c:v>0</c:v>
              </c:pt>
              <c:pt idx="281">
                <c:v>0.3516939973589567</c:v>
              </c:pt>
              <c:pt idx="282">
                <c:v>0.3516939973589567</c:v>
              </c:pt>
              <c:pt idx="283">
                <c:v>0</c:v>
              </c:pt>
              <c:pt idx="284">
                <c:v>0</c:v>
              </c:pt>
              <c:pt idx="285">
                <c:v>0.3516939973589567</c:v>
              </c:pt>
              <c:pt idx="286">
                <c:v>0.3516939973589567</c:v>
              </c:pt>
              <c:pt idx="287">
                <c:v>0</c:v>
              </c:pt>
              <c:pt idx="288">
                <c:v>0</c:v>
              </c:pt>
              <c:pt idx="289">
                <c:v>0.3516939973589567</c:v>
              </c:pt>
              <c:pt idx="290">
                <c:v>0.3516939973589567</c:v>
              </c:pt>
              <c:pt idx="291">
                <c:v>0</c:v>
              </c:pt>
              <c:pt idx="292">
                <c:v>0.3516939973589567</c:v>
              </c:pt>
              <c:pt idx="293">
                <c:v>0</c:v>
              </c:pt>
              <c:pt idx="296">
                <c:v>0</c:v>
              </c:pt>
              <c:pt idx="297">
                <c:v>1.0141873412211775</c:v>
              </c:pt>
              <c:pt idx="298">
                <c:v>1.0141873412211775</c:v>
              </c:pt>
              <c:pt idx="299">
                <c:v>0</c:v>
              </c:pt>
              <c:pt idx="300">
                <c:v>0</c:v>
              </c:pt>
              <c:pt idx="301">
                <c:v>1.0141873412211775</c:v>
              </c:pt>
              <c:pt idx="302">
                <c:v>1.0141873412211775</c:v>
              </c:pt>
              <c:pt idx="303">
                <c:v>0</c:v>
              </c:pt>
              <c:pt idx="304">
                <c:v>0</c:v>
              </c:pt>
              <c:pt idx="305">
                <c:v>1.0141873412211775</c:v>
              </c:pt>
              <c:pt idx="306">
                <c:v>1.0141873412211775</c:v>
              </c:pt>
              <c:pt idx="307">
                <c:v>0</c:v>
              </c:pt>
              <c:pt idx="308">
                <c:v>0</c:v>
              </c:pt>
              <c:pt idx="309">
                <c:v>1.0141873412211775</c:v>
              </c:pt>
              <c:pt idx="310">
                <c:v>1.0141873412211775</c:v>
              </c:pt>
              <c:pt idx="311">
                <c:v>0</c:v>
              </c:pt>
              <c:pt idx="312">
                <c:v>0</c:v>
              </c:pt>
              <c:pt idx="313">
                <c:v>1.0141873412211775</c:v>
              </c:pt>
              <c:pt idx="314">
                <c:v>1.0141873412211775</c:v>
              </c:pt>
              <c:pt idx="315">
                <c:v>0</c:v>
              </c:pt>
              <c:pt idx="316">
                <c:v>0</c:v>
              </c:pt>
              <c:pt idx="317">
                <c:v>1.0141873412211775</c:v>
              </c:pt>
              <c:pt idx="318">
                <c:v>1.0141873412211775</c:v>
              </c:pt>
              <c:pt idx="319">
                <c:v>0</c:v>
              </c:pt>
              <c:pt idx="320">
                <c:v>0</c:v>
              </c:pt>
              <c:pt idx="321">
                <c:v>1.0141873412211775</c:v>
              </c:pt>
              <c:pt idx="322">
                <c:v>1.0141873412211775</c:v>
              </c:pt>
              <c:pt idx="323">
                <c:v>0</c:v>
              </c:pt>
              <c:pt idx="324">
                <c:v>0</c:v>
              </c:pt>
              <c:pt idx="325">
                <c:v>1.0141873412211775</c:v>
              </c:pt>
              <c:pt idx="326">
                <c:v>1.0141873412211775</c:v>
              </c:pt>
              <c:pt idx="327">
                <c:v>0</c:v>
              </c:pt>
              <c:pt idx="328">
                <c:v>0</c:v>
              </c:pt>
              <c:pt idx="329">
                <c:v>1.0141873412211775</c:v>
              </c:pt>
              <c:pt idx="330">
                <c:v>1.0141873412211775</c:v>
              </c:pt>
              <c:pt idx="331">
                <c:v>0</c:v>
              </c:pt>
              <c:pt idx="332">
                <c:v>0</c:v>
              </c:pt>
              <c:pt idx="333">
                <c:v>1.0141873412211775</c:v>
              </c:pt>
              <c:pt idx="334">
                <c:v>1.0141873412211775</c:v>
              </c:pt>
              <c:pt idx="335">
                <c:v>0</c:v>
              </c:pt>
              <c:pt idx="336">
                <c:v>0</c:v>
              </c:pt>
              <c:pt idx="337">
                <c:v>1.0141873412211775</c:v>
              </c:pt>
              <c:pt idx="338">
                <c:v>1.0141873412211775</c:v>
              </c:pt>
              <c:pt idx="339">
                <c:v>0</c:v>
              </c:pt>
              <c:pt idx="340">
                <c:v>0</c:v>
              </c:pt>
              <c:pt idx="341">
                <c:v>1.0141873412211775</c:v>
              </c:pt>
              <c:pt idx="342">
                <c:v>1.0141873412211775</c:v>
              </c:pt>
              <c:pt idx="343">
                <c:v>0</c:v>
              </c:pt>
              <c:pt idx="344">
                <c:v>0</c:v>
              </c:pt>
              <c:pt idx="345">
                <c:v>1.0141873412211775</c:v>
              </c:pt>
              <c:pt idx="346">
                <c:v>1.0141873412211775</c:v>
              </c:pt>
              <c:pt idx="347">
                <c:v>0</c:v>
              </c:pt>
              <c:pt idx="348">
                <c:v>0</c:v>
              </c:pt>
              <c:pt idx="349">
                <c:v>1.0141873412211775</c:v>
              </c:pt>
              <c:pt idx="350">
                <c:v>1.0141873412211775</c:v>
              </c:pt>
              <c:pt idx="351">
                <c:v>0</c:v>
              </c:pt>
              <c:pt idx="352">
                <c:v>0</c:v>
              </c:pt>
              <c:pt idx="353">
                <c:v>1.0141873412211775</c:v>
              </c:pt>
              <c:pt idx="354">
                <c:v>1.0141873412211775</c:v>
              </c:pt>
              <c:pt idx="355">
                <c:v>0</c:v>
              </c:pt>
              <c:pt idx="356">
                <c:v>0</c:v>
              </c:pt>
              <c:pt idx="357">
                <c:v>1.0141873412211775</c:v>
              </c:pt>
              <c:pt idx="358">
                <c:v>1.0141873412211775</c:v>
              </c:pt>
              <c:pt idx="359">
                <c:v>0</c:v>
              </c:pt>
              <c:pt idx="360">
                <c:v>0</c:v>
              </c:pt>
              <c:pt idx="361">
                <c:v>1.0141873412211775</c:v>
              </c:pt>
              <c:pt idx="362">
                <c:v>1.0141873412211775</c:v>
              </c:pt>
              <c:pt idx="363">
                <c:v>0</c:v>
              </c:pt>
              <c:pt idx="364">
                <c:v>0</c:v>
              </c:pt>
              <c:pt idx="365">
                <c:v>1.0141873412211775</c:v>
              </c:pt>
              <c:pt idx="366">
                <c:v>1.0141873412211775</c:v>
              </c:pt>
              <c:pt idx="367">
                <c:v>0</c:v>
              </c:pt>
              <c:pt idx="368">
                <c:v>0</c:v>
              </c:pt>
              <c:pt idx="369">
                <c:v>1.0141873412211775</c:v>
              </c:pt>
              <c:pt idx="370">
                <c:v>1.0141873412211775</c:v>
              </c:pt>
              <c:pt idx="371">
                <c:v>0</c:v>
              </c:pt>
              <c:pt idx="372">
                <c:v>0</c:v>
              </c:pt>
              <c:pt idx="373">
                <c:v>1.0141873412211775</c:v>
              </c:pt>
              <c:pt idx="374">
                <c:v>1.0141873412211775</c:v>
              </c:pt>
              <c:pt idx="375">
                <c:v>0</c:v>
              </c:pt>
              <c:pt idx="376">
                <c:v>0</c:v>
              </c:pt>
              <c:pt idx="377">
                <c:v>1.0141873412211775</c:v>
              </c:pt>
              <c:pt idx="378">
                <c:v>1.0141873412211775</c:v>
              </c:pt>
              <c:pt idx="379">
                <c:v>0</c:v>
              </c:pt>
              <c:pt idx="380">
                <c:v>0</c:v>
              </c:pt>
              <c:pt idx="381">
                <c:v>1.0141873412211775</c:v>
              </c:pt>
              <c:pt idx="382">
                <c:v>1.0141873412211775</c:v>
              </c:pt>
              <c:pt idx="383">
                <c:v>0</c:v>
              </c:pt>
              <c:pt idx="384">
                <c:v>0</c:v>
              </c:pt>
              <c:pt idx="385">
                <c:v>1.0141873412211775</c:v>
              </c:pt>
              <c:pt idx="386">
                <c:v>1.0141873412211775</c:v>
              </c:pt>
              <c:pt idx="387">
                <c:v>0</c:v>
              </c:pt>
              <c:pt idx="388">
                <c:v>0</c:v>
              </c:pt>
              <c:pt idx="389">
                <c:v>1.0141873412211775</c:v>
              </c:pt>
              <c:pt idx="390">
                <c:v>1.0141873412211775</c:v>
              </c:pt>
              <c:pt idx="391">
                <c:v>0</c:v>
              </c:pt>
              <c:pt idx="392">
                <c:v>0</c:v>
              </c:pt>
              <c:pt idx="393">
                <c:v>1.0141873412211775</c:v>
              </c:pt>
              <c:pt idx="394">
                <c:v>1.0141873412211775</c:v>
              </c:pt>
              <c:pt idx="395">
                <c:v>0</c:v>
              </c:pt>
              <c:pt idx="396">
                <c:v>0</c:v>
              </c:pt>
              <c:pt idx="397">
                <c:v>1.0141873412211775</c:v>
              </c:pt>
              <c:pt idx="398">
                <c:v>1.0141873412211775</c:v>
              </c:pt>
              <c:pt idx="399">
                <c:v>0</c:v>
              </c:pt>
              <c:pt idx="400">
                <c:v>0</c:v>
              </c:pt>
              <c:pt idx="401">
                <c:v>1.0141873412211775</c:v>
              </c:pt>
              <c:pt idx="402">
                <c:v>1.0141873412211775</c:v>
              </c:pt>
              <c:pt idx="403">
                <c:v>0</c:v>
              </c:pt>
              <c:pt idx="404">
                <c:v>0</c:v>
              </c:pt>
              <c:pt idx="405">
                <c:v>1.0141873412211775</c:v>
              </c:pt>
              <c:pt idx="406">
                <c:v>1.0141873412211775</c:v>
              </c:pt>
              <c:pt idx="407">
                <c:v>0</c:v>
              </c:pt>
              <c:pt idx="408">
                <c:v>0</c:v>
              </c:pt>
              <c:pt idx="409">
                <c:v>1.0141873412211775</c:v>
              </c:pt>
              <c:pt idx="410">
                <c:v>1.0141873412211775</c:v>
              </c:pt>
              <c:pt idx="411">
                <c:v>0</c:v>
              </c:pt>
              <c:pt idx="412">
                <c:v>0</c:v>
              </c:pt>
              <c:pt idx="413">
                <c:v>1.0141873412211775</c:v>
              </c:pt>
              <c:pt idx="414">
                <c:v>1.0141873412211775</c:v>
              </c:pt>
              <c:pt idx="415">
                <c:v>0</c:v>
              </c:pt>
              <c:pt idx="416">
                <c:v>0</c:v>
              </c:pt>
              <c:pt idx="417">
                <c:v>1.0141873412211775</c:v>
              </c:pt>
              <c:pt idx="418">
                <c:v>1.0141873412211775</c:v>
              </c:pt>
              <c:pt idx="419">
                <c:v>0</c:v>
              </c:pt>
              <c:pt idx="420">
                <c:v>0</c:v>
              </c:pt>
              <c:pt idx="421">
                <c:v>1.0141873412211775</c:v>
              </c:pt>
              <c:pt idx="422">
                <c:v>1.0141873412211775</c:v>
              </c:pt>
              <c:pt idx="423">
                <c:v>0</c:v>
              </c:pt>
              <c:pt idx="424">
                <c:v>0</c:v>
              </c:pt>
              <c:pt idx="425">
                <c:v>1.0141873412211775</c:v>
              </c:pt>
              <c:pt idx="426">
                <c:v>1.0141873412211775</c:v>
              </c:pt>
              <c:pt idx="427">
                <c:v>0</c:v>
              </c:pt>
              <c:pt idx="428">
                <c:v>0</c:v>
              </c:pt>
              <c:pt idx="429">
                <c:v>1.0141873412211775</c:v>
              </c:pt>
              <c:pt idx="430">
                <c:v>1.0141873412211775</c:v>
              </c:pt>
              <c:pt idx="431">
                <c:v>0</c:v>
              </c:pt>
              <c:pt idx="432">
                <c:v>0</c:v>
              </c:pt>
              <c:pt idx="433">
                <c:v>1.0141873412211775</c:v>
              </c:pt>
              <c:pt idx="434">
                <c:v>1.0141873412211775</c:v>
              </c:pt>
              <c:pt idx="435">
                <c:v>0</c:v>
              </c:pt>
              <c:pt idx="436">
                <c:v>0</c:v>
              </c:pt>
              <c:pt idx="437">
                <c:v>1.0141873412211775</c:v>
              </c:pt>
              <c:pt idx="438">
                <c:v>1.0141873412211775</c:v>
              </c:pt>
              <c:pt idx="439">
                <c:v>0</c:v>
              </c:pt>
              <c:pt idx="440">
                <c:v>1.0141873412211775</c:v>
              </c:pt>
              <c:pt idx="441">
                <c:v>0</c:v>
              </c:pt>
              <c:pt idx="444">
                <c:v>0</c:v>
              </c:pt>
              <c:pt idx="445">
                <c:v>1.5294599420029047</c:v>
              </c:pt>
              <c:pt idx="446">
                <c:v>1.5294599420029047</c:v>
              </c:pt>
              <c:pt idx="447">
                <c:v>0</c:v>
              </c:pt>
              <c:pt idx="448">
                <c:v>0</c:v>
              </c:pt>
              <c:pt idx="449">
                <c:v>1.5294599420029047</c:v>
              </c:pt>
              <c:pt idx="450">
                <c:v>1.5294599420029047</c:v>
              </c:pt>
              <c:pt idx="451">
                <c:v>0</c:v>
              </c:pt>
              <c:pt idx="452">
                <c:v>0</c:v>
              </c:pt>
              <c:pt idx="453">
                <c:v>1.5294599420029047</c:v>
              </c:pt>
              <c:pt idx="454">
                <c:v>1.5294599420029047</c:v>
              </c:pt>
              <c:pt idx="455">
                <c:v>0</c:v>
              </c:pt>
              <c:pt idx="456">
                <c:v>0</c:v>
              </c:pt>
              <c:pt idx="457">
                <c:v>1.5294599420029047</c:v>
              </c:pt>
              <c:pt idx="458">
                <c:v>1.5294599420029047</c:v>
              </c:pt>
              <c:pt idx="459">
                <c:v>0</c:v>
              </c:pt>
              <c:pt idx="460">
                <c:v>0</c:v>
              </c:pt>
              <c:pt idx="461">
                <c:v>1.5294599420029047</c:v>
              </c:pt>
              <c:pt idx="462">
                <c:v>1.5294599420029047</c:v>
              </c:pt>
              <c:pt idx="463">
                <c:v>0</c:v>
              </c:pt>
              <c:pt idx="464">
                <c:v>0</c:v>
              </c:pt>
              <c:pt idx="465">
                <c:v>1.5294599420029047</c:v>
              </c:pt>
              <c:pt idx="466">
                <c:v>1.5294599420029047</c:v>
              </c:pt>
              <c:pt idx="467">
                <c:v>0</c:v>
              </c:pt>
              <c:pt idx="468">
                <c:v>0</c:v>
              </c:pt>
              <c:pt idx="469">
                <c:v>1.5294599420029047</c:v>
              </c:pt>
              <c:pt idx="470">
                <c:v>1.5294599420029047</c:v>
              </c:pt>
              <c:pt idx="471">
                <c:v>0</c:v>
              </c:pt>
              <c:pt idx="472">
                <c:v>0</c:v>
              </c:pt>
              <c:pt idx="473">
                <c:v>1.5294599420029047</c:v>
              </c:pt>
              <c:pt idx="474">
                <c:v>1.5294599420029047</c:v>
              </c:pt>
              <c:pt idx="475">
                <c:v>0</c:v>
              </c:pt>
              <c:pt idx="476">
                <c:v>0</c:v>
              </c:pt>
              <c:pt idx="477">
                <c:v>1.5294599420029047</c:v>
              </c:pt>
              <c:pt idx="478">
                <c:v>1.5294599420029047</c:v>
              </c:pt>
              <c:pt idx="479">
                <c:v>0</c:v>
              </c:pt>
              <c:pt idx="480">
                <c:v>0</c:v>
              </c:pt>
              <c:pt idx="481">
                <c:v>1.5294599420029047</c:v>
              </c:pt>
              <c:pt idx="482">
                <c:v>1.5294599420029047</c:v>
              </c:pt>
              <c:pt idx="483">
                <c:v>0</c:v>
              </c:pt>
              <c:pt idx="484">
                <c:v>0</c:v>
              </c:pt>
              <c:pt idx="485">
                <c:v>1.5294599420029047</c:v>
              </c:pt>
              <c:pt idx="486">
                <c:v>1.5294599420029047</c:v>
              </c:pt>
              <c:pt idx="487">
                <c:v>0</c:v>
              </c:pt>
              <c:pt idx="488">
                <c:v>0</c:v>
              </c:pt>
              <c:pt idx="489">
                <c:v>1.5294599420029047</c:v>
              </c:pt>
              <c:pt idx="490">
                <c:v>1.5294599420029047</c:v>
              </c:pt>
              <c:pt idx="491">
                <c:v>0</c:v>
              </c:pt>
              <c:pt idx="492">
                <c:v>0</c:v>
              </c:pt>
              <c:pt idx="493">
                <c:v>1.5294599420029047</c:v>
              </c:pt>
              <c:pt idx="494">
                <c:v>1.5294599420029047</c:v>
              </c:pt>
              <c:pt idx="495">
                <c:v>0</c:v>
              </c:pt>
              <c:pt idx="496">
                <c:v>0</c:v>
              </c:pt>
              <c:pt idx="497">
                <c:v>1.5294599420029047</c:v>
              </c:pt>
              <c:pt idx="498">
                <c:v>1.5294599420029047</c:v>
              </c:pt>
              <c:pt idx="499">
                <c:v>0</c:v>
              </c:pt>
              <c:pt idx="500">
                <c:v>0</c:v>
              </c:pt>
              <c:pt idx="501">
                <c:v>1.5294599420029047</c:v>
              </c:pt>
              <c:pt idx="502">
                <c:v>1.5294599420029047</c:v>
              </c:pt>
              <c:pt idx="503">
                <c:v>0</c:v>
              </c:pt>
              <c:pt idx="504">
                <c:v>0</c:v>
              </c:pt>
              <c:pt idx="505">
                <c:v>1.5294599420029047</c:v>
              </c:pt>
              <c:pt idx="506">
                <c:v>1.5294599420029047</c:v>
              </c:pt>
              <c:pt idx="507">
                <c:v>0</c:v>
              </c:pt>
              <c:pt idx="508">
                <c:v>0</c:v>
              </c:pt>
              <c:pt idx="509">
                <c:v>1.5294599420029047</c:v>
              </c:pt>
              <c:pt idx="510">
                <c:v>1.5294599420029047</c:v>
              </c:pt>
              <c:pt idx="511">
                <c:v>0</c:v>
              </c:pt>
              <c:pt idx="512">
                <c:v>0</c:v>
              </c:pt>
              <c:pt idx="513">
                <c:v>1.5294599420029047</c:v>
              </c:pt>
              <c:pt idx="514">
                <c:v>1.5294599420029047</c:v>
              </c:pt>
              <c:pt idx="515">
                <c:v>0</c:v>
              </c:pt>
              <c:pt idx="516">
                <c:v>0</c:v>
              </c:pt>
              <c:pt idx="517">
                <c:v>1.5294599420029047</c:v>
              </c:pt>
              <c:pt idx="518">
                <c:v>1.5294599420029047</c:v>
              </c:pt>
              <c:pt idx="519">
                <c:v>0</c:v>
              </c:pt>
              <c:pt idx="520">
                <c:v>0</c:v>
              </c:pt>
              <c:pt idx="521">
                <c:v>1.5294599420029047</c:v>
              </c:pt>
              <c:pt idx="522">
                <c:v>1.5294599420029047</c:v>
              </c:pt>
              <c:pt idx="523">
                <c:v>0</c:v>
              </c:pt>
              <c:pt idx="524">
                <c:v>0</c:v>
              </c:pt>
              <c:pt idx="525">
                <c:v>1.5294599420029047</c:v>
              </c:pt>
              <c:pt idx="526">
                <c:v>1.5294599420029047</c:v>
              </c:pt>
              <c:pt idx="527">
                <c:v>0</c:v>
              </c:pt>
              <c:pt idx="528">
                <c:v>0</c:v>
              </c:pt>
              <c:pt idx="529">
                <c:v>1.5294599420029047</c:v>
              </c:pt>
              <c:pt idx="530">
                <c:v>1.5294599420029047</c:v>
              </c:pt>
              <c:pt idx="531">
                <c:v>0</c:v>
              </c:pt>
              <c:pt idx="532">
                <c:v>0</c:v>
              </c:pt>
              <c:pt idx="533">
                <c:v>1.5294599420029047</c:v>
              </c:pt>
              <c:pt idx="534">
                <c:v>1.5294599420029047</c:v>
              </c:pt>
              <c:pt idx="535">
                <c:v>0</c:v>
              </c:pt>
              <c:pt idx="536">
                <c:v>0</c:v>
              </c:pt>
              <c:pt idx="537">
                <c:v>1.5294599420029047</c:v>
              </c:pt>
              <c:pt idx="538">
                <c:v>1.5294599420029047</c:v>
              </c:pt>
              <c:pt idx="539">
                <c:v>0</c:v>
              </c:pt>
              <c:pt idx="540">
                <c:v>0</c:v>
              </c:pt>
              <c:pt idx="541">
                <c:v>1.5294599420029047</c:v>
              </c:pt>
              <c:pt idx="542">
                <c:v>1.5294599420029047</c:v>
              </c:pt>
              <c:pt idx="543">
                <c:v>0</c:v>
              </c:pt>
              <c:pt idx="544">
                <c:v>0</c:v>
              </c:pt>
              <c:pt idx="545">
                <c:v>1.5294599420029047</c:v>
              </c:pt>
              <c:pt idx="546">
                <c:v>1.5294599420029047</c:v>
              </c:pt>
              <c:pt idx="547">
                <c:v>0</c:v>
              </c:pt>
              <c:pt idx="548">
                <c:v>0</c:v>
              </c:pt>
              <c:pt idx="549">
                <c:v>1.5294599420029047</c:v>
              </c:pt>
              <c:pt idx="550">
                <c:v>1.5294599420029047</c:v>
              </c:pt>
              <c:pt idx="551">
                <c:v>0</c:v>
              </c:pt>
              <c:pt idx="552">
                <c:v>0</c:v>
              </c:pt>
              <c:pt idx="553">
                <c:v>1.5294599420029047</c:v>
              </c:pt>
              <c:pt idx="554">
                <c:v>1.5294599420029047</c:v>
              </c:pt>
              <c:pt idx="555">
                <c:v>0</c:v>
              </c:pt>
              <c:pt idx="556">
                <c:v>0</c:v>
              </c:pt>
              <c:pt idx="557">
                <c:v>1.5294599420029047</c:v>
              </c:pt>
              <c:pt idx="558">
                <c:v>1.5294599420029047</c:v>
              </c:pt>
              <c:pt idx="559">
                <c:v>0</c:v>
              </c:pt>
              <c:pt idx="560">
                <c:v>0</c:v>
              </c:pt>
              <c:pt idx="561">
                <c:v>1.5294599420029047</c:v>
              </c:pt>
              <c:pt idx="562">
                <c:v>1.5294599420029047</c:v>
              </c:pt>
              <c:pt idx="563">
                <c:v>0</c:v>
              </c:pt>
              <c:pt idx="564">
                <c:v>0</c:v>
              </c:pt>
              <c:pt idx="565">
                <c:v>1.5294599420029047</c:v>
              </c:pt>
              <c:pt idx="566">
                <c:v>1.5294599420029047</c:v>
              </c:pt>
              <c:pt idx="567">
                <c:v>0</c:v>
              </c:pt>
              <c:pt idx="568">
                <c:v>0</c:v>
              </c:pt>
              <c:pt idx="569">
                <c:v>1.5294599420029047</c:v>
              </c:pt>
              <c:pt idx="570">
                <c:v>1.5294599420029047</c:v>
              </c:pt>
              <c:pt idx="571">
                <c:v>0</c:v>
              </c:pt>
              <c:pt idx="572">
                <c:v>0</c:v>
              </c:pt>
              <c:pt idx="573">
                <c:v>1.5294599420029047</c:v>
              </c:pt>
              <c:pt idx="574">
                <c:v>1.5294599420029047</c:v>
              </c:pt>
              <c:pt idx="575">
                <c:v>0</c:v>
              </c:pt>
              <c:pt idx="576">
                <c:v>0</c:v>
              </c:pt>
              <c:pt idx="577">
                <c:v>1.5294599420029047</c:v>
              </c:pt>
              <c:pt idx="578">
                <c:v>1.5294599420029047</c:v>
              </c:pt>
              <c:pt idx="579">
                <c:v>0</c:v>
              </c:pt>
              <c:pt idx="580">
                <c:v>0</c:v>
              </c:pt>
              <c:pt idx="581">
                <c:v>1.5294599420029047</c:v>
              </c:pt>
              <c:pt idx="582">
                <c:v>1.5294599420029047</c:v>
              </c:pt>
              <c:pt idx="583">
                <c:v>0</c:v>
              </c:pt>
              <c:pt idx="584">
                <c:v>0</c:v>
              </c:pt>
              <c:pt idx="585">
                <c:v>1.5294599420029047</c:v>
              </c:pt>
              <c:pt idx="586">
                <c:v>1.5294599420029047</c:v>
              </c:pt>
              <c:pt idx="587">
                <c:v>0</c:v>
              </c:pt>
              <c:pt idx="588">
                <c:v>1.5294599420029047</c:v>
              </c:pt>
              <c:pt idx="589">
                <c:v>0</c:v>
              </c:pt>
              <c:pt idx="592">
                <c:v>0</c:v>
              </c:pt>
              <c:pt idx="593">
                <c:v>2.175595425522848</c:v>
              </c:pt>
              <c:pt idx="594">
                <c:v>2.175595425522848</c:v>
              </c:pt>
              <c:pt idx="595">
                <c:v>0</c:v>
              </c:pt>
              <c:pt idx="596">
                <c:v>0</c:v>
              </c:pt>
              <c:pt idx="597">
                <c:v>2.175595425522848</c:v>
              </c:pt>
              <c:pt idx="598">
                <c:v>2.175595425522848</c:v>
              </c:pt>
              <c:pt idx="599">
                <c:v>0</c:v>
              </c:pt>
              <c:pt idx="600">
                <c:v>0</c:v>
              </c:pt>
              <c:pt idx="601">
                <c:v>2.175595425522848</c:v>
              </c:pt>
              <c:pt idx="602">
                <c:v>2.175595425522848</c:v>
              </c:pt>
              <c:pt idx="603">
                <c:v>0</c:v>
              </c:pt>
              <c:pt idx="604">
                <c:v>0</c:v>
              </c:pt>
              <c:pt idx="605">
                <c:v>2.175595425522848</c:v>
              </c:pt>
              <c:pt idx="606">
                <c:v>2.175595425522848</c:v>
              </c:pt>
              <c:pt idx="607">
                <c:v>0</c:v>
              </c:pt>
              <c:pt idx="608">
                <c:v>0</c:v>
              </c:pt>
              <c:pt idx="609">
                <c:v>2.175595425522848</c:v>
              </c:pt>
              <c:pt idx="610">
                <c:v>2.175595425522848</c:v>
              </c:pt>
              <c:pt idx="611">
                <c:v>0</c:v>
              </c:pt>
              <c:pt idx="612">
                <c:v>0</c:v>
              </c:pt>
              <c:pt idx="613">
                <c:v>2.175595425522848</c:v>
              </c:pt>
              <c:pt idx="614">
                <c:v>2.175595425522848</c:v>
              </c:pt>
              <c:pt idx="615">
                <c:v>0</c:v>
              </c:pt>
              <c:pt idx="616">
                <c:v>0</c:v>
              </c:pt>
              <c:pt idx="617">
                <c:v>2.175595425522848</c:v>
              </c:pt>
              <c:pt idx="618">
                <c:v>2.175595425522848</c:v>
              </c:pt>
              <c:pt idx="619">
                <c:v>0</c:v>
              </c:pt>
              <c:pt idx="620">
                <c:v>0</c:v>
              </c:pt>
              <c:pt idx="621">
                <c:v>2.175595425522848</c:v>
              </c:pt>
              <c:pt idx="622">
                <c:v>2.175595425522848</c:v>
              </c:pt>
              <c:pt idx="623">
                <c:v>0</c:v>
              </c:pt>
              <c:pt idx="624">
                <c:v>0</c:v>
              </c:pt>
              <c:pt idx="625">
                <c:v>2.175595425522848</c:v>
              </c:pt>
              <c:pt idx="626">
                <c:v>2.175595425522848</c:v>
              </c:pt>
              <c:pt idx="627">
                <c:v>0</c:v>
              </c:pt>
              <c:pt idx="628">
                <c:v>0</c:v>
              </c:pt>
              <c:pt idx="629">
                <c:v>2.175595425522848</c:v>
              </c:pt>
              <c:pt idx="630">
                <c:v>2.175595425522848</c:v>
              </c:pt>
              <c:pt idx="631">
                <c:v>0</c:v>
              </c:pt>
              <c:pt idx="632">
                <c:v>0</c:v>
              </c:pt>
              <c:pt idx="633">
                <c:v>2.175595425522848</c:v>
              </c:pt>
              <c:pt idx="634">
                <c:v>2.175595425522848</c:v>
              </c:pt>
              <c:pt idx="635">
                <c:v>0</c:v>
              </c:pt>
              <c:pt idx="636">
                <c:v>0</c:v>
              </c:pt>
              <c:pt idx="637">
                <c:v>2.175595425522848</c:v>
              </c:pt>
              <c:pt idx="638">
                <c:v>2.175595425522848</c:v>
              </c:pt>
              <c:pt idx="639">
                <c:v>0</c:v>
              </c:pt>
              <c:pt idx="640">
                <c:v>0</c:v>
              </c:pt>
              <c:pt idx="641">
                <c:v>2.175595425522848</c:v>
              </c:pt>
              <c:pt idx="642">
                <c:v>2.175595425522848</c:v>
              </c:pt>
              <c:pt idx="643">
                <c:v>0</c:v>
              </c:pt>
              <c:pt idx="644">
                <c:v>0</c:v>
              </c:pt>
              <c:pt idx="645">
                <c:v>2.175595425522848</c:v>
              </c:pt>
              <c:pt idx="646">
                <c:v>2.175595425522848</c:v>
              </c:pt>
              <c:pt idx="647">
                <c:v>0</c:v>
              </c:pt>
              <c:pt idx="648">
                <c:v>0</c:v>
              </c:pt>
              <c:pt idx="649">
                <c:v>2.175595425522848</c:v>
              </c:pt>
              <c:pt idx="650">
                <c:v>2.175595425522848</c:v>
              </c:pt>
              <c:pt idx="651">
                <c:v>0</c:v>
              </c:pt>
              <c:pt idx="652">
                <c:v>0</c:v>
              </c:pt>
              <c:pt idx="653">
                <c:v>2.175595425522848</c:v>
              </c:pt>
              <c:pt idx="654">
                <c:v>2.175595425522848</c:v>
              </c:pt>
              <c:pt idx="655">
                <c:v>0</c:v>
              </c:pt>
              <c:pt idx="656">
                <c:v>0</c:v>
              </c:pt>
              <c:pt idx="657">
                <c:v>2.175595425522848</c:v>
              </c:pt>
              <c:pt idx="658">
                <c:v>2.175595425522848</c:v>
              </c:pt>
              <c:pt idx="659">
                <c:v>0</c:v>
              </c:pt>
              <c:pt idx="660">
                <c:v>0</c:v>
              </c:pt>
              <c:pt idx="661">
                <c:v>2.175595425522848</c:v>
              </c:pt>
              <c:pt idx="662">
                <c:v>2.175595425522848</c:v>
              </c:pt>
              <c:pt idx="663">
                <c:v>0</c:v>
              </c:pt>
              <c:pt idx="664">
                <c:v>0</c:v>
              </c:pt>
              <c:pt idx="665">
                <c:v>2.175595425522848</c:v>
              </c:pt>
              <c:pt idx="666">
                <c:v>2.175595425522848</c:v>
              </c:pt>
              <c:pt idx="667">
                <c:v>0</c:v>
              </c:pt>
              <c:pt idx="668">
                <c:v>0</c:v>
              </c:pt>
              <c:pt idx="669">
                <c:v>2.175595425522848</c:v>
              </c:pt>
              <c:pt idx="670">
                <c:v>2.175595425522848</c:v>
              </c:pt>
              <c:pt idx="671">
                <c:v>0</c:v>
              </c:pt>
              <c:pt idx="672">
                <c:v>0</c:v>
              </c:pt>
              <c:pt idx="673">
                <c:v>2.175595425522848</c:v>
              </c:pt>
              <c:pt idx="674">
                <c:v>2.175595425522848</c:v>
              </c:pt>
              <c:pt idx="675">
                <c:v>0</c:v>
              </c:pt>
              <c:pt idx="676">
                <c:v>0</c:v>
              </c:pt>
              <c:pt idx="677">
                <c:v>2.175595425522848</c:v>
              </c:pt>
              <c:pt idx="678">
                <c:v>2.175595425522848</c:v>
              </c:pt>
              <c:pt idx="679">
                <c:v>0</c:v>
              </c:pt>
              <c:pt idx="680">
                <c:v>0</c:v>
              </c:pt>
              <c:pt idx="681">
                <c:v>2.175595425522848</c:v>
              </c:pt>
              <c:pt idx="682">
                <c:v>2.175595425522848</c:v>
              </c:pt>
              <c:pt idx="683">
                <c:v>0</c:v>
              </c:pt>
              <c:pt idx="684">
                <c:v>0</c:v>
              </c:pt>
              <c:pt idx="685">
                <c:v>2.175595425522848</c:v>
              </c:pt>
              <c:pt idx="686">
                <c:v>2.175595425522848</c:v>
              </c:pt>
              <c:pt idx="687">
                <c:v>0</c:v>
              </c:pt>
              <c:pt idx="688">
                <c:v>0</c:v>
              </c:pt>
              <c:pt idx="689">
                <c:v>2.175595425522848</c:v>
              </c:pt>
              <c:pt idx="690">
                <c:v>2.175595425522848</c:v>
              </c:pt>
              <c:pt idx="691">
                <c:v>0</c:v>
              </c:pt>
              <c:pt idx="692">
                <c:v>0</c:v>
              </c:pt>
              <c:pt idx="693">
                <c:v>2.175595425522848</c:v>
              </c:pt>
              <c:pt idx="694">
                <c:v>2.175595425522848</c:v>
              </c:pt>
              <c:pt idx="695">
                <c:v>0</c:v>
              </c:pt>
              <c:pt idx="696">
                <c:v>0</c:v>
              </c:pt>
              <c:pt idx="697">
                <c:v>2.175595425522848</c:v>
              </c:pt>
              <c:pt idx="698">
                <c:v>2.175595425522848</c:v>
              </c:pt>
              <c:pt idx="699">
                <c:v>0</c:v>
              </c:pt>
              <c:pt idx="700">
                <c:v>0</c:v>
              </c:pt>
              <c:pt idx="701">
                <c:v>2.175595425522848</c:v>
              </c:pt>
              <c:pt idx="702">
                <c:v>2.175595425522848</c:v>
              </c:pt>
              <c:pt idx="703">
                <c:v>0</c:v>
              </c:pt>
              <c:pt idx="704">
                <c:v>0</c:v>
              </c:pt>
              <c:pt idx="705">
                <c:v>2.175595425522848</c:v>
              </c:pt>
              <c:pt idx="706">
                <c:v>2.175595425522848</c:v>
              </c:pt>
              <c:pt idx="707">
                <c:v>0</c:v>
              </c:pt>
              <c:pt idx="708">
                <c:v>0</c:v>
              </c:pt>
              <c:pt idx="709">
                <c:v>2.175595425522848</c:v>
              </c:pt>
              <c:pt idx="710">
                <c:v>2.175595425522848</c:v>
              </c:pt>
              <c:pt idx="711">
                <c:v>0</c:v>
              </c:pt>
              <c:pt idx="712">
                <c:v>0</c:v>
              </c:pt>
              <c:pt idx="713">
                <c:v>2.175595425522848</c:v>
              </c:pt>
              <c:pt idx="714">
                <c:v>2.175595425522848</c:v>
              </c:pt>
              <c:pt idx="715">
                <c:v>0</c:v>
              </c:pt>
              <c:pt idx="716">
                <c:v>0</c:v>
              </c:pt>
              <c:pt idx="717">
                <c:v>2.175595425522848</c:v>
              </c:pt>
              <c:pt idx="718">
                <c:v>2.175595425522848</c:v>
              </c:pt>
              <c:pt idx="719">
                <c:v>0</c:v>
              </c:pt>
              <c:pt idx="720">
                <c:v>0</c:v>
              </c:pt>
              <c:pt idx="721">
                <c:v>2.175595425522848</c:v>
              </c:pt>
              <c:pt idx="722">
                <c:v>2.175595425522848</c:v>
              </c:pt>
              <c:pt idx="723">
                <c:v>0</c:v>
              </c:pt>
              <c:pt idx="724">
                <c:v>0</c:v>
              </c:pt>
              <c:pt idx="725">
                <c:v>2.175595425522848</c:v>
              </c:pt>
              <c:pt idx="726">
                <c:v>2.175595425522848</c:v>
              </c:pt>
              <c:pt idx="727">
                <c:v>0</c:v>
              </c:pt>
              <c:pt idx="728">
                <c:v>0</c:v>
              </c:pt>
              <c:pt idx="729">
                <c:v>2.175595425522848</c:v>
              </c:pt>
              <c:pt idx="730">
                <c:v>2.175595425522848</c:v>
              </c:pt>
              <c:pt idx="731">
                <c:v>0</c:v>
              </c:pt>
              <c:pt idx="732">
                <c:v>0</c:v>
              </c:pt>
              <c:pt idx="733">
                <c:v>2.175595425522848</c:v>
              </c:pt>
              <c:pt idx="734">
                <c:v>2.175595425522848</c:v>
              </c:pt>
              <c:pt idx="735">
                <c:v>0</c:v>
              </c:pt>
              <c:pt idx="736">
                <c:v>2.175595425522848</c:v>
              </c:pt>
              <c:pt idx="737">
                <c:v>0</c:v>
              </c:pt>
              <c:pt idx="740">
                <c:v>0</c:v>
              </c:pt>
              <c:pt idx="741">
                <c:v>2.789015188358238</c:v>
              </c:pt>
              <c:pt idx="742">
                <c:v>2.789015188358238</c:v>
              </c:pt>
              <c:pt idx="743">
                <c:v>0</c:v>
              </c:pt>
              <c:pt idx="744">
                <c:v>0</c:v>
              </c:pt>
              <c:pt idx="745">
                <c:v>2.789015188358238</c:v>
              </c:pt>
              <c:pt idx="746">
                <c:v>2.789015188358238</c:v>
              </c:pt>
              <c:pt idx="747">
                <c:v>0</c:v>
              </c:pt>
              <c:pt idx="748">
                <c:v>0</c:v>
              </c:pt>
              <c:pt idx="749">
                <c:v>2.789015188358238</c:v>
              </c:pt>
              <c:pt idx="750">
                <c:v>2.789015188358238</c:v>
              </c:pt>
              <c:pt idx="751">
                <c:v>0</c:v>
              </c:pt>
              <c:pt idx="752">
                <c:v>0</c:v>
              </c:pt>
              <c:pt idx="753">
                <c:v>2.789015188358238</c:v>
              </c:pt>
              <c:pt idx="754">
                <c:v>2.789015188358238</c:v>
              </c:pt>
              <c:pt idx="755">
                <c:v>0</c:v>
              </c:pt>
              <c:pt idx="756">
                <c:v>0</c:v>
              </c:pt>
              <c:pt idx="757">
                <c:v>2.789015188358238</c:v>
              </c:pt>
              <c:pt idx="758">
                <c:v>2.789015188358238</c:v>
              </c:pt>
              <c:pt idx="759">
                <c:v>0</c:v>
              </c:pt>
              <c:pt idx="760">
                <c:v>0</c:v>
              </c:pt>
              <c:pt idx="761">
                <c:v>2.789015188358238</c:v>
              </c:pt>
              <c:pt idx="762">
                <c:v>2.789015188358238</c:v>
              </c:pt>
              <c:pt idx="763">
                <c:v>0</c:v>
              </c:pt>
              <c:pt idx="764">
                <c:v>0</c:v>
              </c:pt>
              <c:pt idx="765">
                <c:v>2.789015188358238</c:v>
              </c:pt>
              <c:pt idx="766">
                <c:v>2.789015188358238</c:v>
              </c:pt>
              <c:pt idx="767">
                <c:v>0</c:v>
              </c:pt>
              <c:pt idx="768">
                <c:v>0</c:v>
              </c:pt>
              <c:pt idx="769">
                <c:v>2.789015188358238</c:v>
              </c:pt>
              <c:pt idx="770">
                <c:v>2.789015188358238</c:v>
              </c:pt>
              <c:pt idx="771">
                <c:v>0</c:v>
              </c:pt>
              <c:pt idx="772">
                <c:v>0</c:v>
              </c:pt>
              <c:pt idx="773">
                <c:v>2.789015188358238</c:v>
              </c:pt>
              <c:pt idx="774">
                <c:v>2.789015188358238</c:v>
              </c:pt>
              <c:pt idx="775">
                <c:v>0</c:v>
              </c:pt>
              <c:pt idx="776">
                <c:v>0</c:v>
              </c:pt>
              <c:pt idx="777">
                <c:v>2.789015188358238</c:v>
              </c:pt>
              <c:pt idx="778">
                <c:v>2.789015188358238</c:v>
              </c:pt>
              <c:pt idx="779">
                <c:v>0</c:v>
              </c:pt>
              <c:pt idx="780">
                <c:v>0</c:v>
              </c:pt>
              <c:pt idx="781">
                <c:v>2.789015188358238</c:v>
              </c:pt>
              <c:pt idx="782">
                <c:v>2.789015188358238</c:v>
              </c:pt>
              <c:pt idx="783">
                <c:v>0</c:v>
              </c:pt>
              <c:pt idx="784">
                <c:v>0</c:v>
              </c:pt>
              <c:pt idx="785">
                <c:v>2.789015188358238</c:v>
              </c:pt>
              <c:pt idx="786">
                <c:v>2.789015188358238</c:v>
              </c:pt>
              <c:pt idx="787">
                <c:v>0</c:v>
              </c:pt>
              <c:pt idx="788">
                <c:v>0</c:v>
              </c:pt>
              <c:pt idx="789">
                <c:v>2.789015188358238</c:v>
              </c:pt>
              <c:pt idx="790">
                <c:v>2.789015188358238</c:v>
              </c:pt>
              <c:pt idx="791">
                <c:v>0</c:v>
              </c:pt>
              <c:pt idx="792">
                <c:v>0</c:v>
              </c:pt>
              <c:pt idx="793">
                <c:v>2.789015188358238</c:v>
              </c:pt>
              <c:pt idx="794">
                <c:v>2.789015188358238</c:v>
              </c:pt>
              <c:pt idx="795">
                <c:v>0</c:v>
              </c:pt>
              <c:pt idx="796">
                <c:v>0</c:v>
              </c:pt>
              <c:pt idx="797">
                <c:v>2.789015188358238</c:v>
              </c:pt>
              <c:pt idx="798">
                <c:v>2.789015188358238</c:v>
              </c:pt>
              <c:pt idx="799">
                <c:v>0</c:v>
              </c:pt>
              <c:pt idx="800">
                <c:v>0</c:v>
              </c:pt>
              <c:pt idx="801">
                <c:v>2.789015188358238</c:v>
              </c:pt>
              <c:pt idx="802">
                <c:v>2.789015188358238</c:v>
              </c:pt>
              <c:pt idx="803">
                <c:v>0</c:v>
              </c:pt>
              <c:pt idx="804">
                <c:v>0</c:v>
              </c:pt>
              <c:pt idx="805">
                <c:v>2.789015188358238</c:v>
              </c:pt>
              <c:pt idx="806">
                <c:v>2.789015188358238</c:v>
              </c:pt>
              <c:pt idx="807">
                <c:v>0</c:v>
              </c:pt>
              <c:pt idx="808">
                <c:v>0</c:v>
              </c:pt>
              <c:pt idx="809">
                <c:v>2.789015188358238</c:v>
              </c:pt>
              <c:pt idx="810">
                <c:v>2.789015188358238</c:v>
              </c:pt>
              <c:pt idx="811">
                <c:v>0</c:v>
              </c:pt>
              <c:pt idx="812">
                <c:v>0</c:v>
              </c:pt>
              <c:pt idx="813">
                <c:v>2.789015188358238</c:v>
              </c:pt>
              <c:pt idx="814">
                <c:v>2.789015188358238</c:v>
              </c:pt>
              <c:pt idx="815">
                <c:v>0</c:v>
              </c:pt>
              <c:pt idx="816">
                <c:v>0</c:v>
              </c:pt>
              <c:pt idx="817">
                <c:v>2.789015188358238</c:v>
              </c:pt>
              <c:pt idx="818">
                <c:v>2.789015188358238</c:v>
              </c:pt>
              <c:pt idx="819">
                <c:v>0</c:v>
              </c:pt>
              <c:pt idx="820">
                <c:v>0</c:v>
              </c:pt>
              <c:pt idx="821">
                <c:v>2.789015188358238</c:v>
              </c:pt>
              <c:pt idx="822">
                <c:v>2.789015188358238</c:v>
              </c:pt>
              <c:pt idx="823">
                <c:v>0</c:v>
              </c:pt>
              <c:pt idx="824">
                <c:v>0</c:v>
              </c:pt>
              <c:pt idx="825">
                <c:v>2.789015188358238</c:v>
              </c:pt>
              <c:pt idx="826">
                <c:v>2.789015188358238</c:v>
              </c:pt>
              <c:pt idx="827">
                <c:v>0</c:v>
              </c:pt>
              <c:pt idx="828">
                <c:v>0</c:v>
              </c:pt>
              <c:pt idx="829">
                <c:v>2.789015188358238</c:v>
              </c:pt>
              <c:pt idx="830">
                <c:v>2.789015188358238</c:v>
              </c:pt>
              <c:pt idx="831">
                <c:v>0</c:v>
              </c:pt>
              <c:pt idx="832">
                <c:v>0</c:v>
              </c:pt>
              <c:pt idx="833">
                <c:v>2.789015188358238</c:v>
              </c:pt>
              <c:pt idx="834">
                <c:v>2.789015188358238</c:v>
              </c:pt>
              <c:pt idx="835">
                <c:v>0</c:v>
              </c:pt>
              <c:pt idx="836">
                <c:v>0</c:v>
              </c:pt>
              <c:pt idx="837">
                <c:v>2.789015188358238</c:v>
              </c:pt>
              <c:pt idx="838">
                <c:v>2.789015188358238</c:v>
              </c:pt>
              <c:pt idx="839">
                <c:v>0</c:v>
              </c:pt>
              <c:pt idx="840">
                <c:v>0</c:v>
              </c:pt>
              <c:pt idx="841">
                <c:v>2.789015188358238</c:v>
              </c:pt>
              <c:pt idx="842">
                <c:v>2.789015188358238</c:v>
              </c:pt>
              <c:pt idx="843">
                <c:v>0</c:v>
              </c:pt>
              <c:pt idx="844">
                <c:v>0</c:v>
              </c:pt>
              <c:pt idx="845">
                <c:v>2.789015188358238</c:v>
              </c:pt>
              <c:pt idx="846">
                <c:v>2.789015188358238</c:v>
              </c:pt>
              <c:pt idx="847">
                <c:v>0</c:v>
              </c:pt>
              <c:pt idx="848">
                <c:v>0</c:v>
              </c:pt>
              <c:pt idx="849">
                <c:v>2.789015188358238</c:v>
              </c:pt>
              <c:pt idx="850">
                <c:v>2.789015188358238</c:v>
              </c:pt>
              <c:pt idx="851">
                <c:v>0</c:v>
              </c:pt>
              <c:pt idx="852">
                <c:v>0</c:v>
              </c:pt>
              <c:pt idx="853">
                <c:v>2.789015188358238</c:v>
              </c:pt>
              <c:pt idx="854">
                <c:v>2.789015188358238</c:v>
              </c:pt>
              <c:pt idx="855">
                <c:v>0</c:v>
              </c:pt>
              <c:pt idx="856">
                <c:v>0</c:v>
              </c:pt>
              <c:pt idx="857">
                <c:v>2.789015188358238</c:v>
              </c:pt>
              <c:pt idx="858">
                <c:v>2.789015188358238</c:v>
              </c:pt>
              <c:pt idx="859">
                <c:v>0</c:v>
              </c:pt>
              <c:pt idx="860">
                <c:v>0</c:v>
              </c:pt>
              <c:pt idx="861">
                <c:v>2.789015188358238</c:v>
              </c:pt>
              <c:pt idx="862">
                <c:v>2.789015188358238</c:v>
              </c:pt>
              <c:pt idx="863">
                <c:v>0</c:v>
              </c:pt>
              <c:pt idx="864">
                <c:v>0</c:v>
              </c:pt>
              <c:pt idx="865">
                <c:v>2.789015188358238</c:v>
              </c:pt>
              <c:pt idx="866">
                <c:v>2.789015188358238</c:v>
              </c:pt>
              <c:pt idx="867">
                <c:v>0</c:v>
              </c:pt>
              <c:pt idx="868">
                <c:v>0</c:v>
              </c:pt>
              <c:pt idx="869">
                <c:v>2.789015188358238</c:v>
              </c:pt>
              <c:pt idx="870">
                <c:v>2.789015188358238</c:v>
              </c:pt>
              <c:pt idx="871">
                <c:v>0</c:v>
              </c:pt>
              <c:pt idx="872">
                <c:v>0</c:v>
              </c:pt>
              <c:pt idx="873">
                <c:v>2.789015188358238</c:v>
              </c:pt>
              <c:pt idx="874">
                <c:v>2.789015188358238</c:v>
              </c:pt>
              <c:pt idx="875">
                <c:v>0</c:v>
              </c:pt>
              <c:pt idx="876">
                <c:v>0</c:v>
              </c:pt>
              <c:pt idx="877">
                <c:v>2.789015188358238</c:v>
              </c:pt>
              <c:pt idx="878">
                <c:v>2.789015188358238</c:v>
              </c:pt>
              <c:pt idx="879">
                <c:v>0</c:v>
              </c:pt>
              <c:pt idx="880">
                <c:v>0</c:v>
              </c:pt>
              <c:pt idx="881">
                <c:v>2.789015188358238</c:v>
              </c:pt>
              <c:pt idx="882">
                <c:v>2.789015188358238</c:v>
              </c:pt>
              <c:pt idx="883">
                <c:v>0</c:v>
              </c:pt>
              <c:pt idx="884">
                <c:v>2.789015188358238</c:v>
              </c:pt>
              <c:pt idx="885">
                <c:v>0</c:v>
              </c:pt>
              <c:pt idx="888">
                <c:v>0</c:v>
              </c:pt>
              <c:pt idx="889">
                <c:v>3.5251189037607054</c:v>
              </c:pt>
              <c:pt idx="890">
                <c:v>3.5251189037607054</c:v>
              </c:pt>
              <c:pt idx="891">
                <c:v>0</c:v>
              </c:pt>
              <c:pt idx="892">
                <c:v>0</c:v>
              </c:pt>
              <c:pt idx="893">
                <c:v>3.5251189037607054</c:v>
              </c:pt>
              <c:pt idx="894">
                <c:v>3.5251189037607054</c:v>
              </c:pt>
              <c:pt idx="895">
                <c:v>0</c:v>
              </c:pt>
              <c:pt idx="896">
                <c:v>0</c:v>
              </c:pt>
              <c:pt idx="897">
                <c:v>3.5251189037607054</c:v>
              </c:pt>
              <c:pt idx="898">
                <c:v>3.5251189037607054</c:v>
              </c:pt>
              <c:pt idx="899">
                <c:v>0</c:v>
              </c:pt>
              <c:pt idx="900">
                <c:v>0</c:v>
              </c:pt>
              <c:pt idx="901">
                <c:v>3.5251189037607054</c:v>
              </c:pt>
              <c:pt idx="902">
                <c:v>3.5251189037607054</c:v>
              </c:pt>
              <c:pt idx="903">
                <c:v>0</c:v>
              </c:pt>
              <c:pt idx="904">
                <c:v>0</c:v>
              </c:pt>
              <c:pt idx="905">
                <c:v>3.5251189037607054</c:v>
              </c:pt>
              <c:pt idx="906">
                <c:v>3.5251189037607054</c:v>
              </c:pt>
              <c:pt idx="907">
                <c:v>0</c:v>
              </c:pt>
              <c:pt idx="908">
                <c:v>0</c:v>
              </c:pt>
              <c:pt idx="909">
                <c:v>3.5251189037607054</c:v>
              </c:pt>
              <c:pt idx="910">
                <c:v>3.5251189037607054</c:v>
              </c:pt>
              <c:pt idx="911">
                <c:v>0</c:v>
              </c:pt>
              <c:pt idx="912">
                <c:v>0</c:v>
              </c:pt>
              <c:pt idx="913">
                <c:v>3.5251189037607054</c:v>
              </c:pt>
              <c:pt idx="914">
                <c:v>3.5251189037607054</c:v>
              </c:pt>
              <c:pt idx="915">
                <c:v>0</c:v>
              </c:pt>
              <c:pt idx="916">
                <c:v>0</c:v>
              </c:pt>
              <c:pt idx="917">
                <c:v>3.5251189037607054</c:v>
              </c:pt>
              <c:pt idx="918">
                <c:v>3.5251189037607054</c:v>
              </c:pt>
              <c:pt idx="919">
                <c:v>0</c:v>
              </c:pt>
              <c:pt idx="920">
                <c:v>0</c:v>
              </c:pt>
              <c:pt idx="921">
                <c:v>3.5251189037607054</c:v>
              </c:pt>
              <c:pt idx="922">
                <c:v>3.5251189037607054</c:v>
              </c:pt>
              <c:pt idx="923">
                <c:v>0</c:v>
              </c:pt>
              <c:pt idx="924">
                <c:v>0</c:v>
              </c:pt>
              <c:pt idx="925">
                <c:v>3.5251189037607054</c:v>
              </c:pt>
              <c:pt idx="926">
                <c:v>3.5251189037607054</c:v>
              </c:pt>
              <c:pt idx="927">
                <c:v>0</c:v>
              </c:pt>
              <c:pt idx="928">
                <c:v>0</c:v>
              </c:pt>
              <c:pt idx="929">
                <c:v>3.5251189037607054</c:v>
              </c:pt>
              <c:pt idx="930">
                <c:v>3.5251189037607054</c:v>
              </c:pt>
              <c:pt idx="931">
                <c:v>0</c:v>
              </c:pt>
              <c:pt idx="932">
                <c:v>0</c:v>
              </c:pt>
              <c:pt idx="933">
                <c:v>3.5251189037607054</c:v>
              </c:pt>
              <c:pt idx="934">
                <c:v>3.5251189037607054</c:v>
              </c:pt>
              <c:pt idx="935">
                <c:v>0</c:v>
              </c:pt>
              <c:pt idx="936">
                <c:v>0</c:v>
              </c:pt>
              <c:pt idx="937">
                <c:v>3.5251189037607054</c:v>
              </c:pt>
              <c:pt idx="938">
                <c:v>3.5251189037607054</c:v>
              </c:pt>
              <c:pt idx="939">
                <c:v>0</c:v>
              </c:pt>
              <c:pt idx="940">
                <c:v>0</c:v>
              </c:pt>
              <c:pt idx="941">
                <c:v>3.5251189037607054</c:v>
              </c:pt>
              <c:pt idx="942">
                <c:v>3.5251189037607054</c:v>
              </c:pt>
              <c:pt idx="943">
                <c:v>0</c:v>
              </c:pt>
              <c:pt idx="944">
                <c:v>0</c:v>
              </c:pt>
              <c:pt idx="945">
                <c:v>3.5251189037607054</c:v>
              </c:pt>
              <c:pt idx="946">
                <c:v>3.5251189037607054</c:v>
              </c:pt>
              <c:pt idx="947">
                <c:v>0</c:v>
              </c:pt>
              <c:pt idx="948">
                <c:v>0</c:v>
              </c:pt>
              <c:pt idx="949">
                <c:v>3.5251189037607054</c:v>
              </c:pt>
              <c:pt idx="950">
                <c:v>3.5251189037607054</c:v>
              </c:pt>
              <c:pt idx="951">
                <c:v>0</c:v>
              </c:pt>
              <c:pt idx="952">
                <c:v>0</c:v>
              </c:pt>
              <c:pt idx="953">
                <c:v>3.5251189037607054</c:v>
              </c:pt>
              <c:pt idx="954">
                <c:v>3.5251189037607054</c:v>
              </c:pt>
              <c:pt idx="955">
                <c:v>0</c:v>
              </c:pt>
              <c:pt idx="956">
                <c:v>0</c:v>
              </c:pt>
              <c:pt idx="957">
                <c:v>3.5251189037607054</c:v>
              </c:pt>
              <c:pt idx="958">
                <c:v>3.5251189037607054</c:v>
              </c:pt>
              <c:pt idx="959">
                <c:v>0</c:v>
              </c:pt>
              <c:pt idx="960">
                <c:v>0</c:v>
              </c:pt>
              <c:pt idx="961">
                <c:v>3.5251189037607054</c:v>
              </c:pt>
              <c:pt idx="962">
                <c:v>3.5251189037607054</c:v>
              </c:pt>
              <c:pt idx="963">
                <c:v>0</c:v>
              </c:pt>
              <c:pt idx="964">
                <c:v>0</c:v>
              </c:pt>
              <c:pt idx="965">
                <c:v>3.5251189037607054</c:v>
              </c:pt>
              <c:pt idx="966">
                <c:v>3.5251189037607054</c:v>
              </c:pt>
              <c:pt idx="967">
                <c:v>0</c:v>
              </c:pt>
              <c:pt idx="968">
                <c:v>0</c:v>
              </c:pt>
              <c:pt idx="969">
                <c:v>3.5251189037607054</c:v>
              </c:pt>
              <c:pt idx="970">
                <c:v>3.5251189037607054</c:v>
              </c:pt>
              <c:pt idx="971">
                <c:v>0</c:v>
              </c:pt>
              <c:pt idx="972">
                <c:v>0</c:v>
              </c:pt>
              <c:pt idx="973">
                <c:v>3.5251189037607054</c:v>
              </c:pt>
              <c:pt idx="974">
                <c:v>3.5251189037607054</c:v>
              </c:pt>
              <c:pt idx="975">
                <c:v>0</c:v>
              </c:pt>
              <c:pt idx="976">
                <c:v>0</c:v>
              </c:pt>
              <c:pt idx="977">
                <c:v>3.5251189037607054</c:v>
              </c:pt>
              <c:pt idx="978">
                <c:v>3.5251189037607054</c:v>
              </c:pt>
              <c:pt idx="979">
                <c:v>0</c:v>
              </c:pt>
              <c:pt idx="980">
                <c:v>0</c:v>
              </c:pt>
              <c:pt idx="981">
                <c:v>3.5251189037607054</c:v>
              </c:pt>
              <c:pt idx="982">
                <c:v>3.5251189037607054</c:v>
              </c:pt>
              <c:pt idx="983">
                <c:v>0</c:v>
              </c:pt>
              <c:pt idx="984">
                <c:v>0</c:v>
              </c:pt>
              <c:pt idx="985">
                <c:v>3.5251189037607054</c:v>
              </c:pt>
              <c:pt idx="986">
                <c:v>3.5251189037607054</c:v>
              </c:pt>
              <c:pt idx="987">
                <c:v>0</c:v>
              </c:pt>
              <c:pt idx="988">
                <c:v>0</c:v>
              </c:pt>
              <c:pt idx="989">
                <c:v>3.5251189037607054</c:v>
              </c:pt>
              <c:pt idx="990">
                <c:v>3.5251189037607054</c:v>
              </c:pt>
              <c:pt idx="991">
                <c:v>0</c:v>
              </c:pt>
              <c:pt idx="992">
                <c:v>0</c:v>
              </c:pt>
              <c:pt idx="993">
                <c:v>3.5251189037607054</c:v>
              </c:pt>
              <c:pt idx="994">
                <c:v>3.5251189037607054</c:v>
              </c:pt>
              <c:pt idx="995">
                <c:v>0</c:v>
              </c:pt>
              <c:pt idx="996">
                <c:v>0</c:v>
              </c:pt>
              <c:pt idx="997">
                <c:v>3.5251189037607054</c:v>
              </c:pt>
              <c:pt idx="998">
                <c:v>3.5251189037607054</c:v>
              </c:pt>
              <c:pt idx="999">
                <c:v>0</c:v>
              </c:pt>
              <c:pt idx="1000">
                <c:v>0</c:v>
              </c:pt>
              <c:pt idx="1001">
                <c:v>3.5251189037607054</c:v>
              </c:pt>
              <c:pt idx="1002">
                <c:v>3.5251189037607054</c:v>
              </c:pt>
              <c:pt idx="1003">
                <c:v>0</c:v>
              </c:pt>
              <c:pt idx="1004">
                <c:v>0</c:v>
              </c:pt>
              <c:pt idx="1005">
                <c:v>3.5251189037607054</c:v>
              </c:pt>
              <c:pt idx="1006">
                <c:v>3.5251189037607054</c:v>
              </c:pt>
              <c:pt idx="1007">
                <c:v>0</c:v>
              </c:pt>
              <c:pt idx="1008">
                <c:v>0</c:v>
              </c:pt>
              <c:pt idx="1009">
                <c:v>3.5251189037607054</c:v>
              </c:pt>
              <c:pt idx="1010">
                <c:v>3.5251189037607054</c:v>
              </c:pt>
              <c:pt idx="1011">
                <c:v>0</c:v>
              </c:pt>
              <c:pt idx="1012">
                <c:v>0</c:v>
              </c:pt>
              <c:pt idx="1013">
                <c:v>3.5251189037607054</c:v>
              </c:pt>
              <c:pt idx="1014">
                <c:v>3.5251189037607054</c:v>
              </c:pt>
              <c:pt idx="1015">
                <c:v>0</c:v>
              </c:pt>
              <c:pt idx="1016">
                <c:v>0</c:v>
              </c:pt>
              <c:pt idx="1017">
                <c:v>3.5251189037607054</c:v>
              </c:pt>
              <c:pt idx="1018">
                <c:v>3.5251189037607054</c:v>
              </c:pt>
              <c:pt idx="1019">
                <c:v>0</c:v>
              </c:pt>
              <c:pt idx="1020">
                <c:v>0</c:v>
              </c:pt>
              <c:pt idx="1021">
                <c:v>3.5251189037607054</c:v>
              </c:pt>
              <c:pt idx="1022">
                <c:v>3.5251189037607054</c:v>
              </c:pt>
              <c:pt idx="1023">
                <c:v>0</c:v>
              </c:pt>
              <c:pt idx="1024">
                <c:v>0</c:v>
              </c:pt>
              <c:pt idx="1025">
                <c:v>3.5251189037607054</c:v>
              </c:pt>
              <c:pt idx="1026">
                <c:v>3.5251189037607054</c:v>
              </c:pt>
              <c:pt idx="1027">
                <c:v>0</c:v>
              </c:pt>
              <c:pt idx="1028">
                <c:v>0</c:v>
              </c:pt>
              <c:pt idx="1029">
                <c:v>3.5251189037607054</c:v>
              </c:pt>
              <c:pt idx="1030">
                <c:v>3.5251189037607054</c:v>
              </c:pt>
              <c:pt idx="1031">
                <c:v>0</c:v>
              </c:pt>
              <c:pt idx="1032">
                <c:v>3.5251189037607054</c:v>
              </c:pt>
              <c:pt idx="1033">
                <c:v>0</c:v>
              </c:pt>
              <c:pt idx="1036">
                <c:v>0</c:v>
              </c:pt>
              <c:pt idx="1037">
                <c:v>3.835918250263969</c:v>
              </c:pt>
              <c:pt idx="1038">
                <c:v>3.835918250263969</c:v>
              </c:pt>
              <c:pt idx="1039">
                <c:v>0</c:v>
              </c:pt>
              <c:pt idx="1040">
                <c:v>0</c:v>
              </c:pt>
              <c:pt idx="1041">
                <c:v>3.835918250263969</c:v>
              </c:pt>
              <c:pt idx="1042">
                <c:v>3.835918250263969</c:v>
              </c:pt>
              <c:pt idx="1043">
                <c:v>0</c:v>
              </c:pt>
              <c:pt idx="1044">
                <c:v>0</c:v>
              </c:pt>
              <c:pt idx="1045">
                <c:v>3.835918250263969</c:v>
              </c:pt>
              <c:pt idx="1046">
                <c:v>3.835918250263969</c:v>
              </c:pt>
              <c:pt idx="1047">
                <c:v>0</c:v>
              </c:pt>
              <c:pt idx="1048">
                <c:v>0</c:v>
              </c:pt>
              <c:pt idx="1049">
                <c:v>3.835918250263969</c:v>
              </c:pt>
              <c:pt idx="1050">
                <c:v>3.835918250263969</c:v>
              </c:pt>
              <c:pt idx="1051">
                <c:v>0</c:v>
              </c:pt>
              <c:pt idx="1052">
                <c:v>0</c:v>
              </c:pt>
              <c:pt idx="1053">
                <c:v>3.835918250263969</c:v>
              </c:pt>
              <c:pt idx="1054">
                <c:v>3.835918250263969</c:v>
              </c:pt>
              <c:pt idx="1055">
                <c:v>0</c:v>
              </c:pt>
              <c:pt idx="1056">
                <c:v>0</c:v>
              </c:pt>
              <c:pt idx="1057">
                <c:v>3.835918250263969</c:v>
              </c:pt>
              <c:pt idx="1058">
                <c:v>3.835918250263969</c:v>
              </c:pt>
              <c:pt idx="1059">
                <c:v>0</c:v>
              </c:pt>
              <c:pt idx="1060">
                <c:v>0</c:v>
              </c:pt>
              <c:pt idx="1061">
                <c:v>3.835918250263969</c:v>
              </c:pt>
              <c:pt idx="1062">
                <c:v>3.835918250263969</c:v>
              </c:pt>
              <c:pt idx="1063">
                <c:v>0</c:v>
              </c:pt>
              <c:pt idx="1064">
                <c:v>0</c:v>
              </c:pt>
              <c:pt idx="1065">
                <c:v>3.835918250263969</c:v>
              </c:pt>
              <c:pt idx="1066">
                <c:v>3.835918250263969</c:v>
              </c:pt>
              <c:pt idx="1067">
                <c:v>0</c:v>
              </c:pt>
              <c:pt idx="1068">
                <c:v>0</c:v>
              </c:pt>
              <c:pt idx="1069">
                <c:v>3.835918250263969</c:v>
              </c:pt>
              <c:pt idx="1070">
                <c:v>3.835918250263969</c:v>
              </c:pt>
              <c:pt idx="1071">
                <c:v>0</c:v>
              </c:pt>
              <c:pt idx="1072">
                <c:v>0</c:v>
              </c:pt>
              <c:pt idx="1073">
                <c:v>3.835918250263969</c:v>
              </c:pt>
              <c:pt idx="1074">
                <c:v>3.835918250263969</c:v>
              </c:pt>
              <c:pt idx="1075">
                <c:v>0</c:v>
              </c:pt>
              <c:pt idx="1076">
                <c:v>0</c:v>
              </c:pt>
              <c:pt idx="1077">
                <c:v>3.835918250263969</c:v>
              </c:pt>
              <c:pt idx="1078">
                <c:v>3.835918250263969</c:v>
              </c:pt>
              <c:pt idx="1079">
                <c:v>0</c:v>
              </c:pt>
              <c:pt idx="1080">
                <c:v>0</c:v>
              </c:pt>
              <c:pt idx="1081">
                <c:v>3.835918250263969</c:v>
              </c:pt>
              <c:pt idx="1082">
                <c:v>3.835918250263969</c:v>
              </c:pt>
              <c:pt idx="1083">
                <c:v>0</c:v>
              </c:pt>
              <c:pt idx="1084">
                <c:v>0</c:v>
              </c:pt>
              <c:pt idx="1085">
                <c:v>3.835918250263969</c:v>
              </c:pt>
              <c:pt idx="1086">
                <c:v>3.835918250263969</c:v>
              </c:pt>
              <c:pt idx="1087">
                <c:v>0</c:v>
              </c:pt>
              <c:pt idx="1088">
                <c:v>0</c:v>
              </c:pt>
              <c:pt idx="1089">
                <c:v>3.835918250263969</c:v>
              </c:pt>
              <c:pt idx="1090">
                <c:v>3.835918250263969</c:v>
              </c:pt>
              <c:pt idx="1091">
                <c:v>0</c:v>
              </c:pt>
              <c:pt idx="1092">
                <c:v>0</c:v>
              </c:pt>
              <c:pt idx="1093">
                <c:v>3.835918250263969</c:v>
              </c:pt>
              <c:pt idx="1094">
                <c:v>3.835918250263969</c:v>
              </c:pt>
              <c:pt idx="1095">
                <c:v>0</c:v>
              </c:pt>
              <c:pt idx="1096">
                <c:v>0</c:v>
              </c:pt>
              <c:pt idx="1097">
                <c:v>3.835918250263969</c:v>
              </c:pt>
              <c:pt idx="1098">
                <c:v>3.835918250263969</c:v>
              </c:pt>
              <c:pt idx="1099">
                <c:v>0</c:v>
              </c:pt>
              <c:pt idx="1100">
                <c:v>0</c:v>
              </c:pt>
              <c:pt idx="1101">
                <c:v>3.835918250263969</c:v>
              </c:pt>
              <c:pt idx="1102">
                <c:v>3.835918250263969</c:v>
              </c:pt>
              <c:pt idx="1103">
                <c:v>0</c:v>
              </c:pt>
              <c:pt idx="1104">
                <c:v>0</c:v>
              </c:pt>
              <c:pt idx="1105">
                <c:v>3.835918250263969</c:v>
              </c:pt>
              <c:pt idx="1106">
                <c:v>3.835918250263969</c:v>
              </c:pt>
              <c:pt idx="1107">
                <c:v>0</c:v>
              </c:pt>
              <c:pt idx="1108">
                <c:v>0</c:v>
              </c:pt>
              <c:pt idx="1109">
                <c:v>3.835918250263969</c:v>
              </c:pt>
              <c:pt idx="1110">
                <c:v>3.835918250263969</c:v>
              </c:pt>
              <c:pt idx="1111">
                <c:v>0</c:v>
              </c:pt>
              <c:pt idx="1112">
                <c:v>0</c:v>
              </c:pt>
              <c:pt idx="1113">
                <c:v>3.835918250263969</c:v>
              </c:pt>
              <c:pt idx="1114">
                <c:v>3.835918250263969</c:v>
              </c:pt>
              <c:pt idx="1115">
                <c:v>0</c:v>
              </c:pt>
              <c:pt idx="1116">
                <c:v>0</c:v>
              </c:pt>
              <c:pt idx="1117">
                <c:v>3.835918250263969</c:v>
              </c:pt>
              <c:pt idx="1118">
                <c:v>3.835918250263969</c:v>
              </c:pt>
              <c:pt idx="1119">
                <c:v>0</c:v>
              </c:pt>
              <c:pt idx="1120">
                <c:v>0</c:v>
              </c:pt>
              <c:pt idx="1121">
                <c:v>3.835918250263969</c:v>
              </c:pt>
              <c:pt idx="1122">
                <c:v>3.835918250263969</c:v>
              </c:pt>
              <c:pt idx="1123">
                <c:v>0</c:v>
              </c:pt>
              <c:pt idx="1124">
                <c:v>0</c:v>
              </c:pt>
              <c:pt idx="1125">
                <c:v>3.835918250263969</c:v>
              </c:pt>
              <c:pt idx="1126">
                <c:v>3.835918250263969</c:v>
              </c:pt>
              <c:pt idx="1127">
                <c:v>0</c:v>
              </c:pt>
              <c:pt idx="1128">
                <c:v>0</c:v>
              </c:pt>
              <c:pt idx="1129">
                <c:v>3.835918250263969</c:v>
              </c:pt>
              <c:pt idx="1130">
                <c:v>3.835918250263969</c:v>
              </c:pt>
              <c:pt idx="1131">
                <c:v>0</c:v>
              </c:pt>
              <c:pt idx="1132">
                <c:v>0</c:v>
              </c:pt>
              <c:pt idx="1133">
                <c:v>3.835918250263969</c:v>
              </c:pt>
              <c:pt idx="1134">
                <c:v>3.835918250263969</c:v>
              </c:pt>
              <c:pt idx="1135">
                <c:v>0</c:v>
              </c:pt>
              <c:pt idx="1136">
                <c:v>0</c:v>
              </c:pt>
              <c:pt idx="1137">
                <c:v>3.835918250263969</c:v>
              </c:pt>
              <c:pt idx="1138">
                <c:v>3.835918250263969</c:v>
              </c:pt>
              <c:pt idx="1139">
                <c:v>0</c:v>
              </c:pt>
              <c:pt idx="1140">
                <c:v>0</c:v>
              </c:pt>
              <c:pt idx="1141">
                <c:v>3.835918250263969</c:v>
              </c:pt>
              <c:pt idx="1142">
                <c:v>3.835918250263969</c:v>
              </c:pt>
              <c:pt idx="1143">
                <c:v>0</c:v>
              </c:pt>
              <c:pt idx="1144">
                <c:v>0</c:v>
              </c:pt>
              <c:pt idx="1145">
                <c:v>3.835918250263969</c:v>
              </c:pt>
              <c:pt idx="1146">
                <c:v>3.835918250263969</c:v>
              </c:pt>
              <c:pt idx="1147">
                <c:v>0</c:v>
              </c:pt>
              <c:pt idx="1148">
                <c:v>0</c:v>
              </c:pt>
              <c:pt idx="1149">
                <c:v>3.835918250263969</c:v>
              </c:pt>
              <c:pt idx="1150">
                <c:v>3.835918250263969</c:v>
              </c:pt>
              <c:pt idx="1151">
                <c:v>0</c:v>
              </c:pt>
              <c:pt idx="1152">
                <c:v>0</c:v>
              </c:pt>
              <c:pt idx="1153">
                <c:v>3.835918250263969</c:v>
              </c:pt>
              <c:pt idx="1154">
                <c:v>3.835918250263969</c:v>
              </c:pt>
              <c:pt idx="1155">
                <c:v>0</c:v>
              </c:pt>
              <c:pt idx="1156">
                <c:v>0</c:v>
              </c:pt>
              <c:pt idx="1157">
                <c:v>3.835918250263969</c:v>
              </c:pt>
              <c:pt idx="1158">
                <c:v>3.835918250263969</c:v>
              </c:pt>
              <c:pt idx="1159">
                <c:v>0</c:v>
              </c:pt>
              <c:pt idx="1160">
                <c:v>0</c:v>
              </c:pt>
              <c:pt idx="1161">
                <c:v>3.835918250263969</c:v>
              </c:pt>
              <c:pt idx="1162">
                <c:v>3.835918250263969</c:v>
              </c:pt>
              <c:pt idx="1163">
                <c:v>0</c:v>
              </c:pt>
              <c:pt idx="1164">
                <c:v>0</c:v>
              </c:pt>
              <c:pt idx="1165">
                <c:v>3.835918250263969</c:v>
              </c:pt>
              <c:pt idx="1166">
                <c:v>3.835918250263969</c:v>
              </c:pt>
              <c:pt idx="1167">
                <c:v>0</c:v>
              </c:pt>
              <c:pt idx="1168">
                <c:v>0</c:v>
              </c:pt>
              <c:pt idx="1169">
                <c:v>3.835918250263969</c:v>
              </c:pt>
              <c:pt idx="1170">
                <c:v>3.835918250263969</c:v>
              </c:pt>
              <c:pt idx="1171">
                <c:v>0</c:v>
              </c:pt>
              <c:pt idx="1172">
                <c:v>0</c:v>
              </c:pt>
              <c:pt idx="1173">
                <c:v>3.835918250263969</c:v>
              </c:pt>
              <c:pt idx="1174">
                <c:v>3.835918250263969</c:v>
              </c:pt>
              <c:pt idx="1175">
                <c:v>0</c:v>
              </c:pt>
              <c:pt idx="1176">
                <c:v>0</c:v>
              </c:pt>
              <c:pt idx="1177">
                <c:v>3.835918250263969</c:v>
              </c:pt>
              <c:pt idx="1178">
                <c:v>3.835918250263969</c:v>
              </c:pt>
              <c:pt idx="1179">
                <c:v>0</c:v>
              </c:pt>
              <c:pt idx="1180">
                <c:v>3.835918250263969</c:v>
              </c:pt>
              <c:pt idx="1181">
                <c:v>0</c:v>
              </c:pt>
              <c:pt idx="1184">
                <c:v>0</c:v>
              </c:pt>
              <c:pt idx="1185">
                <c:v>4.424801222585944</c:v>
              </c:pt>
              <c:pt idx="1186">
                <c:v>4.424801222585944</c:v>
              </c:pt>
              <c:pt idx="1187">
                <c:v>0</c:v>
              </c:pt>
              <c:pt idx="1188">
                <c:v>0</c:v>
              </c:pt>
              <c:pt idx="1189">
                <c:v>4.424801222585944</c:v>
              </c:pt>
              <c:pt idx="1190">
                <c:v>4.424801222585944</c:v>
              </c:pt>
              <c:pt idx="1191">
                <c:v>0</c:v>
              </c:pt>
              <c:pt idx="1192">
                <c:v>0</c:v>
              </c:pt>
              <c:pt idx="1193">
                <c:v>4.424801222585944</c:v>
              </c:pt>
              <c:pt idx="1194">
                <c:v>4.424801222585944</c:v>
              </c:pt>
              <c:pt idx="1195">
                <c:v>0</c:v>
              </c:pt>
              <c:pt idx="1196">
                <c:v>0</c:v>
              </c:pt>
              <c:pt idx="1197">
                <c:v>4.424801222585944</c:v>
              </c:pt>
              <c:pt idx="1198">
                <c:v>4.424801222585944</c:v>
              </c:pt>
              <c:pt idx="1199">
                <c:v>0</c:v>
              </c:pt>
              <c:pt idx="1200">
                <c:v>0</c:v>
              </c:pt>
              <c:pt idx="1201">
                <c:v>4.424801222585944</c:v>
              </c:pt>
              <c:pt idx="1202">
                <c:v>4.424801222585944</c:v>
              </c:pt>
              <c:pt idx="1203">
                <c:v>0</c:v>
              </c:pt>
              <c:pt idx="1204">
                <c:v>0</c:v>
              </c:pt>
              <c:pt idx="1205">
                <c:v>4.424801222585944</c:v>
              </c:pt>
              <c:pt idx="1206">
                <c:v>4.424801222585944</c:v>
              </c:pt>
              <c:pt idx="1207">
                <c:v>0</c:v>
              </c:pt>
              <c:pt idx="1208">
                <c:v>0</c:v>
              </c:pt>
              <c:pt idx="1209">
                <c:v>4.424801222585944</c:v>
              </c:pt>
              <c:pt idx="1210">
                <c:v>4.424801222585944</c:v>
              </c:pt>
              <c:pt idx="1211">
                <c:v>0</c:v>
              </c:pt>
              <c:pt idx="1212">
                <c:v>0</c:v>
              </c:pt>
              <c:pt idx="1213">
                <c:v>4.424801222585944</c:v>
              </c:pt>
              <c:pt idx="1214">
                <c:v>4.424801222585944</c:v>
              </c:pt>
              <c:pt idx="1215">
                <c:v>0</c:v>
              </c:pt>
              <c:pt idx="1216">
                <c:v>0</c:v>
              </c:pt>
              <c:pt idx="1217">
                <c:v>4.424801222585944</c:v>
              </c:pt>
              <c:pt idx="1218">
                <c:v>4.424801222585944</c:v>
              </c:pt>
              <c:pt idx="1219">
                <c:v>0</c:v>
              </c:pt>
              <c:pt idx="1220">
                <c:v>0</c:v>
              </c:pt>
              <c:pt idx="1221">
                <c:v>4.424801222585944</c:v>
              </c:pt>
              <c:pt idx="1222">
                <c:v>4.424801222585944</c:v>
              </c:pt>
              <c:pt idx="1223">
                <c:v>0</c:v>
              </c:pt>
              <c:pt idx="1224">
                <c:v>0</c:v>
              </c:pt>
              <c:pt idx="1225">
                <c:v>4.424801222585944</c:v>
              </c:pt>
              <c:pt idx="1226">
                <c:v>4.424801222585944</c:v>
              </c:pt>
              <c:pt idx="1227">
                <c:v>0</c:v>
              </c:pt>
              <c:pt idx="1228">
                <c:v>0</c:v>
              </c:pt>
              <c:pt idx="1229">
                <c:v>4.424801222585944</c:v>
              </c:pt>
              <c:pt idx="1230">
                <c:v>4.424801222585944</c:v>
              </c:pt>
              <c:pt idx="1231">
                <c:v>0</c:v>
              </c:pt>
              <c:pt idx="1232">
                <c:v>0</c:v>
              </c:pt>
              <c:pt idx="1233">
                <c:v>4.424801222585944</c:v>
              </c:pt>
              <c:pt idx="1234">
                <c:v>4.424801222585944</c:v>
              </c:pt>
              <c:pt idx="1235">
                <c:v>0</c:v>
              </c:pt>
              <c:pt idx="1236">
                <c:v>0</c:v>
              </c:pt>
              <c:pt idx="1237">
                <c:v>4.424801222585944</c:v>
              </c:pt>
              <c:pt idx="1238">
                <c:v>4.424801222585944</c:v>
              </c:pt>
              <c:pt idx="1239">
                <c:v>0</c:v>
              </c:pt>
              <c:pt idx="1240">
                <c:v>0</c:v>
              </c:pt>
              <c:pt idx="1241">
                <c:v>4.424801222585944</c:v>
              </c:pt>
              <c:pt idx="1242">
                <c:v>4.424801222585944</c:v>
              </c:pt>
              <c:pt idx="1243">
                <c:v>0</c:v>
              </c:pt>
              <c:pt idx="1244">
                <c:v>0</c:v>
              </c:pt>
              <c:pt idx="1245">
                <c:v>4.424801222585944</c:v>
              </c:pt>
              <c:pt idx="1246">
                <c:v>4.424801222585944</c:v>
              </c:pt>
              <c:pt idx="1247">
                <c:v>0</c:v>
              </c:pt>
              <c:pt idx="1248">
                <c:v>0</c:v>
              </c:pt>
              <c:pt idx="1249">
                <c:v>4.424801222585944</c:v>
              </c:pt>
              <c:pt idx="1250">
                <c:v>4.424801222585944</c:v>
              </c:pt>
              <c:pt idx="1251">
                <c:v>0</c:v>
              </c:pt>
              <c:pt idx="1252">
                <c:v>0</c:v>
              </c:pt>
              <c:pt idx="1253">
                <c:v>4.424801222585944</c:v>
              </c:pt>
              <c:pt idx="1254">
                <c:v>4.424801222585944</c:v>
              </c:pt>
              <c:pt idx="1255">
                <c:v>0</c:v>
              </c:pt>
              <c:pt idx="1256">
                <c:v>0</c:v>
              </c:pt>
              <c:pt idx="1257">
                <c:v>4.424801222585944</c:v>
              </c:pt>
              <c:pt idx="1258">
                <c:v>4.424801222585944</c:v>
              </c:pt>
              <c:pt idx="1259">
                <c:v>0</c:v>
              </c:pt>
              <c:pt idx="1260">
                <c:v>0</c:v>
              </c:pt>
              <c:pt idx="1261">
                <c:v>4.424801222585944</c:v>
              </c:pt>
              <c:pt idx="1262">
                <c:v>4.424801222585944</c:v>
              </c:pt>
              <c:pt idx="1263">
                <c:v>0</c:v>
              </c:pt>
              <c:pt idx="1264">
                <c:v>0</c:v>
              </c:pt>
              <c:pt idx="1265">
                <c:v>4.424801222585944</c:v>
              </c:pt>
              <c:pt idx="1266">
                <c:v>4.424801222585944</c:v>
              </c:pt>
              <c:pt idx="1267">
                <c:v>0</c:v>
              </c:pt>
              <c:pt idx="1268">
                <c:v>0</c:v>
              </c:pt>
              <c:pt idx="1269">
                <c:v>4.424801222585944</c:v>
              </c:pt>
              <c:pt idx="1270">
                <c:v>4.424801222585944</c:v>
              </c:pt>
              <c:pt idx="1271">
                <c:v>0</c:v>
              </c:pt>
              <c:pt idx="1272">
                <c:v>0</c:v>
              </c:pt>
              <c:pt idx="1273">
                <c:v>4.424801222585944</c:v>
              </c:pt>
              <c:pt idx="1274">
                <c:v>4.424801222585944</c:v>
              </c:pt>
              <c:pt idx="1275">
                <c:v>0</c:v>
              </c:pt>
              <c:pt idx="1276">
                <c:v>0</c:v>
              </c:pt>
              <c:pt idx="1277">
                <c:v>4.424801222585944</c:v>
              </c:pt>
              <c:pt idx="1278">
                <c:v>4.424801222585944</c:v>
              </c:pt>
              <c:pt idx="1279">
                <c:v>0</c:v>
              </c:pt>
              <c:pt idx="1280">
                <c:v>0</c:v>
              </c:pt>
              <c:pt idx="1281">
                <c:v>4.424801222585944</c:v>
              </c:pt>
              <c:pt idx="1282">
                <c:v>4.424801222585944</c:v>
              </c:pt>
              <c:pt idx="1283">
                <c:v>0</c:v>
              </c:pt>
              <c:pt idx="1284">
                <c:v>0</c:v>
              </c:pt>
              <c:pt idx="1285">
                <c:v>4.424801222585944</c:v>
              </c:pt>
              <c:pt idx="1286">
                <c:v>4.424801222585944</c:v>
              </c:pt>
              <c:pt idx="1287">
                <c:v>0</c:v>
              </c:pt>
              <c:pt idx="1288">
                <c:v>0</c:v>
              </c:pt>
              <c:pt idx="1289">
                <c:v>4.424801222585944</c:v>
              </c:pt>
              <c:pt idx="1290">
                <c:v>4.424801222585944</c:v>
              </c:pt>
              <c:pt idx="1291">
                <c:v>0</c:v>
              </c:pt>
              <c:pt idx="1292">
                <c:v>0</c:v>
              </c:pt>
              <c:pt idx="1293">
                <c:v>4.424801222585944</c:v>
              </c:pt>
              <c:pt idx="1294">
                <c:v>4.424801222585944</c:v>
              </c:pt>
              <c:pt idx="1295">
                <c:v>0</c:v>
              </c:pt>
              <c:pt idx="1296">
                <c:v>0</c:v>
              </c:pt>
              <c:pt idx="1297">
                <c:v>4.424801222585944</c:v>
              </c:pt>
              <c:pt idx="1298">
                <c:v>4.424801222585944</c:v>
              </c:pt>
              <c:pt idx="1299">
                <c:v>0</c:v>
              </c:pt>
              <c:pt idx="1300">
                <c:v>0</c:v>
              </c:pt>
              <c:pt idx="1301">
                <c:v>4.424801222585944</c:v>
              </c:pt>
              <c:pt idx="1302">
                <c:v>4.424801222585944</c:v>
              </c:pt>
              <c:pt idx="1303">
                <c:v>0</c:v>
              </c:pt>
              <c:pt idx="1304">
                <c:v>0</c:v>
              </c:pt>
              <c:pt idx="1305">
                <c:v>4.424801222585944</c:v>
              </c:pt>
              <c:pt idx="1306">
                <c:v>4.424801222585944</c:v>
              </c:pt>
              <c:pt idx="1307">
                <c:v>0</c:v>
              </c:pt>
              <c:pt idx="1308">
                <c:v>0</c:v>
              </c:pt>
              <c:pt idx="1309">
                <c:v>4.424801222585944</c:v>
              </c:pt>
              <c:pt idx="1310">
                <c:v>4.424801222585944</c:v>
              </c:pt>
              <c:pt idx="1311">
                <c:v>0</c:v>
              </c:pt>
              <c:pt idx="1312">
                <c:v>0</c:v>
              </c:pt>
              <c:pt idx="1313">
                <c:v>4.424801222585944</c:v>
              </c:pt>
              <c:pt idx="1314">
                <c:v>4.424801222585944</c:v>
              </c:pt>
              <c:pt idx="1315">
                <c:v>0</c:v>
              </c:pt>
              <c:pt idx="1316">
                <c:v>0</c:v>
              </c:pt>
              <c:pt idx="1317">
                <c:v>4.424801222585944</c:v>
              </c:pt>
              <c:pt idx="1318">
                <c:v>4.424801222585944</c:v>
              </c:pt>
              <c:pt idx="1319">
                <c:v>0</c:v>
              </c:pt>
              <c:pt idx="1320">
                <c:v>0</c:v>
              </c:pt>
              <c:pt idx="1321">
                <c:v>4.424801222585944</c:v>
              </c:pt>
              <c:pt idx="1322">
                <c:v>4.424801222585944</c:v>
              </c:pt>
              <c:pt idx="1323">
                <c:v>0</c:v>
              </c:pt>
              <c:pt idx="1324">
                <c:v>0</c:v>
              </c:pt>
              <c:pt idx="1325">
                <c:v>4.424801222585944</c:v>
              </c:pt>
              <c:pt idx="1326">
                <c:v>4.424801222585944</c:v>
              </c:pt>
              <c:pt idx="1327">
                <c:v>0</c:v>
              </c:pt>
              <c:pt idx="1328">
                <c:v>4.424801222585944</c:v>
              </c:pt>
              <c:pt idx="1329">
                <c:v>0</c:v>
              </c:pt>
              <c:pt idx="1332">
                <c:v>0</c:v>
              </c:pt>
              <c:pt idx="1333">
                <c:v>4.49841159412619</c:v>
              </c:pt>
              <c:pt idx="1334">
                <c:v>4.49841159412619</c:v>
              </c:pt>
              <c:pt idx="1335">
                <c:v>0</c:v>
              </c:pt>
              <c:pt idx="1336">
                <c:v>0</c:v>
              </c:pt>
              <c:pt idx="1337">
                <c:v>4.49841159412619</c:v>
              </c:pt>
              <c:pt idx="1338">
                <c:v>4.49841159412619</c:v>
              </c:pt>
              <c:pt idx="1339">
                <c:v>0</c:v>
              </c:pt>
              <c:pt idx="1340">
                <c:v>0</c:v>
              </c:pt>
              <c:pt idx="1341">
                <c:v>4.49841159412619</c:v>
              </c:pt>
              <c:pt idx="1342">
                <c:v>4.49841159412619</c:v>
              </c:pt>
              <c:pt idx="1343">
                <c:v>0</c:v>
              </c:pt>
              <c:pt idx="1344">
                <c:v>0</c:v>
              </c:pt>
              <c:pt idx="1345">
                <c:v>4.49841159412619</c:v>
              </c:pt>
              <c:pt idx="1346">
                <c:v>4.49841159412619</c:v>
              </c:pt>
              <c:pt idx="1347">
                <c:v>0</c:v>
              </c:pt>
              <c:pt idx="1348">
                <c:v>0</c:v>
              </c:pt>
              <c:pt idx="1349">
                <c:v>4.49841159412619</c:v>
              </c:pt>
              <c:pt idx="1350">
                <c:v>4.49841159412619</c:v>
              </c:pt>
              <c:pt idx="1351">
                <c:v>0</c:v>
              </c:pt>
              <c:pt idx="1352">
                <c:v>0</c:v>
              </c:pt>
              <c:pt idx="1353">
                <c:v>4.49841159412619</c:v>
              </c:pt>
              <c:pt idx="1354">
                <c:v>4.49841159412619</c:v>
              </c:pt>
              <c:pt idx="1355">
                <c:v>0</c:v>
              </c:pt>
              <c:pt idx="1356">
                <c:v>0</c:v>
              </c:pt>
              <c:pt idx="1357">
                <c:v>4.49841159412619</c:v>
              </c:pt>
              <c:pt idx="1358">
                <c:v>4.49841159412619</c:v>
              </c:pt>
              <c:pt idx="1359">
                <c:v>0</c:v>
              </c:pt>
              <c:pt idx="1360">
                <c:v>0</c:v>
              </c:pt>
              <c:pt idx="1361">
                <c:v>4.49841159412619</c:v>
              </c:pt>
              <c:pt idx="1362">
                <c:v>4.49841159412619</c:v>
              </c:pt>
              <c:pt idx="1363">
                <c:v>0</c:v>
              </c:pt>
              <c:pt idx="1364">
                <c:v>0</c:v>
              </c:pt>
              <c:pt idx="1365">
                <c:v>4.49841159412619</c:v>
              </c:pt>
              <c:pt idx="1366">
                <c:v>4.49841159412619</c:v>
              </c:pt>
              <c:pt idx="1367">
                <c:v>0</c:v>
              </c:pt>
              <c:pt idx="1368">
                <c:v>0</c:v>
              </c:pt>
              <c:pt idx="1369">
                <c:v>4.49841159412619</c:v>
              </c:pt>
              <c:pt idx="1370">
                <c:v>4.49841159412619</c:v>
              </c:pt>
              <c:pt idx="1371">
                <c:v>0</c:v>
              </c:pt>
              <c:pt idx="1372">
                <c:v>0</c:v>
              </c:pt>
              <c:pt idx="1373">
                <c:v>4.49841159412619</c:v>
              </c:pt>
              <c:pt idx="1374">
                <c:v>4.49841159412619</c:v>
              </c:pt>
              <c:pt idx="1375">
                <c:v>0</c:v>
              </c:pt>
              <c:pt idx="1376">
                <c:v>0</c:v>
              </c:pt>
              <c:pt idx="1377">
                <c:v>4.49841159412619</c:v>
              </c:pt>
              <c:pt idx="1378">
                <c:v>4.49841159412619</c:v>
              </c:pt>
              <c:pt idx="1379">
                <c:v>0</c:v>
              </c:pt>
              <c:pt idx="1380">
                <c:v>0</c:v>
              </c:pt>
              <c:pt idx="1381">
                <c:v>4.49841159412619</c:v>
              </c:pt>
              <c:pt idx="1382">
                <c:v>4.49841159412619</c:v>
              </c:pt>
              <c:pt idx="1383">
                <c:v>0</c:v>
              </c:pt>
              <c:pt idx="1384">
                <c:v>0</c:v>
              </c:pt>
              <c:pt idx="1385">
                <c:v>4.49841159412619</c:v>
              </c:pt>
              <c:pt idx="1386">
                <c:v>4.49841159412619</c:v>
              </c:pt>
              <c:pt idx="1387">
                <c:v>0</c:v>
              </c:pt>
              <c:pt idx="1388">
                <c:v>0</c:v>
              </c:pt>
              <c:pt idx="1389">
                <c:v>4.49841159412619</c:v>
              </c:pt>
              <c:pt idx="1390">
                <c:v>4.49841159412619</c:v>
              </c:pt>
              <c:pt idx="1391">
                <c:v>0</c:v>
              </c:pt>
              <c:pt idx="1392">
                <c:v>0</c:v>
              </c:pt>
              <c:pt idx="1393">
                <c:v>4.49841159412619</c:v>
              </c:pt>
              <c:pt idx="1394">
                <c:v>4.49841159412619</c:v>
              </c:pt>
              <c:pt idx="1395">
                <c:v>0</c:v>
              </c:pt>
              <c:pt idx="1396">
                <c:v>0</c:v>
              </c:pt>
              <c:pt idx="1397">
                <c:v>4.49841159412619</c:v>
              </c:pt>
              <c:pt idx="1398">
                <c:v>4.49841159412619</c:v>
              </c:pt>
              <c:pt idx="1399">
                <c:v>0</c:v>
              </c:pt>
              <c:pt idx="1400">
                <c:v>0</c:v>
              </c:pt>
              <c:pt idx="1401">
                <c:v>4.49841159412619</c:v>
              </c:pt>
              <c:pt idx="1402">
                <c:v>4.49841159412619</c:v>
              </c:pt>
              <c:pt idx="1403">
                <c:v>0</c:v>
              </c:pt>
              <c:pt idx="1404">
                <c:v>0</c:v>
              </c:pt>
              <c:pt idx="1405">
                <c:v>4.49841159412619</c:v>
              </c:pt>
              <c:pt idx="1406">
                <c:v>4.49841159412619</c:v>
              </c:pt>
              <c:pt idx="1407">
                <c:v>0</c:v>
              </c:pt>
              <c:pt idx="1408">
                <c:v>0</c:v>
              </c:pt>
              <c:pt idx="1409">
                <c:v>4.49841159412619</c:v>
              </c:pt>
              <c:pt idx="1410">
                <c:v>4.49841159412619</c:v>
              </c:pt>
              <c:pt idx="1411">
                <c:v>0</c:v>
              </c:pt>
              <c:pt idx="1412">
                <c:v>0</c:v>
              </c:pt>
              <c:pt idx="1413">
                <c:v>4.49841159412619</c:v>
              </c:pt>
              <c:pt idx="1414">
                <c:v>4.49841159412619</c:v>
              </c:pt>
              <c:pt idx="1415">
                <c:v>0</c:v>
              </c:pt>
              <c:pt idx="1416">
                <c:v>0</c:v>
              </c:pt>
              <c:pt idx="1417">
                <c:v>4.49841159412619</c:v>
              </c:pt>
              <c:pt idx="1418">
                <c:v>4.49841159412619</c:v>
              </c:pt>
              <c:pt idx="1419">
                <c:v>0</c:v>
              </c:pt>
              <c:pt idx="1420">
                <c:v>0</c:v>
              </c:pt>
              <c:pt idx="1421">
                <c:v>4.49841159412619</c:v>
              </c:pt>
              <c:pt idx="1422">
                <c:v>4.49841159412619</c:v>
              </c:pt>
              <c:pt idx="1423">
                <c:v>0</c:v>
              </c:pt>
              <c:pt idx="1424">
                <c:v>0</c:v>
              </c:pt>
              <c:pt idx="1425">
                <c:v>4.49841159412619</c:v>
              </c:pt>
              <c:pt idx="1426">
                <c:v>4.49841159412619</c:v>
              </c:pt>
              <c:pt idx="1427">
                <c:v>0</c:v>
              </c:pt>
              <c:pt idx="1428">
                <c:v>0</c:v>
              </c:pt>
              <c:pt idx="1429">
                <c:v>4.49841159412619</c:v>
              </c:pt>
              <c:pt idx="1430">
                <c:v>4.49841159412619</c:v>
              </c:pt>
              <c:pt idx="1431">
                <c:v>0</c:v>
              </c:pt>
              <c:pt idx="1432">
                <c:v>0</c:v>
              </c:pt>
              <c:pt idx="1433">
                <c:v>4.49841159412619</c:v>
              </c:pt>
              <c:pt idx="1434">
                <c:v>4.49841159412619</c:v>
              </c:pt>
              <c:pt idx="1435">
                <c:v>0</c:v>
              </c:pt>
              <c:pt idx="1436">
                <c:v>0</c:v>
              </c:pt>
              <c:pt idx="1437">
                <c:v>4.49841159412619</c:v>
              </c:pt>
              <c:pt idx="1438">
                <c:v>4.49841159412619</c:v>
              </c:pt>
              <c:pt idx="1439">
                <c:v>0</c:v>
              </c:pt>
              <c:pt idx="1440">
                <c:v>0</c:v>
              </c:pt>
              <c:pt idx="1441">
                <c:v>4.49841159412619</c:v>
              </c:pt>
              <c:pt idx="1442">
                <c:v>4.49841159412619</c:v>
              </c:pt>
              <c:pt idx="1443">
                <c:v>0</c:v>
              </c:pt>
              <c:pt idx="1444">
                <c:v>0</c:v>
              </c:pt>
              <c:pt idx="1445">
                <c:v>4.49841159412619</c:v>
              </c:pt>
              <c:pt idx="1446">
                <c:v>4.49841159412619</c:v>
              </c:pt>
              <c:pt idx="1447">
                <c:v>0</c:v>
              </c:pt>
              <c:pt idx="1448">
                <c:v>0</c:v>
              </c:pt>
              <c:pt idx="1449">
                <c:v>4.49841159412619</c:v>
              </c:pt>
              <c:pt idx="1450">
                <c:v>4.49841159412619</c:v>
              </c:pt>
              <c:pt idx="1451">
                <c:v>0</c:v>
              </c:pt>
              <c:pt idx="1452">
                <c:v>0</c:v>
              </c:pt>
              <c:pt idx="1453">
                <c:v>4.49841159412619</c:v>
              </c:pt>
              <c:pt idx="1454">
                <c:v>4.49841159412619</c:v>
              </c:pt>
              <c:pt idx="1455">
                <c:v>0</c:v>
              </c:pt>
              <c:pt idx="1456">
                <c:v>0</c:v>
              </c:pt>
              <c:pt idx="1457">
                <c:v>4.49841159412619</c:v>
              </c:pt>
              <c:pt idx="1458">
                <c:v>4.49841159412619</c:v>
              </c:pt>
              <c:pt idx="1459">
                <c:v>0</c:v>
              </c:pt>
              <c:pt idx="1460">
                <c:v>0</c:v>
              </c:pt>
              <c:pt idx="1461">
                <c:v>4.49841159412619</c:v>
              </c:pt>
              <c:pt idx="1462">
                <c:v>4.49841159412619</c:v>
              </c:pt>
              <c:pt idx="1463">
                <c:v>0</c:v>
              </c:pt>
              <c:pt idx="1464">
                <c:v>0</c:v>
              </c:pt>
              <c:pt idx="1465">
                <c:v>4.49841159412619</c:v>
              </c:pt>
              <c:pt idx="1466">
                <c:v>4.49841159412619</c:v>
              </c:pt>
              <c:pt idx="1467">
                <c:v>0</c:v>
              </c:pt>
              <c:pt idx="1468">
                <c:v>0</c:v>
              </c:pt>
              <c:pt idx="1469">
                <c:v>4.49841159412619</c:v>
              </c:pt>
              <c:pt idx="1470">
                <c:v>4.49841159412619</c:v>
              </c:pt>
              <c:pt idx="1471">
                <c:v>0</c:v>
              </c:pt>
              <c:pt idx="1472">
                <c:v>0</c:v>
              </c:pt>
              <c:pt idx="1473">
                <c:v>4.49841159412619</c:v>
              </c:pt>
              <c:pt idx="1474">
                <c:v>4.49841159412619</c:v>
              </c:pt>
              <c:pt idx="1475">
                <c:v>0</c:v>
              </c:pt>
              <c:pt idx="1476">
                <c:v>4.49841159412619</c:v>
              </c:pt>
              <c:pt idx="1477">
                <c:v>0</c:v>
              </c:pt>
              <c:pt idx="1480">
                <c:v>0</c:v>
              </c:pt>
              <c:pt idx="1481">
                <c:v>4.114001876082679</c:v>
              </c:pt>
              <c:pt idx="1482">
                <c:v>4.114001876082679</c:v>
              </c:pt>
              <c:pt idx="1483">
                <c:v>0</c:v>
              </c:pt>
              <c:pt idx="1484">
                <c:v>0</c:v>
              </c:pt>
              <c:pt idx="1485">
                <c:v>4.114001876082679</c:v>
              </c:pt>
              <c:pt idx="1486">
                <c:v>4.114001876082679</c:v>
              </c:pt>
              <c:pt idx="1487">
                <c:v>0</c:v>
              </c:pt>
              <c:pt idx="1488">
                <c:v>0</c:v>
              </c:pt>
              <c:pt idx="1489">
                <c:v>4.114001876082679</c:v>
              </c:pt>
              <c:pt idx="1490">
                <c:v>4.114001876082679</c:v>
              </c:pt>
              <c:pt idx="1491">
                <c:v>0</c:v>
              </c:pt>
              <c:pt idx="1492">
                <c:v>0</c:v>
              </c:pt>
              <c:pt idx="1493">
                <c:v>4.114001876082679</c:v>
              </c:pt>
              <c:pt idx="1494">
                <c:v>4.114001876082679</c:v>
              </c:pt>
              <c:pt idx="1495">
                <c:v>0</c:v>
              </c:pt>
              <c:pt idx="1496">
                <c:v>0</c:v>
              </c:pt>
              <c:pt idx="1497">
                <c:v>4.114001876082679</c:v>
              </c:pt>
              <c:pt idx="1498">
                <c:v>4.114001876082679</c:v>
              </c:pt>
              <c:pt idx="1499">
                <c:v>0</c:v>
              </c:pt>
              <c:pt idx="1500">
                <c:v>0</c:v>
              </c:pt>
              <c:pt idx="1501">
                <c:v>4.114001876082679</c:v>
              </c:pt>
              <c:pt idx="1502">
                <c:v>4.114001876082679</c:v>
              </c:pt>
              <c:pt idx="1503">
                <c:v>0</c:v>
              </c:pt>
              <c:pt idx="1504">
                <c:v>0</c:v>
              </c:pt>
              <c:pt idx="1505">
                <c:v>4.114001876082679</c:v>
              </c:pt>
              <c:pt idx="1506">
                <c:v>4.114001876082679</c:v>
              </c:pt>
              <c:pt idx="1507">
                <c:v>0</c:v>
              </c:pt>
              <c:pt idx="1508">
                <c:v>0</c:v>
              </c:pt>
              <c:pt idx="1509">
                <c:v>4.114001876082679</c:v>
              </c:pt>
              <c:pt idx="1510">
                <c:v>4.114001876082679</c:v>
              </c:pt>
              <c:pt idx="1511">
                <c:v>0</c:v>
              </c:pt>
              <c:pt idx="1512">
                <c:v>0</c:v>
              </c:pt>
              <c:pt idx="1513">
                <c:v>4.114001876082679</c:v>
              </c:pt>
              <c:pt idx="1514">
                <c:v>4.114001876082679</c:v>
              </c:pt>
              <c:pt idx="1515">
                <c:v>0</c:v>
              </c:pt>
              <c:pt idx="1516">
                <c:v>0</c:v>
              </c:pt>
              <c:pt idx="1517">
                <c:v>4.114001876082679</c:v>
              </c:pt>
              <c:pt idx="1518">
                <c:v>4.114001876082679</c:v>
              </c:pt>
              <c:pt idx="1519">
                <c:v>0</c:v>
              </c:pt>
              <c:pt idx="1520">
                <c:v>0</c:v>
              </c:pt>
              <c:pt idx="1521">
                <c:v>4.114001876082679</c:v>
              </c:pt>
              <c:pt idx="1522">
                <c:v>4.114001876082679</c:v>
              </c:pt>
              <c:pt idx="1523">
                <c:v>0</c:v>
              </c:pt>
              <c:pt idx="1524">
                <c:v>0</c:v>
              </c:pt>
              <c:pt idx="1525">
                <c:v>4.114001876082679</c:v>
              </c:pt>
              <c:pt idx="1526">
                <c:v>4.114001876082679</c:v>
              </c:pt>
              <c:pt idx="1527">
                <c:v>0</c:v>
              </c:pt>
              <c:pt idx="1528">
                <c:v>0</c:v>
              </c:pt>
              <c:pt idx="1529">
                <c:v>4.114001876082679</c:v>
              </c:pt>
              <c:pt idx="1530">
                <c:v>4.114001876082679</c:v>
              </c:pt>
              <c:pt idx="1531">
                <c:v>0</c:v>
              </c:pt>
              <c:pt idx="1532">
                <c:v>0</c:v>
              </c:pt>
              <c:pt idx="1533">
                <c:v>4.114001876082679</c:v>
              </c:pt>
              <c:pt idx="1534">
                <c:v>4.114001876082679</c:v>
              </c:pt>
              <c:pt idx="1535">
                <c:v>0</c:v>
              </c:pt>
              <c:pt idx="1536">
                <c:v>0</c:v>
              </c:pt>
              <c:pt idx="1537">
                <c:v>4.114001876082679</c:v>
              </c:pt>
              <c:pt idx="1538">
                <c:v>4.114001876082679</c:v>
              </c:pt>
              <c:pt idx="1539">
                <c:v>0</c:v>
              </c:pt>
              <c:pt idx="1540">
                <c:v>0</c:v>
              </c:pt>
              <c:pt idx="1541">
                <c:v>4.114001876082679</c:v>
              </c:pt>
              <c:pt idx="1542">
                <c:v>4.114001876082679</c:v>
              </c:pt>
              <c:pt idx="1543">
                <c:v>0</c:v>
              </c:pt>
              <c:pt idx="1544">
                <c:v>0</c:v>
              </c:pt>
              <c:pt idx="1545">
                <c:v>4.114001876082679</c:v>
              </c:pt>
              <c:pt idx="1546">
                <c:v>4.114001876082679</c:v>
              </c:pt>
              <c:pt idx="1547">
                <c:v>0</c:v>
              </c:pt>
              <c:pt idx="1548">
                <c:v>0</c:v>
              </c:pt>
              <c:pt idx="1549">
                <c:v>4.114001876082679</c:v>
              </c:pt>
              <c:pt idx="1550">
                <c:v>4.114001876082679</c:v>
              </c:pt>
              <c:pt idx="1551">
                <c:v>0</c:v>
              </c:pt>
              <c:pt idx="1552">
                <c:v>0</c:v>
              </c:pt>
              <c:pt idx="1553">
                <c:v>4.114001876082679</c:v>
              </c:pt>
              <c:pt idx="1554">
                <c:v>4.114001876082679</c:v>
              </c:pt>
              <c:pt idx="1555">
                <c:v>0</c:v>
              </c:pt>
              <c:pt idx="1556">
                <c:v>0</c:v>
              </c:pt>
              <c:pt idx="1557">
                <c:v>4.114001876082679</c:v>
              </c:pt>
              <c:pt idx="1558">
                <c:v>4.114001876082679</c:v>
              </c:pt>
              <c:pt idx="1559">
                <c:v>0</c:v>
              </c:pt>
              <c:pt idx="1560">
                <c:v>0</c:v>
              </c:pt>
              <c:pt idx="1561">
                <c:v>4.114001876082679</c:v>
              </c:pt>
              <c:pt idx="1562">
                <c:v>4.114001876082679</c:v>
              </c:pt>
              <c:pt idx="1563">
                <c:v>0</c:v>
              </c:pt>
              <c:pt idx="1564">
                <c:v>0</c:v>
              </c:pt>
              <c:pt idx="1565">
                <c:v>4.114001876082679</c:v>
              </c:pt>
              <c:pt idx="1566">
                <c:v>4.114001876082679</c:v>
              </c:pt>
              <c:pt idx="1567">
                <c:v>0</c:v>
              </c:pt>
              <c:pt idx="1568">
                <c:v>0</c:v>
              </c:pt>
              <c:pt idx="1569">
                <c:v>4.114001876082679</c:v>
              </c:pt>
              <c:pt idx="1570">
                <c:v>4.114001876082679</c:v>
              </c:pt>
              <c:pt idx="1571">
                <c:v>0</c:v>
              </c:pt>
              <c:pt idx="1572">
                <c:v>0</c:v>
              </c:pt>
              <c:pt idx="1573">
                <c:v>4.114001876082679</c:v>
              </c:pt>
              <c:pt idx="1574">
                <c:v>4.114001876082679</c:v>
              </c:pt>
              <c:pt idx="1575">
                <c:v>0</c:v>
              </c:pt>
              <c:pt idx="1576">
                <c:v>0</c:v>
              </c:pt>
              <c:pt idx="1577">
                <c:v>4.114001876082679</c:v>
              </c:pt>
              <c:pt idx="1578">
                <c:v>4.114001876082679</c:v>
              </c:pt>
              <c:pt idx="1579">
                <c:v>0</c:v>
              </c:pt>
              <c:pt idx="1580">
                <c:v>0</c:v>
              </c:pt>
              <c:pt idx="1581">
                <c:v>4.114001876082679</c:v>
              </c:pt>
              <c:pt idx="1582">
                <c:v>4.114001876082679</c:v>
              </c:pt>
              <c:pt idx="1583">
                <c:v>0</c:v>
              </c:pt>
              <c:pt idx="1584">
                <c:v>0</c:v>
              </c:pt>
              <c:pt idx="1585">
                <c:v>4.114001876082679</c:v>
              </c:pt>
              <c:pt idx="1586">
                <c:v>4.114001876082679</c:v>
              </c:pt>
              <c:pt idx="1587">
                <c:v>0</c:v>
              </c:pt>
              <c:pt idx="1588">
                <c:v>0</c:v>
              </c:pt>
              <c:pt idx="1589">
                <c:v>4.114001876082679</c:v>
              </c:pt>
              <c:pt idx="1590">
                <c:v>4.114001876082679</c:v>
              </c:pt>
              <c:pt idx="1591">
                <c:v>0</c:v>
              </c:pt>
              <c:pt idx="1592">
                <c:v>0</c:v>
              </c:pt>
              <c:pt idx="1593">
                <c:v>4.114001876082679</c:v>
              </c:pt>
              <c:pt idx="1594">
                <c:v>4.114001876082679</c:v>
              </c:pt>
              <c:pt idx="1595">
                <c:v>0</c:v>
              </c:pt>
              <c:pt idx="1596">
                <c:v>0</c:v>
              </c:pt>
              <c:pt idx="1597">
                <c:v>4.114001876082679</c:v>
              </c:pt>
              <c:pt idx="1598">
                <c:v>4.114001876082679</c:v>
              </c:pt>
              <c:pt idx="1599">
                <c:v>0</c:v>
              </c:pt>
              <c:pt idx="1600">
                <c:v>0</c:v>
              </c:pt>
              <c:pt idx="1601">
                <c:v>4.114001876082679</c:v>
              </c:pt>
              <c:pt idx="1602">
                <c:v>4.114001876082679</c:v>
              </c:pt>
              <c:pt idx="1603">
                <c:v>0</c:v>
              </c:pt>
              <c:pt idx="1604">
                <c:v>0</c:v>
              </c:pt>
              <c:pt idx="1605">
                <c:v>4.114001876082679</c:v>
              </c:pt>
              <c:pt idx="1606">
                <c:v>4.114001876082679</c:v>
              </c:pt>
              <c:pt idx="1607">
                <c:v>0</c:v>
              </c:pt>
              <c:pt idx="1608">
                <c:v>0</c:v>
              </c:pt>
              <c:pt idx="1609">
                <c:v>4.114001876082679</c:v>
              </c:pt>
              <c:pt idx="1610">
                <c:v>4.114001876082679</c:v>
              </c:pt>
              <c:pt idx="1611">
                <c:v>0</c:v>
              </c:pt>
              <c:pt idx="1612">
                <c:v>0</c:v>
              </c:pt>
              <c:pt idx="1613">
                <c:v>4.114001876082679</c:v>
              </c:pt>
              <c:pt idx="1614">
                <c:v>4.114001876082679</c:v>
              </c:pt>
              <c:pt idx="1615">
                <c:v>0</c:v>
              </c:pt>
              <c:pt idx="1616">
                <c:v>0</c:v>
              </c:pt>
              <c:pt idx="1617">
                <c:v>4.114001876082679</c:v>
              </c:pt>
              <c:pt idx="1618">
                <c:v>4.114001876082679</c:v>
              </c:pt>
              <c:pt idx="1619">
                <c:v>0</c:v>
              </c:pt>
              <c:pt idx="1620">
                <c:v>0</c:v>
              </c:pt>
              <c:pt idx="1621">
                <c:v>4.114001876082679</c:v>
              </c:pt>
              <c:pt idx="1622">
                <c:v>4.114001876082679</c:v>
              </c:pt>
              <c:pt idx="1623">
                <c:v>0</c:v>
              </c:pt>
              <c:pt idx="1624">
                <c:v>4.114001876082679</c:v>
              </c:pt>
              <c:pt idx="1625">
                <c:v>0</c:v>
              </c:pt>
              <c:pt idx="1628">
                <c:v>0</c:v>
              </c:pt>
              <c:pt idx="1629">
                <c:v>3.860455040777385</c:v>
              </c:pt>
              <c:pt idx="1630">
                <c:v>3.860455040777385</c:v>
              </c:pt>
              <c:pt idx="1631">
                <c:v>0</c:v>
              </c:pt>
              <c:pt idx="1632">
                <c:v>0</c:v>
              </c:pt>
              <c:pt idx="1633">
                <c:v>3.860455040777385</c:v>
              </c:pt>
              <c:pt idx="1634">
                <c:v>3.860455040777385</c:v>
              </c:pt>
              <c:pt idx="1635">
                <c:v>0</c:v>
              </c:pt>
              <c:pt idx="1636">
                <c:v>0</c:v>
              </c:pt>
              <c:pt idx="1637">
                <c:v>3.860455040777385</c:v>
              </c:pt>
              <c:pt idx="1638">
                <c:v>3.860455040777385</c:v>
              </c:pt>
              <c:pt idx="1639">
                <c:v>0</c:v>
              </c:pt>
              <c:pt idx="1640">
                <c:v>0</c:v>
              </c:pt>
              <c:pt idx="1641">
                <c:v>3.860455040777385</c:v>
              </c:pt>
              <c:pt idx="1642">
                <c:v>3.860455040777385</c:v>
              </c:pt>
              <c:pt idx="1643">
                <c:v>0</c:v>
              </c:pt>
              <c:pt idx="1644">
                <c:v>0</c:v>
              </c:pt>
              <c:pt idx="1645">
                <c:v>3.860455040777385</c:v>
              </c:pt>
              <c:pt idx="1646">
                <c:v>3.860455040777385</c:v>
              </c:pt>
              <c:pt idx="1647">
                <c:v>0</c:v>
              </c:pt>
              <c:pt idx="1648">
                <c:v>0</c:v>
              </c:pt>
              <c:pt idx="1649">
                <c:v>3.860455040777385</c:v>
              </c:pt>
              <c:pt idx="1650">
                <c:v>3.860455040777385</c:v>
              </c:pt>
              <c:pt idx="1651">
                <c:v>0</c:v>
              </c:pt>
              <c:pt idx="1652">
                <c:v>0</c:v>
              </c:pt>
              <c:pt idx="1653">
                <c:v>3.860455040777385</c:v>
              </c:pt>
              <c:pt idx="1654">
                <c:v>3.860455040777385</c:v>
              </c:pt>
              <c:pt idx="1655">
                <c:v>0</c:v>
              </c:pt>
              <c:pt idx="1656">
                <c:v>0</c:v>
              </c:pt>
              <c:pt idx="1657">
                <c:v>3.860455040777385</c:v>
              </c:pt>
              <c:pt idx="1658">
                <c:v>3.860455040777385</c:v>
              </c:pt>
              <c:pt idx="1659">
                <c:v>0</c:v>
              </c:pt>
              <c:pt idx="1660">
                <c:v>0</c:v>
              </c:pt>
              <c:pt idx="1661">
                <c:v>3.860455040777385</c:v>
              </c:pt>
              <c:pt idx="1662">
                <c:v>3.860455040777385</c:v>
              </c:pt>
              <c:pt idx="1663">
                <c:v>0</c:v>
              </c:pt>
              <c:pt idx="1664">
                <c:v>0</c:v>
              </c:pt>
              <c:pt idx="1665">
                <c:v>3.860455040777385</c:v>
              </c:pt>
              <c:pt idx="1666">
                <c:v>3.860455040777385</c:v>
              </c:pt>
              <c:pt idx="1667">
                <c:v>0</c:v>
              </c:pt>
              <c:pt idx="1668">
                <c:v>0</c:v>
              </c:pt>
              <c:pt idx="1669">
                <c:v>3.860455040777385</c:v>
              </c:pt>
              <c:pt idx="1670">
                <c:v>3.860455040777385</c:v>
              </c:pt>
              <c:pt idx="1671">
                <c:v>0</c:v>
              </c:pt>
              <c:pt idx="1672">
                <c:v>0</c:v>
              </c:pt>
              <c:pt idx="1673">
                <c:v>3.860455040777385</c:v>
              </c:pt>
              <c:pt idx="1674">
                <c:v>3.860455040777385</c:v>
              </c:pt>
              <c:pt idx="1675">
                <c:v>0</c:v>
              </c:pt>
              <c:pt idx="1676">
                <c:v>0</c:v>
              </c:pt>
              <c:pt idx="1677">
                <c:v>3.860455040777385</c:v>
              </c:pt>
              <c:pt idx="1678">
                <c:v>3.860455040777385</c:v>
              </c:pt>
              <c:pt idx="1679">
                <c:v>0</c:v>
              </c:pt>
              <c:pt idx="1680">
                <c:v>0</c:v>
              </c:pt>
              <c:pt idx="1681">
                <c:v>3.860455040777385</c:v>
              </c:pt>
              <c:pt idx="1682">
                <c:v>3.860455040777385</c:v>
              </c:pt>
              <c:pt idx="1683">
                <c:v>0</c:v>
              </c:pt>
              <c:pt idx="1684">
                <c:v>0</c:v>
              </c:pt>
              <c:pt idx="1685">
                <c:v>3.860455040777385</c:v>
              </c:pt>
              <c:pt idx="1686">
                <c:v>3.860455040777385</c:v>
              </c:pt>
              <c:pt idx="1687">
                <c:v>0</c:v>
              </c:pt>
              <c:pt idx="1688">
                <c:v>0</c:v>
              </c:pt>
              <c:pt idx="1689">
                <c:v>3.860455040777385</c:v>
              </c:pt>
              <c:pt idx="1690">
                <c:v>3.860455040777385</c:v>
              </c:pt>
              <c:pt idx="1691">
                <c:v>0</c:v>
              </c:pt>
              <c:pt idx="1692">
                <c:v>0</c:v>
              </c:pt>
              <c:pt idx="1693">
                <c:v>3.860455040777385</c:v>
              </c:pt>
              <c:pt idx="1694">
                <c:v>3.860455040777385</c:v>
              </c:pt>
              <c:pt idx="1695">
                <c:v>0</c:v>
              </c:pt>
              <c:pt idx="1696">
                <c:v>0</c:v>
              </c:pt>
              <c:pt idx="1697">
                <c:v>3.860455040777385</c:v>
              </c:pt>
              <c:pt idx="1698">
                <c:v>3.860455040777385</c:v>
              </c:pt>
              <c:pt idx="1699">
                <c:v>0</c:v>
              </c:pt>
              <c:pt idx="1700">
                <c:v>0</c:v>
              </c:pt>
              <c:pt idx="1701">
                <c:v>3.860455040777385</c:v>
              </c:pt>
              <c:pt idx="1702">
                <c:v>3.860455040777385</c:v>
              </c:pt>
              <c:pt idx="1703">
                <c:v>0</c:v>
              </c:pt>
              <c:pt idx="1704">
                <c:v>0</c:v>
              </c:pt>
              <c:pt idx="1705">
                <c:v>3.860455040777385</c:v>
              </c:pt>
              <c:pt idx="1706">
                <c:v>3.860455040777385</c:v>
              </c:pt>
              <c:pt idx="1707">
                <c:v>0</c:v>
              </c:pt>
              <c:pt idx="1708">
                <c:v>0</c:v>
              </c:pt>
              <c:pt idx="1709">
                <c:v>3.860455040777385</c:v>
              </c:pt>
              <c:pt idx="1710">
                <c:v>3.860455040777385</c:v>
              </c:pt>
              <c:pt idx="1711">
                <c:v>0</c:v>
              </c:pt>
              <c:pt idx="1712">
                <c:v>0</c:v>
              </c:pt>
              <c:pt idx="1713">
                <c:v>3.860455040777385</c:v>
              </c:pt>
              <c:pt idx="1714">
                <c:v>3.860455040777385</c:v>
              </c:pt>
              <c:pt idx="1715">
                <c:v>0</c:v>
              </c:pt>
              <c:pt idx="1716">
                <c:v>0</c:v>
              </c:pt>
              <c:pt idx="1717">
                <c:v>3.860455040777385</c:v>
              </c:pt>
              <c:pt idx="1718">
                <c:v>3.860455040777385</c:v>
              </c:pt>
              <c:pt idx="1719">
                <c:v>0</c:v>
              </c:pt>
              <c:pt idx="1720">
                <c:v>0</c:v>
              </c:pt>
              <c:pt idx="1721">
                <c:v>3.860455040777385</c:v>
              </c:pt>
              <c:pt idx="1722">
                <c:v>3.860455040777385</c:v>
              </c:pt>
              <c:pt idx="1723">
                <c:v>0</c:v>
              </c:pt>
              <c:pt idx="1724">
                <c:v>0</c:v>
              </c:pt>
              <c:pt idx="1725">
                <c:v>3.860455040777385</c:v>
              </c:pt>
              <c:pt idx="1726">
                <c:v>3.860455040777385</c:v>
              </c:pt>
              <c:pt idx="1727">
                <c:v>0</c:v>
              </c:pt>
              <c:pt idx="1728">
                <c:v>0</c:v>
              </c:pt>
              <c:pt idx="1729">
                <c:v>3.860455040777385</c:v>
              </c:pt>
              <c:pt idx="1730">
                <c:v>3.860455040777385</c:v>
              </c:pt>
              <c:pt idx="1731">
                <c:v>0</c:v>
              </c:pt>
              <c:pt idx="1732">
                <c:v>0</c:v>
              </c:pt>
              <c:pt idx="1733">
                <c:v>3.860455040777385</c:v>
              </c:pt>
              <c:pt idx="1734">
                <c:v>3.860455040777385</c:v>
              </c:pt>
              <c:pt idx="1735">
                <c:v>0</c:v>
              </c:pt>
              <c:pt idx="1736">
                <c:v>0</c:v>
              </c:pt>
              <c:pt idx="1737">
                <c:v>3.860455040777385</c:v>
              </c:pt>
              <c:pt idx="1738">
                <c:v>3.860455040777385</c:v>
              </c:pt>
              <c:pt idx="1739">
                <c:v>0</c:v>
              </c:pt>
              <c:pt idx="1740">
                <c:v>0</c:v>
              </c:pt>
              <c:pt idx="1741">
                <c:v>3.860455040777385</c:v>
              </c:pt>
              <c:pt idx="1742">
                <c:v>3.860455040777385</c:v>
              </c:pt>
              <c:pt idx="1743">
                <c:v>0</c:v>
              </c:pt>
              <c:pt idx="1744">
                <c:v>0</c:v>
              </c:pt>
              <c:pt idx="1745">
                <c:v>3.860455040777385</c:v>
              </c:pt>
              <c:pt idx="1746">
                <c:v>3.860455040777385</c:v>
              </c:pt>
              <c:pt idx="1747">
                <c:v>0</c:v>
              </c:pt>
              <c:pt idx="1748">
                <c:v>0</c:v>
              </c:pt>
              <c:pt idx="1749">
                <c:v>3.860455040777385</c:v>
              </c:pt>
              <c:pt idx="1750">
                <c:v>3.860455040777385</c:v>
              </c:pt>
              <c:pt idx="1751">
                <c:v>0</c:v>
              </c:pt>
              <c:pt idx="1752">
                <c:v>0</c:v>
              </c:pt>
              <c:pt idx="1753">
                <c:v>3.860455040777385</c:v>
              </c:pt>
              <c:pt idx="1754">
                <c:v>3.860455040777385</c:v>
              </c:pt>
              <c:pt idx="1755">
                <c:v>0</c:v>
              </c:pt>
              <c:pt idx="1756">
                <c:v>0</c:v>
              </c:pt>
              <c:pt idx="1757">
                <c:v>3.860455040777385</c:v>
              </c:pt>
              <c:pt idx="1758">
                <c:v>3.860455040777385</c:v>
              </c:pt>
              <c:pt idx="1759">
                <c:v>0</c:v>
              </c:pt>
              <c:pt idx="1760">
                <c:v>0</c:v>
              </c:pt>
              <c:pt idx="1761">
                <c:v>3.860455040777385</c:v>
              </c:pt>
              <c:pt idx="1762">
                <c:v>3.860455040777385</c:v>
              </c:pt>
              <c:pt idx="1763">
                <c:v>0</c:v>
              </c:pt>
              <c:pt idx="1764">
                <c:v>0</c:v>
              </c:pt>
              <c:pt idx="1765">
                <c:v>3.860455040777385</c:v>
              </c:pt>
              <c:pt idx="1766">
                <c:v>3.860455040777385</c:v>
              </c:pt>
              <c:pt idx="1767">
                <c:v>0</c:v>
              </c:pt>
              <c:pt idx="1768">
                <c:v>0</c:v>
              </c:pt>
              <c:pt idx="1769">
                <c:v>3.860455040777385</c:v>
              </c:pt>
              <c:pt idx="1770">
                <c:v>3.860455040777385</c:v>
              </c:pt>
              <c:pt idx="1771">
                <c:v>0</c:v>
              </c:pt>
              <c:pt idx="1772">
                <c:v>3.860455040777385</c:v>
              </c:pt>
              <c:pt idx="1773">
                <c:v>0</c:v>
              </c:pt>
              <c:pt idx="1776">
                <c:v>0</c:v>
              </c:pt>
              <c:pt idx="1777">
                <c:v>2.8871623504119</c:v>
              </c:pt>
              <c:pt idx="1778">
                <c:v>2.8871623504119</c:v>
              </c:pt>
              <c:pt idx="1779">
                <c:v>0</c:v>
              </c:pt>
              <c:pt idx="1780">
                <c:v>0</c:v>
              </c:pt>
              <c:pt idx="1781">
                <c:v>2.8871623504119</c:v>
              </c:pt>
              <c:pt idx="1782">
                <c:v>2.8871623504119</c:v>
              </c:pt>
              <c:pt idx="1783">
                <c:v>0</c:v>
              </c:pt>
              <c:pt idx="1784">
                <c:v>0</c:v>
              </c:pt>
              <c:pt idx="1785">
                <c:v>2.8871623504119</c:v>
              </c:pt>
              <c:pt idx="1786">
                <c:v>2.8871623504119</c:v>
              </c:pt>
              <c:pt idx="1787">
                <c:v>0</c:v>
              </c:pt>
              <c:pt idx="1788">
                <c:v>0</c:v>
              </c:pt>
              <c:pt idx="1789">
                <c:v>2.8871623504119</c:v>
              </c:pt>
              <c:pt idx="1790">
                <c:v>2.8871623504119</c:v>
              </c:pt>
              <c:pt idx="1791">
                <c:v>0</c:v>
              </c:pt>
              <c:pt idx="1792">
                <c:v>0</c:v>
              </c:pt>
              <c:pt idx="1793">
                <c:v>2.8871623504119</c:v>
              </c:pt>
              <c:pt idx="1794">
                <c:v>2.8871623504119</c:v>
              </c:pt>
              <c:pt idx="1795">
                <c:v>0</c:v>
              </c:pt>
              <c:pt idx="1796">
                <c:v>0</c:v>
              </c:pt>
              <c:pt idx="1797">
                <c:v>2.8871623504119</c:v>
              </c:pt>
              <c:pt idx="1798">
                <c:v>2.8871623504119</c:v>
              </c:pt>
              <c:pt idx="1799">
                <c:v>0</c:v>
              </c:pt>
              <c:pt idx="1800">
                <c:v>0</c:v>
              </c:pt>
              <c:pt idx="1801">
                <c:v>2.8871623504119</c:v>
              </c:pt>
              <c:pt idx="1802">
                <c:v>2.8871623504119</c:v>
              </c:pt>
              <c:pt idx="1803">
                <c:v>0</c:v>
              </c:pt>
              <c:pt idx="1804">
                <c:v>0</c:v>
              </c:pt>
              <c:pt idx="1805">
                <c:v>2.8871623504119</c:v>
              </c:pt>
              <c:pt idx="1806">
                <c:v>2.8871623504119</c:v>
              </c:pt>
              <c:pt idx="1807">
                <c:v>0</c:v>
              </c:pt>
              <c:pt idx="1808">
                <c:v>0</c:v>
              </c:pt>
              <c:pt idx="1809">
                <c:v>2.8871623504119</c:v>
              </c:pt>
              <c:pt idx="1810">
                <c:v>2.8871623504119</c:v>
              </c:pt>
              <c:pt idx="1811">
                <c:v>0</c:v>
              </c:pt>
              <c:pt idx="1812">
                <c:v>0</c:v>
              </c:pt>
              <c:pt idx="1813">
                <c:v>2.8871623504119</c:v>
              </c:pt>
              <c:pt idx="1814">
                <c:v>2.8871623504119</c:v>
              </c:pt>
              <c:pt idx="1815">
                <c:v>0</c:v>
              </c:pt>
              <c:pt idx="1816">
                <c:v>0</c:v>
              </c:pt>
              <c:pt idx="1817">
                <c:v>2.8871623504119</c:v>
              </c:pt>
              <c:pt idx="1818">
                <c:v>2.8871623504119</c:v>
              </c:pt>
              <c:pt idx="1819">
                <c:v>0</c:v>
              </c:pt>
              <c:pt idx="1820">
                <c:v>0</c:v>
              </c:pt>
              <c:pt idx="1821">
                <c:v>2.8871623504119</c:v>
              </c:pt>
              <c:pt idx="1822">
                <c:v>2.8871623504119</c:v>
              </c:pt>
              <c:pt idx="1823">
                <c:v>0</c:v>
              </c:pt>
              <c:pt idx="1824">
                <c:v>0</c:v>
              </c:pt>
              <c:pt idx="1825">
                <c:v>2.8871623504119</c:v>
              </c:pt>
              <c:pt idx="1826">
                <c:v>2.8871623504119</c:v>
              </c:pt>
              <c:pt idx="1827">
                <c:v>0</c:v>
              </c:pt>
              <c:pt idx="1828">
                <c:v>0</c:v>
              </c:pt>
              <c:pt idx="1829">
                <c:v>2.8871623504119</c:v>
              </c:pt>
              <c:pt idx="1830">
                <c:v>2.8871623504119</c:v>
              </c:pt>
              <c:pt idx="1831">
                <c:v>0</c:v>
              </c:pt>
              <c:pt idx="1832">
                <c:v>0</c:v>
              </c:pt>
              <c:pt idx="1833">
                <c:v>2.8871623504119</c:v>
              </c:pt>
              <c:pt idx="1834">
                <c:v>2.8871623504119</c:v>
              </c:pt>
              <c:pt idx="1835">
                <c:v>0</c:v>
              </c:pt>
              <c:pt idx="1836">
                <c:v>0</c:v>
              </c:pt>
              <c:pt idx="1837">
                <c:v>2.8871623504119</c:v>
              </c:pt>
              <c:pt idx="1838">
                <c:v>2.8871623504119</c:v>
              </c:pt>
              <c:pt idx="1839">
                <c:v>0</c:v>
              </c:pt>
              <c:pt idx="1840">
                <c:v>0</c:v>
              </c:pt>
              <c:pt idx="1841">
                <c:v>2.8871623504119</c:v>
              </c:pt>
              <c:pt idx="1842">
                <c:v>2.8871623504119</c:v>
              </c:pt>
              <c:pt idx="1843">
                <c:v>0</c:v>
              </c:pt>
              <c:pt idx="1844">
                <c:v>0</c:v>
              </c:pt>
              <c:pt idx="1845">
                <c:v>2.8871623504119</c:v>
              </c:pt>
              <c:pt idx="1846">
                <c:v>2.8871623504119</c:v>
              </c:pt>
              <c:pt idx="1847">
                <c:v>0</c:v>
              </c:pt>
              <c:pt idx="1848">
                <c:v>0</c:v>
              </c:pt>
              <c:pt idx="1849">
                <c:v>2.8871623504119</c:v>
              </c:pt>
              <c:pt idx="1850">
                <c:v>2.8871623504119</c:v>
              </c:pt>
              <c:pt idx="1851">
                <c:v>0</c:v>
              </c:pt>
              <c:pt idx="1852">
                <c:v>0</c:v>
              </c:pt>
              <c:pt idx="1853">
                <c:v>2.8871623504119</c:v>
              </c:pt>
              <c:pt idx="1854">
                <c:v>2.8871623504119</c:v>
              </c:pt>
              <c:pt idx="1855">
                <c:v>0</c:v>
              </c:pt>
              <c:pt idx="1856">
                <c:v>0</c:v>
              </c:pt>
              <c:pt idx="1857">
                <c:v>2.8871623504119</c:v>
              </c:pt>
              <c:pt idx="1858">
                <c:v>2.8871623504119</c:v>
              </c:pt>
              <c:pt idx="1859">
                <c:v>0</c:v>
              </c:pt>
              <c:pt idx="1860">
                <c:v>0</c:v>
              </c:pt>
              <c:pt idx="1861">
                <c:v>2.8871623504119</c:v>
              </c:pt>
              <c:pt idx="1862">
                <c:v>2.8871623504119</c:v>
              </c:pt>
              <c:pt idx="1863">
                <c:v>0</c:v>
              </c:pt>
              <c:pt idx="1864">
                <c:v>0</c:v>
              </c:pt>
              <c:pt idx="1865">
                <c:v>2.8871623504119</c:v>
              </c:pt>
              <c:pt idx="1866">
                <c:v>2.8871623504119</c:v>
              </c:pt>
              <c:pt idx="1867">
                <c:v>0</c:v>
              </c:pt>
              <c:pt idx="1868">
                <c:v>0</c:v>
              </c:pt>
              <c:pt idx="1869">
                <c:v>2.8871623504119</c:v>
              </c:pt>
              <c:pt idx="1870">
                <c:v>2.8871623504119</c:v>
              </c:pt>
              <c:pt idx="1871">
                <c:v>0</c:v>
              </c:pt>
              <c:pt idx="1872">
                <c:v>0</c:v>
              </c:pt>
              <c:pt idx="1873">
                <c:v>2.8871623504119</c:v>
              </c:pt>
              <c:pt idx="1874">
                <c:v>2.8871623504119</c:v>
              </c:pt>
              <c:pt idx="1875">
                <c:v>0</c:v>
              </c:pt>
              <c:pt idx="1876">
                <c:v>0</c:v>
              </c:pt>
              <c:pt idx="1877">
                <c:v>2.8871623504119</c:v>
              </c:pt>
              <c:pt idx="1878">
                <c:v>2.8871623504119</c:v>
              </c:pt>
              <c:pt idx="1879">
                <c:v>0</c:v>
              </c:pt>
              <c:pt idx="1880">
                <c:v>0</c:v>
              </c:pt>
              <c:pt idx="1881">
                <c:v>2.8871623504119</c:v>
              </c:pt>
              <c:pt idx="1882">
                <c:v>2.8871623504119</c:v>
              </c:pt>
              <c:pt idx="1883">
                <c:v>0</c:v>
              </c:pt>
              <c:pt idx="1884">
                <c:v>0</c:v>
              </c:pt>
              <c:pt idx="1885">
                <c:v>2.8871623504119</c:v>
              </c:pt>
              <c:pt idx="1886">
                <c:v>2.8871623504119</c:v>
              </c:pt>
              <c:pt idx="1887">
                <c:v>0</c:v>
              </c:pt>
              <c:pt idx="1888">
                <c:v>0</c:v>
              </c:pt>
              <c:pt idx="1889">
                <c:v>2.8871623504119</c:v>
              </c:pt>
              <c:pt idx="1890">
                <c:v>2.8871623504119</c:v>
              </c:pt>
              <c:pt idx="1891">
                <c:v>0</c:v>
              </c:pt>
              <c:pt idx="1892">
                <c:v>0</c:v>
              </c:pt>
              <c:pt idx="1893">
                <c:v>2.8871623504119</c:v>
              </c:pt>
              <c:pt idx="1894">
                <c:v>2.8871623504119</c:v>
              </c:pt>
              <c:pt idx="1895">
                <c:v>0</c:v>
              </c:pt>
              <c:pt idx="1896">
                <c:v>0</c:v>
              </c:pt>
              <c:pt idx="1897">
                <c:v>2.8871623504119</c:v>
              </c:pt>
              <c:pt idx="1898">
                <c:v>2.8871623504119</c:v>
              </c:pt>
              <c:pt idx="1899">
                <c:v>0</c:v>
              </c:pt>
              <c:pt idx="1900">
                <c:v>0</c:v>
              </c:pt>
              <c:pt idx="1901">
                <c:v>2.8871623504119</c:v>
              </c:pt>
              <c:pt idx="1902">
                <c:v>2.8871623504119</c:v>
              </c:pt>
              <c:pt idx="1903">
                <c:v>0</c:v>
              </c:pt>
              <c:pt idx="1904">
                <c:v>0</c:v>
              </c:pt>
              <c:pt idx="1905">
                <c:v>2.8871623504119</c:v>
              </c:pt>
              <c:pt idx="1906">
                <c:v>2.8871623504119</c:v>
              </c:pt>
              <c:pt idx="1907">
                <c:v>0</c:v>
              </c:pt>
              <c:pt idx="1908">
                <c:v>0</c:v>
              </c:pt>
              <c:pt idx="1909">
                <c:v>2.8871623504119</c:v>
              </c:pt>
              <c:pt idx="1910">
                <c:v>2.8871623504119</c:v>
              </c:pt>
              <c:pt idx="1911">
                <c:v>0</c:v>
              </c:pt>
              <c:pt idx="1912">
                <c:v>0</c:v>
              </c:pt>
              <c:pt idx="1913">
                <c:v>2.8871623504119</c:v>
              </c:pt>
              <c:pt idx="1914">
                <c:v>2.8871623504119</c:v>
              </c:pt>
              <c:pt idx="1915">
                <c:v>0</c:v>
              </c:pt>
              <c:pt idx="1916">
                <c:v>0</c:v>
              </c:pt>
              <c:pt idx="1917">
                <c:v>2.8871623504119</c:v>
              </c:pt>
              <c:pt idx="1918">
                <c:v>2.8871623504119</c:v>
              </c:pt>
              <c:pt idx="1919">
                <c:v>0</c:v>
              </c:pt>
              <c:pt idx="1920">
                <c:v>2.8871623504119</c:v>
              </c:pt>
              <c:pt idx="1921">
                <c:v>0</c:v>
              </c:pt>
              <c:pt idx="1924">
                <c:v>0</c:v>
              </c:pt>
              <c:pt idx="1925">
                <c:v>1.922048590217554</c:v>
              </c:pt>
              <c:pt idx="1926">
                <c:v>1.922048590217554</c:v>
              </c:pt>
              <c:pt idx="1927">
                <c:v>0</c:v>
              </c:pt>
              <c:pt idx="1928">
                <c:v>0</c:v>
              </c:pt>
              <c:pt idx="1929">
                <c:v>1.922048590217554</c:v>
              </c:pt>
              <c:pt idx="1930">
                <c:v>1.922048590217554</c:v>
              </c:pt>
              <c:pt idx="1931">
                <c:v>0</c:v>
              </c:pt>
              <c:pt idx="1932">
                <c:v>0</c:v>
              </c:pt>
              <c:pt idx="1933">
                <c:v>1.922048590217554</c:v>
              </c:pt>
              <c:pt idx="1934">
                <c:v>1.922048590217554</c:v>
              </c:pt>
              <c:pt idx="1935">
                <c:v>0</c:v>
              </c:pt>
              <c:pt idx="1936">
                <c:v>0</c:v>
              </c:pt>
              <c:pt idx="1937">
                <c:v>1.922048590217554</c:v>
              </c:pt>
              <c:pt idx="1938">
                <c:v>1.922048590217554</c:v>
              </c:pt>
              <c:pt idx="1939">
                <c:v>0</c:v>
              </c:pt>
              <c:pt idx="1940">
                <c:v>0</c:v>
              </c:pt>
              <c:pt idx="1941">
                <c:v>1.922048590217554</c:v>
              </c:pt>
              <c:pt idx="1942">
                <c:v>1.922048590217554</c:v>
              </c:pt>
              <c:pt idx="1943">
                <c:v>0</c:v>
              </c:pt>
              <c:pt idx="1944">
                <c:v>0</c:v>
              </c:pt>
              <c:pt idx="1945">
                <c:v>1.922048590217554</c:v>
              </c:pt>
              <c:pt idx="1946">
                <c:v>1.922048590217554</c:v>
              </c:pt>
              <c:pt idx="1947">
                <c:v>0</c:v>
              </c:pt>
              <c:pt idx="1948">
                <c:v>0</c:v>
              </c:pt>
              <c:pt idx="1949">
                <c:v>1.922048590217554</c:v>
              </c:pt>
              <c:pt idx="1950">
                <c:v>1.922048590217554</c:v>
              </c:pt>
              <c:pt idx="1951">
                <c:v>0</c:v>
              </c:pt>
              <c:pt idx="1952">
                <c:v>0</c:v>
              </c:pt>
              <c:pt idx="1953">
                <c:v>1.922048590217554</c:v>
              </c:pt>
              <c:pt idx="1954">
                <c:v>1.922048590217554</c:v>
              </c:pt>
              <c:pt idx="1955">
                <c:v>0</c:v>
              </c:pt>
              <c:pt idx="1956">
                <c:v>0</c:v>
              </c:pt>
              <c:pt idx="1957">
                <c:v>1.922048590217554</c:v>
              </c:pt>
              <c:pt idx="1958">
                <c:v>1.922048590217554</c:v>
              </c:pt>
              <c:pt idx="1959">
                <c:v>0</c:v>
              </c:pt>
              <c:pt idx="1960">
                <c:v>0</c:v>
              </c:pt>
              <c:pt idx="1961">
                <c:v>1.922048590217554</c:v>
              </c:pt>
              <c:pt idx="1962">
                <c:v>1.922048590217554</c:v>
              </c:pt>
              <c:pt idx="1963">
                <c:v>0</c:v>
              </c:pt>
              <c:pt idx="1964">
                <c:v>0</c:v>
              </c:pt>
              <c:pt idx="1965">
                <c:v>1.922048590217554</c:v>
              </c:pt>
              <c:pt idx="1966">
                <c:v>1.922048590217554</c:v>
              </c:pt>
              <c:pt idx="1967">
                <c:v>0</c:v>
              </c:pt>
              <c:pt idx="1968">
                <c:v>0</c:v>
              </c:pt>
              <c:pt idx="1969">
                <c:v>1.922048590217554</c:v>
              </c:pt>
              <c:pt idx="1970">
                <c:v>1.922048590217554</c:v>
              </c:pt>
              <c:pt idx="1971">
                <c:v>0</c:v>
              </c:pt>
              <c:pt idx="1972">
                <c:v>0</c:v>
              </c:pt>
              <c:pt idx="1973">
                <c:v>1.922048590217554</c:v>
              </c:pt>
              <c:pt idx="1974">
                <c:v>1.922048590217554</c:v>
              </c:pt>
              <c:pt idx="1975">
                <c:v>0</c:v>
              </c:pt>
              <c:pt idx="1976">
                <c:v>0</c:v>
              </c:pt>
              <c:pt idx="1977">
                <c:v>1.922048590217554</c:v>
              </c:pt>
              <c:pt idx="1978">
                <c:v>1.922048590217554</c:v>
              </c:pt>
              <c:pt idx="1979">
                <c:v>0</c:v>
              </c:pt>
              <c:pt idx="1980">
                <c:v>0</c:v>
              </c:pt>
              <c:pt idx="1981">
                <c:v>1.922048590217554</c:v>
              </c:pt>
              <c:pt idx="1982">
                <c:v>1.922048590217554</c:v>
              </c:pt>
              <c:pt idx="1983">
                <c:v>0</c:v>
              </c:pt>
              <c:pt idx="1984">
                <c:v>0</c:v>
              </c:pt>
              <c:pt idx="1985">
                <c:v>1.922048590217554</c:v>
              </c:pt>
              <c:pt idx="1986">
                <c:v>1.922048590217554</c:v>
              </c:pt>
              <c:pt idx="1987">
                <c:v>0</c:v>
              </c:pt>
              <c:pt idx="1988">
                <c:v>0</c:v>
              </c:pt>
              <c:pt idx="1989">
                <c:v>1.922048590217554</c:v>
              </c:pt>
              <c:pt idx="1990">
                <c:v>1.922048590217554</c:v>
              </c:pt>
              <c:pt idx="1991">
                <c:v>0</c:v>
              </c:pt>
              <c:pt idx="1992">
                <c:v>0</c:v>
              </c:pt>
              <c:pt idx="1993">
                <c:v>1.922048590217554</c:v>
              </c:pt>
              <c:pt idx="1994">
                <c:v>1.922048590217554</c:v>
              </c:pt>
              <c:pt idx="1995">
                <c:v>0</c:v>
              </c:pt>
              <c:pt idx="1996">
                <c:v>0</c:v>
              </c:pt>
              <c:pt idx="1997">
                <c:v>1.922048590217554</c:v>
              </c:pt>
              <c:pt idx="1998">
                <c:v>1.922048590217554</c:v>
              </c:pt>
              <c:pt idx="1999">
                <c:v>0</c:v>
              </c:pt>
              <c:pt idx="2000">
                <c:v>0</c:v>
              </c:pt>
              <c:pt idx="2001">
                <c:v>1.922048590217554</c:v>
              </c:pt>
              <c:pt idx="2002">
                <c:v>1.922048590217554</c:v>
              </c:pt>
              <c:pt idx="2003">
                <c:v>0</c:v>
              </c:pt>
              <c:pt idx="2004">
                <c:v>0</c:v>
              </c:pt>
              <c:pt idx="2005">
                <c:v>1.922048590217554</c:v>
              </c:pt>
              <c:pt idx="2006">
                <c:v>1.922048590217554</c:v>
              </c:pt>
              <c:pt idx="2007">
                <c:v>0</c:v>
              </c:pt>
              <c:pt idx="2008">
                <c:v>0</c:v>
              </c:pt>
              <c:pt idx="2009">
                <c:v>1.922048590217554</c:v>
              </c:pt>
              <c:pt idx="2010">
                <c:v>1.922048590217554</c:v>
              </c:pt>
              <c:pt idx="2011">
                <c:v>0</c:v>
              </c:pt>
              <c:pt idx="2012">
                <c:v>0</c:v>
              </c:pt>
              <c:pt idx="2013">
                <c:v>1.922048590217554</c:v>
              </c:pt>
              <c:pt idx="2014">
                <c:v>1.922048590217554</c:v>
              </c:pt>
              <c:pt idx="2015">
                <c:v>0</c:v>
              </c:pt>
              <c:pt idx="2016">
                <c:v>0</c:v>
              </c:pt>
              <c:pt idx="2017">
                <c:v>1.922048590217554</c:v>
              </c:pt>
              <c:pt idx="2018">
                <c:v>1.922048590217554</c:v>
              </c:pt>
              <c:pt idx="2019">
                <c:v>0</c:v>
              </c:pt>
              <c:pt idx="2020">
                <c:v>0</c:v>
              </c:pt>
              <c:pt idx="2021">
                <c:v>1.922048590217554</c:v>
              </c:pt>
              <c:pt idx="2022">
                <c:v>1.922048590217554</c:v>
              </c:pt>
              <c:pt idx="2023">
                <c:v>0</c:v>
              </c:pt>
              <c:pt idx="2024">
                <c:v>0</c:v>
              </c:pt>
              <c:pt idx="2025">
                <c:v>1.922048590217554</c:v>
              </c:pt>
              <c:pt idx="2026">
                <c:v>1.922048590217554</c:v>
              </c:pt>
              <c:pt idx="2027">
                <c:v>0</c:v>
              </c:pt>
              <c:pt idx="2028">
                <c:v>0</c:v>
              </c:pt>
              <c:pt idx="2029">
                <c:v>1.922048590217554</c:v>
              </c:pt>
              <c:pt idx="2030">
                <c:v>1.922048590217554</c:v>
              </c:pt>
              <c:pt idx="2031">
                <c:v>0</c:v>
              </c:pt>
              <c:pt idx="2032">
                <c:v>0</c:v>
              </c:pt>
              <c:pt idx="2033">
                <c:v>1.922048590217554</c:v>
              </c:pt>
              <c:pt idx="2034">
                <c:v>1.922048590217554</c:v>
              </c:pt>
              <c:pt idx="2035">
                <c:v>0</c:v>
              </c:pt>
              <c:pt idx="2036">
                <c:v>0</c:v>
              </c:pt>
              <c:pt idx="2037">
                <c:v>1.922048590217554</c:v>
              </c:pt>
              <c:pt idx="2038">
                <c:v>1.922048590217554</c:v>
              </c:pt>
              <c:pt idx="2039">
                <c:v>0</c:v>
              </c:pt>
              <c:pt idx="2040">
                <c:v>0</c:v>
              </c:pt>
              <c:pt idx="2041">
                <c:v>1.922048590217554</c:v>
              </c:pt>
              <c:pt idx="2042">
                <c:v>1.922048590217554</c:v>
              </c:pt>
              <c:pt idx="2043">
                <c:v>0</c:v>
              </c:pt>
              <c:pt idx="2044">
                <c:v>0</c:v>
              </c:pt>
              <c:pt idx="2045">
                <c:v>1.922048590217554</c:v>
              </c:pt>
              <c:pt idx="2046">
                <c:v>1.922048590217554</c:v>
              </c:pt>
              <c:pt idx="2047">
                <c:v>0</c:v>
              </c:pt>
              <c:pt idx="2048">
                <c:v>0</c:v>
              </c:pt>
              <c:pt idx="2049">
                <c:v>1.922048590217554</c:v>
              </c:pt>
              <c:pt idx="2050">
                <c:v>1.922048590217554</c:v>
              </c:pt>
              <c:pt idx="2051">
                <c:v>0</c:v>
              </c:pt>
              <c:pt idx="2052">
                <c:v>0</c:v>
              </c:pt>
              <c:pt idx="2053">
                <c:v>1.922048590217554</c:v>
              </c:pt>
              <c:pt idx="2054">
                <c:v>1.922048590217554</c:v>
              </c:pt>
              <c:pt idx="2055">
                <c:v>0</c:v>
              </c:pt>
              <c:pt idx="2056">
                <c:v>0</c:v>
              </c:pt>
              <c:pt idx="2057">
                <c:v>1.922048590217554</c:v>
              </c:pt>
              <c:pt idx="2058">
                <c:v>1.922048590217554</c:v>
              </c:pt>
              <c:pt idx="2059">
                <c:v>0</c:v>
              </c:pt>
              <c:pt idx="2060">
                <c:v>0</c:v>
              </c:pt>
              <c:pt idx="2061">
                <c:v>1.922048590217554</c:v>
              </c:pt>
              <c:pt idx="2062">
                <c:v>1.922048590217554</c:v>
              </c:pt>
              <c:pt idx="2063">
                <c:v>0</c:v>
              </c:pt>
              <c:pt idx="2064">
                <c:v>0</c:v>
              </c:pt>
              <c:pt idx="2065">
                <c:v>1.922048590217554</c:v>
              </c:pt>
              <c:pt idx="2066">
                <c:v>1.922048590217554</c:v>
              </c:pt>
              <c:pt idx="2067">
                <c:v>0</c:v>
              </c:pt>
              <c:pt idx="2068">
                <c:v>1.922048590217554</c:v>
              </c:pt>
              <c:pt idx="2069">
                <c:v>0</c:v>
              </c:pt>
              <c:pt idx="2072">
                <c:v>0</c:v>
              </c:pt>
              <c:pt idx="2073">
                <c:v>1.5867124532008743</c:v>
              </c:pt>
              <c:pt idx="2074">
                <c:v>1.5867124532008743</c:v>
              </c:pt>
              <c:pt idx="2075">
                <c:v>0</c:v>
              </c:pt>
              <c:pt idx="2076">
                <c:v>0</c:v>
              </c:pt>
              <c:pt idx="2077">
                <c:v>1.5867124532008743</c:v>
              </c:pt>
              <c:pt idx="2078">
                <c:v>1.5867124532008743</c:v>
              </c:pt>
              <c:pt idx="2079">
                <c:v>0</c:v>
              </c:pt>
              <c:pt idx="2080">
                <c:v>0</c:v>
              </c:pt>
              <c:pt idx="2081">
                <c:v>1.5867124532008743</c:v>
              </c:pt>
              <c:pt idx="2082">
                <c:v>1.5867124532008743</c:v>
              </c:pt>
              <c:pt idx="2083">
                <c:v>0</c:v>
              </c:pt>
              <c:pt idx="2084">
                <c:v>0</c:v>
              </c:pt>
              <c:pt idx="2085">
                <c:v>1.5867124532008743</c:v>
              </c:pt>
              <c:pt idx="2086">
                <c:v>1.5867124532008743</c:v>
              </c:pt>
              <c:pt idx="2087">
                <c:v>0</c:v>
              </c:pt>
              <c:pt idx="2088">
                <c:v>0</c:v>
              </c:pt>
              <c:pt idx="2089">
                <c:v>1.5867124532008743</c:v>
              </c:pt>
              <c:pt idx="2090">
                <c:v>1.5867124532008743</c:v>
              </c:pt>
              <c:pt idx="2091">
                <c:v>0</c:v>
              </c:pt>
              <c:pt idx="2092">
                <c:v>0</c:v>
              </c:pt>
              <c:pt idx="2093">
                <c:v>1.5867124532008743</c:v>
              </c:pt>
              <c:pt idx="2094">
                <c:v>1.5867124532008743</c:v>
              </c:pt>
              <c:pt idx="2095">
                <c:v>0</c:v>
              </c:pt>
              <c:pt idx="2096">
                <c:v>0</c:v>
              </c:pt>
              <c:pt idx="2097">
                <c:v>1.5867124532008743</c:v>
              </c:pt>
              <c:pt idx="2098">
                <c:v>1.5867124532008743</c:v>
              </c:pt>
              <c:pt idx="2099">
                <c:v>0</c:v>
              </c:pt>
              <c:pt idx="2100">
                <c:v>0</c:v>
              </c:pt>
              <c:pt idx="2101">
                <c:v>1.5867124532008743</c:v>
              </c:pt>
              <c:pt idx="2102">
                <c:v>1.5867124532008743</c:v>
              </c:pt>
              <c:pt idx="2103">
                <c:v>0</c:v>
              </c:pt>
              <c:pt idx="2104">
                <c:v>0</c:v>
              </c:pt>
              <c:pt idx="2105">
                <c:v>1.5867124532008743</c:v>
              </c:pt>
              <c:pt idx="2106">
                <c:v>1.5867124532008743</c:v>
              </c:pt>
              <c:pt idx="2107">
                <c:v>0</c:v>
              </c:pt>
              <c:pt idx="2108">
                <c:v>0</c:v>
              </c:pt>
              <c:pt idx="2109">
                <c:v>1.5867124532008743</c:v>
              </c:pt>
              <c:pt idx="2110">
                <c:v>1.5867124532008743</c:v>
              </c:pt>
              <c:pt idx="2111">
                <c:v>0</c:v>
              </c:pt>
              <c:pt idx="2112">
                <c:v>0</c:v>
              </c:pt>
              <c:pt idx="2113">
                <c:v>1.5867124532008743</c:v>
              </c:pt>
              <c:pt idx="2114">
                <c:v>1.5867124532008743</c:v>
              </c:pt>
              <c:pt idx="2115">
                <c:v>0</c:v>
              </c:pt>
              <c:pt idx="2116">
                <c:v>0</c:v>
              </c:pt>
              <c:pt idx="2117">
                <c:v>1.5867124532008743</c:v>
              </c:pt>
              <c:pt idx="2118">
                <c:v>1.5867124532008743</c:v>
              </c:pt>
              <c:pt idx="2119">
                <c:v>0</c:v>
              </c:pt>
              <c:pt idx="2120">
                <c:v>0</c:v>
              </c:pt>
              <c:pt idx="2121">
                <c:v>1.5867124532008743</c:v>
              </c:pt>
              <c:pt idx="2122">
                <c:v>1.5867124532008743</c:v>
              </c:pt>
              <c:pt idx="2123">
                <c:v>0</c:v>
              </c:pt>
              <c:pt idx="2124">
                <c:v>0</c:v>
              </c:pt>
              <c:pt idx="2125">
                <c:v>1.5867124532008743</c:v>
              </c:pt>
              <c:pt idx="2126">
                <c:v>1.5867124532008743</c:v>
              </c:pt>
              <c:pt idx="2127">
                <c:v>0</c:v>
              </c:pt>
              <c:pt idx="2128">
                <c:v>0</c:v>
              </c:pt>
              <c:pt idx="2129">
                <c:v>1.5867124532008743</c:v>
              </c:pt>
              <c:pt idx="2130">
                <c:v>1.5867124532008743</c:v>
              </c:pt>
              <c:pt idx="2131">
                <c:v>0</c:v>
              </c:pt>
              <c:pt idx="2132">
                <c:v>0</c:v>
              </c:pt>
              <c:pt idx="2133">
                <c:v>1.5867124532008743</c:v>
              </c:pt>
              <c:pt idx="2134">
                <c:v>1.5867124532008743</c:v>
              </c:pt>
              <c:pt idx="2135">
                <c:v>0</c:v>
              </c:pt>
              <c:pt idx="2136">
                <c:v>0</c:v>
              </c:pt>
              <c:pt idx="2137">
                <c:v>1.5867124532008743</c:v>
              </c:pt>
              <c:pt idx="2138">
                <c:v>1.5867124532008743</c:v>
              </c:pt>
              <c:pt idx="2139">
                <c:v>0</c:v>
              </c:pt>
              <c:pt idx="2140">
                <c:v>0</c:v>
              </c:pt>
              <c:pt idx="2141">
                <c:v>1.5867124532008743</c:v>
              </c:pt>
              <c:pt idx="2142">
                <c:v>1.5867124532008743</c:v>
              </c:pt>
              <c:pt idx="2143">
                <c:v>0</c:v>
              </c:pt>
              <c:pt idx="2144">
                <c:v>0</c:v>
              </c:pt>
              <c:pt idx="2145">
                <c:v>1.5867124532008743</c:v>
              </c:pt>
              <c:pt idx="2146">
                <c:v>1.5867124532008743</c:v>
              </c:pt>
              <c:pt idx="2147">
                <c:v>0</c:v>
              </c:pt>
              <c:pt idx="2148">
                <c:v>0</c:v>
              </c:pt>
              <c:pt idx="2149">
                <c:v>1.5867124532008743</c:v>
              </c:pt>
              <c:pt idx="2150">
                <c:v>1.5867124532008743</c:v>
              </c:pt>
              <c:pt idx="2151">
                <c:v>0</c:v>
              </c:pt>
              <c:pt idx="2152">
                <c:v>0</c:v>
              </c:pt>
              <c:pt idx="2153">
                <c:v>1.5867124532008743</c:v>
              </c:pt>
              <c:pt idx="2154">
                <c:v>1.5867124532008743</c:v>
              </c:pt>
              <c:pt idx="2155">
                <c:v>0</c:v>
              </c:pt>
              <c:pt idx="2156">
                <c:v>0</c:v>
              </c:pt>
              <c:pt idx="2157">
                <c:v>1.5867124532008743</c:v>
              </c:pt>
              <c:pt idx="2158">
                <c:v>1.5867124532008743</c:v>
              </c:pt>
              <c:pt idx="2159">
                <c:v>0</c:v>
              </c:pt>
              <c:pt idx="2160">
                <c:v>0</c:v>
              </c:pt>
              <c:pt idx="2161">
                <c:v>1.5867124532008743</c:v>
              </c:pt>
              <c:pt idx="2162">
                <c:v>1.5867124532008743</c:v>
              </c:pt>
              <c:pt idx="2163">
                <c:v>0</c:v>
              </c:pt>
              <c:pt idx="2164">
                <c:v>0</c:v>
              </c:pt>
              <c:pt idx="2165">
                <c:v>1.5867124532008743</c:v>
              </c:pt>
              <c:pt idx="2166">
                <c:v>1.5867124532008743</c:v>
              </c:pt>
              <c:pt idx="2167">
                <c:v>0</c:v>
              </c:pt>
              <c:pt idx="2168">
                <c:v>0</c:v>
              </c:pt>
              <c:pt idx="2169">
                <c:v>1.5867124532008743</c:v>
              </c:pt>
              <c:pt idx="2170">
                <c:v>1.5867124532008743</c:v>
              </c:pt>
              <c:pt idx="2171">
                <c:v>0</c:v>
              </c:pt>
              <c:pt idx="2172">
                <c:v>0</c:v>
              </c:pt>
              <c:pt idx="2173">
                <c:v>1.5867124532008743</c:v>
              </c:pt>
              <c:pt idx="2174">
                <c:v>1.5867124532008743</c:v>
              </c:pt>
              <c:pt idx="2175">
                <c:v>0</c:v>
              </c:pt>
              <c:pt idx="2176">
                <c:v>0</c:v>
              </c:pt>
              <c:pt idx="2177">
                <c:v>1.5867124532008743</c:v>
              </c:pt>
              <c:pt idx="2178">
                <c:v>1.5867124532008743</c:v>
              </c:pt>
              <c:pt idx="2179">
                <c:v>0</c:v>
              </c:pt>
              <c:pt idx="2180">
                <c:v>0</c:v>
              </c:pt>
              <c:pt idx="2181">
                <c:v>1.5867124532008743</c:v>
              </c:pt>
              <c:pt idx="2182">
                <c:v>1.5867124532008743</c:v>
              </c:pt>
              <c:pt idx="2183">
                <c:v>0</c:v>
              </c:pt>
              <c:pt idx="2184">
                <c:v>0</c:v>
              </c:pt>
              <c:pt idx="2185">
                <c:v>1.5867124532008743</c:v>
              </c:pt>
              <c:pt idx="2186">
                <c:v>1.5867124532008743</c:v>
              </c:pt>
              <c:pt idx="2187">
                <c:v>0</c:v>
              </c:pt>
              <c:pt idx="2188">
                <c:v>0</c:v>
              </c:pt>
              <c:pt idx="2189">
                <c:v>1.5867124532008743</c:v>
              </c:pt>
              <c:pt idx="2190">
                <c:v>1.5867124532008743</c:v>
              </c:pt>
              <c:pt idx="2191">
                <c:v>0</c:v>
              </c:pt>
              <c:pt idx="2192">
                <c:v>0</c:v>
              </c:pt>
              <c:pt idx="2193">
                <c:v>1.5867124532008743</c:v>
              </c:pt>
              <c:pt idx="2194">
                <c:v>1.5867124532008743</c:v>
              </c:pt>
              <c:pt idx="2195">
                <c:v>0</c:v>
              </c:pt>
              <c:pt idx="2196">
                <c:v>0</c:v>
              </c:pt>
              <c:pt idx="2197">
                <c:v>1.5867124532008743</c:v>
              </c:pt>
              <c:pt idx="2198">
                <c:v>1.5867124532008743</c:v>
              </c:pt>
              <c:pt idx="2199">
                <c:v>0</c:v>
              </c:pt>
              <c:pt idx="2200">
                <c:v>0</c:v>
              </c:pt>
              <c:pt idx="2201">
                <c:v>1.5867124532008743</c:v>
              </c:pt>
              <c:pt idx="2202">
                <c:v>1.5867124532008743</c:v>
              </c:pt>
              <c:pt idx="2203">
                <c:v>0</c:v>
              </c:pt>
              <c:pt idx="2204">
                <c:v>0</c:v>
              </c:pt>
              <c:pt idx="2205">
                <c:v>1.5867124532008743</c:v>
              </c:pt>
              <c:pt idx="2206">
                <c:v>1.5867124532008743</c:v>
              </c:pt>
              <c:pt idx="2207">
                <c:v>0</c:v>
              </c:pt>
              <c:pt idx="2208">
                <c:v>0</c:v>
              </c:pt>
              <c:pt idx="2209">
                <c:v>1.5867124532008743</c:v>
              </c:pt>
              <c:pt idx="2210">
                <c:v>1.5867124532008743</c:v>
              </c:pt>
              <c:pt idx="2211">
                <c:v>0</c:v>
              </c:pt>
              <c:pt idx="2212">
                <c:v>0</c:v>
              </c:pt>
              <c:pt idx="2213">
                <c:v>1.5867124532008743</c:v>
              </c:pt>
              <c:pt idx="2214">
                <c:v>1.5867124532008743</c:v>
              </c:pt>
              <c:pt idx="2215">
                <c:v>0</c:v>
              </c:pt>
              <c:pt idx="2216">
                <c:v>1.5867124532008743</c:v>
              </c:pt>
              <c:pt idx="2217">
                <c:v>0</c:v>
              </c:pt>
              <c:pt idx="2220">
                <c:v>0</c:v>
              </c:pt>
              <c:pt idx="2221">
                <c:v>0.9732926903654848</c:v>
              </c:pt>
              <c:pt idx="2222">
                <c:v>0.9732926903654848</c:v>
              </c:pt>
              <c:pt idx="2223">
                <c:v>0</c:v>
              </c:pt>
              <c:pt idx="2224">
                <c:v>0</c:v>
              </c:pt>
              <c:pt idx="2225">
                <c:v>0.9732926903654848</c:v>
              </c:pt>
              <c:pt idx="2226">
                <c:v>0.9732926903654848</c:v>
              </c:pt>
              <c:pt idx="2227">
                <c:v>0</c:v>
              </c:pt>
              <c:pt idx="2228">
                <c:v>0</c:v>
              </c:pt>
              <c:pt idx="2229">
                <c:v>0.9732926903654848</c:v>
              </c:pt>
              <c:pt idx="2230">
                <c:v>0.9732926903654848</c:v>
              </c:pt>
              <c:pt idx="2231">
                <c:v>0</c:v>
              </c:pt>
              <c:pt idx="2232">
                <c:v>0</c:v>
              </c:pt>
              <c:pt idx="2233">
                <c:v>0.9732926903654848</c:v>
              </c:pt>
              <c:pt idx="2234">
                <c:v>0.9732926903654848</c:v>
              </c:pt>
              <c:pt idx="2235">
                <c:v>0</c:v>
              </c:pt>
              <c:pt idx="2236">
                <c:v>0</c:v>
              </c:pt>
              <c:pt idx="2237">
                <c:v>0.9732926903654848</c:v>
              </c:pt>
              <c:pt idx="2238">
                <c:v>0.9732926903654848</c:v>
              </c:pt>
              <c:pt idx="2239">
                <c:v>0</c:v>
              </c:pt>
              <c:pt idx="2240">
                <c:v>0</c:v>
              </c:pt>
              <c:pt idx="2241">
                <c:v>0.9732926903654848</c:v>
              </c:pt>
              <c:pt idx="2242">
                <c:v>0.9732926903654848</c:v>
              </c:pt>
              <c:pt idx="2243">
                <c:v>0</c:v>
              </c:pt>
              <c:pt idx="2244">
                <c:v>0</c:v>
              </c:pt>
              <c:pt idx="2245">
                <c:v>0.9732926903654848</c:v>
              </c:pt>
              <c:pt idx="2246">
                <c:v>0.9732926903654848</c:v>
              </c:pt>
              <c:pt idx="2247">
                <c:v>0</c:v>
              </c:pt>
              <c:pt idx="2248">
                <c:v>0</c:v>
              </c:pt>
              <c:pt idx="2249">
                <c:v>0.9732926903654848</c:v>
              </c:pt>
              <c:pt idx="2250">
                <c:v>0.9732926903654848</c:v>
              </c:pt>
              <c:pt idx="2251">
                <c:v>0</c:v>
              </c:pt>
              <c:pt idx="2252">
                <c:v>0</c:v>
              </c:pt>
              <c:pt idx="2253">
                <c:v>0.9732926903654848</c:v>
              </c:pt>
              <c:pt idx="2254">
                <c:v>0.9732926903654848</c:v>
              </c:pt>
              <c:pt idx="2255">
                <c:v>0</c:v>
              </c:pt>
              <c:pt idx="2256">
                <c:v>0</c:v>
              </c:pt>
              <c:pt idx="2257">
                <c:v>0.9732926903654848</c:v>
              </c:pt>
              <c:pt idx="2258">
                <c:v>0.9732926903654848</c:v>
              </c:pt>
              <c:pt idx="2259">
                <c:v>0</c:v>
              </c:pt>
              <c:pt idx="2260">
                <c:v>0</c:v>
              </c:pt>
              <c:pt idx="2261">
                <c:v>0.9732926903654848</c:v>
              </c:pt>
              <c:pt idx="2262">
                <c:v>0.9732926903654848</c:v>
              </c:pt>
              <c:pt idx="2263">
                <c:v>0</c:v>
              </c:pt>
              <c:pt idx="2264">
                <c:v>0</c:v>
              </c:pt>
              <c:pt idx="2265">
                <c:v>0.9732926903654848</c:v>
              </c:pt>
              <c:pt idx="2266">
                <c:v>0.9732926903654848</c:v>
              </c:pt>
              <c:pt idx="2267">
                <c:v>0</c:v>
              </c:pt>
              <c:pt idx="2268">
                <c:v>0</c:v>
              </c:pt>
              <c:pt idx="2269">
                <c:v>0.9732926903654848</c:v>
              </c:pt>
              <c:pt idx="2270">
                <c:v>0.9732926903654848</c:v>
              </c:pt>
              <c:pt idx="2271">
                <c:v>0</c:v>
              </c:pt>
              <c:pt idx="2272">
                <c:v>0</c:v>
              </c:pt>
              <c:pt idx="2273">
                <c:v>0.9732926903654848</c:v>
              </c:pt>
              <c:pt idx="2274">
                <c:v>0.9732926903654848</c:v>
              </c:pt>
              <c:pt idx="2275">
                <c:v>0</c:v>
              </c:pt>
              <c:pt idx="2276">
                <c:v>0</c:v>
              </c:pt>
              <c:pt idx="2277">
                <c:v>0.9732926903654848</c:v>
              </c:pt>
              <c:pt idx="2278">
                <c:v>0.9732926903654848</c:v>
              </c:pt>
              <c:pt idx="2279">
                <c:v>0</c:v>
              </c:pt>
              <c:pt idx="2280">
                <c:v>0</c:v>
              </c:pt>
              <c:pt idx="2281">
                <c:v>0.9732926903654848</c:v>
              </c:pt>
              <c:pt idx="2282">
                <c:v>0.9732926903654848</c:v>
              </c:pt>
              <c:pt idx="2283">
                <c:v>0</c:v>
              </c:pt>
              <c:pt idx="2284">
                <c:v>0</c:v>
              </c:pt>
              <c:pt idx="2285">
                <c:v>0.9732926903654848</c:v>
              </c:pt>
              <c:pt idx="2286">
                <c:v>0.9732926903654848</c:v>
              </c:pt>
              <c:pt idx="2287">
                <c:v>0</c:v>
              </c:pt>
              <c:pt idx="2288">
                <c:v>0</c:v>
              </c:pt>
              <c:pt idx="2289">
                <c:v>0.9732926903654848</c:v>
              </c:pt>
              <c:pt idx="2290">
                <c:v>0.9732926903654848</c:v>
              </c:pt>
              <c:pt idx="2291">
                <c:v>0</c:v>
              </c:pt>
              <c:pt idx="2292">
                <c:v>0</c:v>
              </c:pt>
              <c:pt idx="2293">
                <c:v>0.9732926903654848</c:v>
              </c:pt>
              <c:pt idx="2294">
                <c:v>0.9732926903654848</c:v>
              </c:pt>
              <c:pt idx="2295">
                <c:v>0</c:v>
              </c:pt>
              <c:pt idx="2296">
                <c:v>0</c:v>
              </c:pt>
              <c:pt idx="2297">
                <c:v>0.9732926903654848</c:v>
              </c:pt>
              <c:pt idx="2298">
                <c:v>0.9732926903654848</c:v>
              </c:pt>
              <c:pt idx="2299">
                <c:v>0</c:v>
              </c:pt>
              <c:pt idx="2300">
                <c:v>0</c:v>
              </c:pt>
              <c:pt idx="2301">
                <c:v>0.9732926903654848</c:v>
              </c:pt>
              <c:pt idx="2302">
                <c:v>0.9732926903654848</c:v>
              </c:pt>
              <c:pt idx="2303">
                <c:v>0</c:v>
              </c:pt>
              <c:pt idx="2304">
                <c:v>0</c:v>
              </c:pt>
              <c:pt idx="2305">
                <c:v>0.9732926903654848</c:v>
              </c:pt>
              <c:pt idx="2306">
                <c:v>0.9732926903654848</c:v>
              </c:pt>
              <c:pt idx="2307">
                <c:v>0</c:v>
              </c:pt>
              <c:pt idx="2308">
                <c:v>0</c:v>
              </c:pt>
              <c:pt idx="2309">
                <c:v>0.9732926903654848</c:v>
              </c:pt>
              <c:pt idx="2310">
                <c:v>0.9732926903654848</c:v>
              </c:pt>
              <c:pt idx="2311">
                <c:v>0</c:v>
              </c:pt>
              <c:pt idx="2312">
                <c:v>0</c:v>
              </c:pt>
              <c:pt idx="2313">
                <c:v>0.9732926903654848</c:v>
              </c:pt>
              <c:pt idx="2314">
                <c:v>0.9732926903654848</c:v>
              </c:pt>
              <c:pt idx="2315">
                <c:v>0</c:v>
              </c:pt>
              <c:pt idx="2316">
                <c:v>0</c:v>
              </c:pt>
              <c:pt idx="2317">
                <c:v>0.9732926903654848</c:v>
              </c:pt>
              <c:pt idx="2318">
                <c:v>0.9732926903654848</c:v>
              </c:pt>
              <c:pt idx="2319">
                <c:v>0</c:v>
              </c:pt>
              <c:pt idx="2320">
                <c:v>0</c:v>
              </c:pt>
              <c:pt idx="2321">
                <c:v>0.9732926903654848</c:v>
              </c:pt>
              <c:pt idx="2322">
                <c:v>0.9732926903654848</c:v>
              </c:pt>
              <c:pt idx="2323">
                <c:v>0</c:v>
              </c:pt>
              <c:pt idx="2324">
                <c:v>0</c:v>
              </c:pt>
              <c:pt idx="2325">
                <c:v>0.9732926903654848</c:v>
              </c:pt>
              <c:pt idx="2326">
                <c:v>0.9732926903654848</c:v>
              </c:pt>
              <c:pt idx="2327">
                <c:v>0</c:v>
              </c:pt>
              <c:pt idx="2328">
                <c:v>0</c:v>
              </c:pt>
              <c:pt idx="2329">
                <c:v>0.9732926903654848</c:v>
              </c:pt>
              <c:pt idx="2330">
                <c:v>0.9732926903654848</c:v>
              </c:pt>
              <c:pt idx="2331">
                <c:v>0</c:v>
              </c:pt>
              <c:pt idx="2332">
                <c:v>0</c:v>
              </c:pt>
              <c:pt idx="2333">
                <c:v>0.9732926903654848</c:v>
              </c:pt>
              <c:pt idx="2334">
                <c:v>0.9732926903654848</c:v>
              </c:pt>
              <c:pt idx="2335">
                <c:v>0</c:v>
              </c:pt>
              <c:pt idx="2336">
                <c:v>0</c:v>
              </c:pt>
              <c:pt idx="2337">
                <c:v>0.9732926903654848</c:v>
              </c:pt>
              <c:pt idx="2338">
                <c:v>0.9732926903654848</c:v>
              </c:pt>
              <c:pt idx="2339">
                <c:v>0</c:v>
              </c:pt>
              <c:pt idx="2340">
                <c:v>0</c:v>
              </c:pt>
              <c:pt idx="2341">
                <c:v>0.9732926903654848</c:v>
              </c:pt>
              <c:pt idx="2342">
                <c:v>0.9732926903654848</c:v>
              </c:pt>
              <c:pt idx="2343">
                <c:v>0</c:v>
              </c:pt>
              <c:pt idx="2344">
                <c:v>0</c:v>
              </c:pt>
              <c:pt idx="2345">
                <c:v>0.9732926903654848</c:v>
              </c:pt>
              <c:pt idx="2346">
                <c:v>0.9732926903654848</c:v>
              </c:pt>
              <c:pt idx="2347">
                <c:v>0</c:v>
              </c:pt>
              <c:pt idx="2348">
                <c:v>0</c:v>
              </c:pt>
              <c:pt idx="2349">
                <c:v>0.9732926903654848</c:v>
              </c:pt>
              <c:pt idx="2350">
                <c:v>0.9732926903654848</c:v>
              </c:pt>
              <c:pt idx="2351">
                <c:v>0</c:v>
              </c:pt>
              <c:pt idx="2352">
                <c:v>0</c:v>
              </c:pt>
              <c:pt idx="2353">
                <c:v>0.9732926903654848</c:v>
              </c:pt>
              <c:pt idx="2354">
                <c:v>0.9732926903654848</c:v>
              </c:pt>
              <c:pt idx="2355">
                <c:v>0</c:v>
              </c:pt>
              <c:pt idx="2356">
                <c:v>0</c:v>
              </c:pt>
              <c:pt idx="2357">
                <c:v>0.9732926903654848</c:v>
              </c:pt>
              <c:pt idx="2358">
                <c:v>0.9732926903654848</c:v>
              </c:pt>
              <c:pt idx="2359">
                <c:v>0</c:v>
              </c:pt>
              <c:pt idx="2360">
                <c:v>0</c:v>
              </c:pt>
              <c:pt idx="2361">
                <c:v>0.9732926903654848</c:v>
              </c:pt>
              <c:pt idx="2362">
                <c:v>0.9732926903654848</c:v>
              </c:pt>
              <c:pt idx="2363">
                <c:v>0</c:v>
              </c:pt>
              <c:pt idx="2364">
                <c:v>0.9732926903654848</c:v>
              </c:pt>
              <c:pt idx="2365">
                <c:v>0</c:v>
              </c:pt>
              <c:pt idx="2368">
                <c:v>0</c:v>
              </c:pt>
              <c:pt idx="2369">
                <c:v>0.5807040421508355</c:v>
              </c:pt>
              <c:pt idx="2370">
                <c:v>0.5807040421508355</c:v>
              </c:pt>
              <c:pt idx="2371">
                <c:v>0</c:v>
              </c:pt>
              <c:pt idx="2372">
                <c:v>0</c:v>
              </c:pt>
              <c:pt idx="2373">
                <c:v>0.5807040421508355</c:v>
              </c:pt>
              <c:pt idx="2374">
                <c:v>0.5807040421508355</c:v>
              </c:pt>
              <c:pt idx="2375">
                <c:v>0</c:v>
              </c:pt>
              <c:pt idx="2376">
                <c:v>0</c:v>
              </c:pt>
              <c:pt idx="2377">
                <c:v>0.5807040421508355</c:v>
              </c:pt>
              <c:pt idx="2378">
                <c:v>0.5807040421508355</c:v>
              </c:pt>
              <c:pt idx="2379">
                <c:v>0</c:v>
              </c:pt>
              <c:pt idx="2380">
                <c:v>0</c:v>
              </c:pt>
              <c:pt idx="2381">
                <c:v>0.5807040421508355</c:v>
              </c:pt>
              <c:pt idx="2382">
                <c:v>0.5807040421508355</c:v>
              </c:pt>
              <c:pt idx="2383">
                <c:v>0</c:v>
              </c:pt>
              <c:pt idx="2384">
                <c:v>0</c:v>
              </c:pt>
              <c:pt idx="2385">
                <c:v>0.5807040421508355</c:v>
              </c:pt>
              <c:pt idx="2386">
                <c:v>0.5807040421508355</c:v>
              </c:pt>
              <c:pt idx="2387">
                <c:v>0</c:v>
              </c:pt>
              <c:pt idx="2388">
                <c:v>0</c:v>
              </c:pt>
              <c:pt idx="2389">
                <c:v>0.5807040421508355</c:v>
              </c:pt>
              <c:pt idx="2390">
                <c:v>0.5807040421508355</c:v>
              </c:pt>
              <c:pt idx="2391">
                <c:v>0</c:v>
              </c:pt>
              <c:pt idx="2392">
                <c:v>0</c:v>
              </c:pt>
              <c:pt idx="2393">
                <c:v>0.5807040421508355</c:v>
              </c:pt>
              <c:pt idx="2394">
                <c:v>0.5807040421508355</c:v>
              </c:pt>
              <c:pt idx="2395">
                <c:v>0</c:v>
              </c:pt>
              <c:pt idx="2396">
                <c:v>0</c:v>
              </c:pt>
              <c:pt idx="2397">
                <c:v>0.5807040421508355</c:v>
              </c:pt>
              <c:pt idx="2398">
                <c:v>0.5807040421508355</c:v>
              </c:pt>
              <c:pt idx="2399">
                <c:v>0</c:v>
              </c:pt>
              <c:pt idx="2400">
                <c:v>0</c:v>
              </c:pt>
              <c:pt idx="2401">
                <c:v>0.5807040421508355</c:v>
              </c:pt>
              <c:pt idx="2402">
                <c:v>0.5807040421508355</c:v>
              </c:pt>
              <c:pt idx="2403">
                <c:v>0</c:v>
              </c:pt>
              <c:pt idx="2404">
                <c:v>0</c:v>
              </c:pt>
              <c:pt idx="2405">
                <c:v>0.5807040421508355</c:v>
              </c:pt>
              <c:pt idx="2406">
                <c:v>0.5807040421508355</c:v>
              </c:pt>
              <c:pt idx="2407">
                <c:v>0</c:v>
              </c:pt>
              <c:pt idx="2408">
                <c:v>0</c:v>
              </c:pt>
              <c:pt idx="2409">
                <c:v>0.5807040421508355</c:v>
              </c:pt>
              <c:pt idx="2410">
                <c:v>0.5807040421508355</c:v>
              </c:pt>
              <c:pt idx="2411">
                <c:v>0</c:v>
              </c:pt>
              <c:pt idx="2412">
                <c:v>0</c:v>
              </c:pt>
              <c:pt idx="2413">
                <c:v>0.5807040421508355</c:v>
              </c:pt>
              <c:pt idx="2414">
                <c:v>0.5807040421508355</c:v>
              </c:pt>
              <c:pt idx="2415">
                <c:v>0</c:v>
              </c:pt>
              <c:pt idx="2416">
                <c:v>0</c:v>
              </c:pt>
              <c:pt idx="2417">
                <c:v>0.5807040421508355</c:v>
              </c:pt>
              <c:pt idx="2418">
                <c:v>0.5807040421508355</c:v>
              </c:pt>
              <c:pt idx="2419">
                <c:v>0</c:v>
              </c:pt>
              <c:pt idx="2420">
                <c:v>0</c:v>
              </c:pt>
              <c:pt idx="2421">
                <c:v>0.5807040421508355</c:v>
              </c:pt>
              <c:pt idx="2422">
                <c:v>0.5807040421508355</c:v>
              </c:pt>
              <c:pt idx="2423">
                <c:v>0</c:v>
              </c:pt>
              <c:pt idx="2424">
                <c:v>0</c:v>
              </c:pt>
              <c:pt idx="2425">
                <c:v>0.5807040421508355</c:v>
              </c:pt>
              <c:pt idx="2426">
                <c:v>0.5807040421508355</c:v>
              </c:pt>
              <c:pt idx="2427">
                <c:v>0</c:v>
              </c:pt>
              <c:pt idx="2428">
                <c:v>0</c:v>
              </c:pt>
              <c:pt idx="2429">
                <c:v>0.5807040421508355</c:v>
              </c:pt>
              <c:pt idx="2430">
                <c:v>0.5807040421508355</c:v>
              </c:pt>
              <c:pt idx="2431">
                <c:v>0</c:v>
              </c:pt>
              <c:pt idx="2432">
                <c:v>0</c:v>
              </c:pt>
              <c:pt idx="2433">
                <c:v>0.5807040421508355</c:v>
              </c:pt>
              <c:pt idx="2434">
                <c:v>0.5807040421508355</c:v>
              </c:pt>
              <c:pt idx="2435">
                <c:v>0</c:v>
              </c:pt>
              <c:pt idx="2436">
                <c:v>0</c:v>
              </c:pt>
              <c:pt idx="2437">
                <c:v>0.5807040421508355</c:v>
              </c:pt>
              <c:pt idx="2438">
                <c:v>0.5807040421508355</c:v>
              </c:pt>
              <c:pt idx="2439">
                <c:v>0</c:v>
              </c:pt>
              <c:pt idx="2440">
                <c:v>0</c:v>
              </c:pt>
              <c:pt idx="2441">
                <c:v>0.5807040421508355</c:v>
              </c:pt>
              <c:pt idx="2442">
                <c:v>0.5807040421508355</c:v>
              </c:pt>
              <c:pt idx="2443">
                <c:v>0</c:v>
              </c:pt>
              <c:pt idx="2444">
                <c:v>0</c:v>
              </c:pt>
              <c:pt idx="2445">
                <c:v>0.5807040421508355</c:v>
              </c:pt>
              <c:pt idx="2446">
                <c:v>0.5807040421508355</c:v>
              </c:pt>
              <c:pt idx="2447">
                <c:v>0</c:v>
              </c:pt>
              <c:pt idx="2448">
                <c:v>0</c:v>
              </c:pt>
              <c:pt idx="2449">
                <c:v>0.5807040421508355</c:v>
              </c:pt>
              <c:pt idx="2450">
                <c:v>0.5807040421508355</c:v>
              </c:pt>
              <c:pt idx="2451">
                <c:v>0</c:v>
              </c:pt>
              <c:pt idx="2452">
                <c:v>0</c:v>
              </c:pt>
              <c:pt idx="2453">
                <c:v>0.5807040421508355</c:v>
              </c:pt>
              <c:pt idx="2454">
                <c:v>0.5807040421508355</c:v>
              </c:pt>
              <c:pt idx="2455">
                <c:v>0</c:v>
              </c:pt>
              <c:pt idx="2456">
                <c:v>0</c:v>
              </c:pt>
              <c:pt idx="2457">
                <c:v>0.5807040421508355</c:v>
              </c:pt>
              <c:pt idx="2458">
                <c:v>0.5807040421508355</c:v>
              </c:pt>
              <c:pt idx="2459">
                <c:v>0</c:v>
              </c:pt>
              <c:pt idx="2460">
                <c:v>0</c:v>
              </c:pt>
              <c:pt idx="2461">
                <c:v>0.5807040421508355</c:v>
              </c:pt>
              <c:pt idx="2462">
                <c:v>0.5807040421508355</c:v>
              </c:pt>
              <c:pt idx="2463">
                <c:v>0</c:v>
              </c:pt>
              <c:pt idx="2464">
                <c:v>0</c:v>
              </c:pt>
              <c:pt idx="2465">
                <c:v>0.5807040421508355</c:v>
              </c:pt>
              <c:pt idx="2466">
                <c:v>0.5807040421508355</c:v>
              </c:pt>
              <c:pt idx="2467">
                <c:v>0</c:v>
              </c:pt>
              <c:pt idx="2468">
                <c:v>0</c:v>
              </c:pt>
              <c:pt idx="2469">
                <c:v>0.5807040421508355</c:v>
              </c:pt>
              <c:pt idx="2470">
                <c:v>0.5807040421508355</c:v>
              </c:pt>
              <c:pt idx="2471">
                <c:v>0</c:v>
              </c:pt>
              <c:pt idx="2472">
                <c:v>0</c:v>
              </c:pt>
              <c:pt idx="2473">
                <c:v>0.5807040421508355</c:v>
              </c:pt>
              <c:pt idx="2474">
                <c:v>0.5807040421508355</c:v>
              </c:pt>
              <c:pt idx="2475">
                <c:v>0</c:v>
              </c:pt>
              <c:pt idx="2476">
                <c:v>0</c:v>
              </c:pt>
              <c:pt idx="2477">
                <c:v>0.5807040421508355</c:v>
              </c:pt>
              <c:pt idx="2478">
                <c:v>0.5807040421508355</c:v>
              </c:pt>
              <c:pt idx="2479">
                <c:v>0</c:v>
              </c:pt>
              <c:pt idx="2480">
                <c:v>0</c:v>
              </c:pt>
              <c:pt idx="2481">
                <c:v>0.5807040421508355</c:v>
              </c:pt>
              <c:pt idx="2482">
                <c:v>0.5807040421508355</c:v>
              </c:pt>
              <c:pt idx="2483">
                <c:v>0</c:v>
              </c:pt>
              <c:pt idx="2484">
                <c:v>0</c:v>
              </c:pt>
              <c:pt idx="2485">
                <c:v>0.5807040421508355</c:v>
              </c:pt>
              <c:pt idx="2486">
                <c:v>0.5807040421508355</c:v>
              </c:pt>
              <c:pt idx="2487">
                <c:v>0</c:v>
              </c:pt>
              <c:pt idx="2488">
                <c:v>0</c:v>
              </c:pt>
              <c:pt idx="2489">
                <c:v>0.5807040421508355</c:v>
              </c:pt>
              <c:pt idx="2490">
                <c:v>0.5807040421508355</c:v>
              </c:pt>
              <c:pt idx="2491">
                <c:v>0</c:v>
              </c:pt>
              <c:pt idx="2492">
                <c:v>0</c:v>
              </c:pt>
              <c:pt idx="2493">
                <c:v>0.5807040421508355</c:v>
              </c:pt>
              <c:pt idx="2494">
                <c:v>0.5807040421508355</c:v>
              </c:pt>
              <c:pt idx="2495">
                <c:v>0</c:v>
              </c:pt>
              <c:pt idx="2496">
                <c:v>0</c:v>
              </c:pt>
              <c:pt idx="2497">
                <c:v>0.5807040421508355</c:v>
              </c:pt>
              <c:pt idx="2498">
                <c:v>0.5807040421508355</c:v>
              </c:pt>
              <c:pt idx="2499">
                <c:v>0</c:v>
              </c:pt>
              <c:pt idx="2500">
                <c:v>0</c:v>
              </c:pt>
              <c:pt idx="2501">
                <c:v>0.5807040421508355</c:v>
              </c:pt>
              <c:pt idx="2502">
                <c:v>0.5807040421508355</c:v>
              </c:pt>
              <c:pt idx="2503">
                <c:v>0</c:v>
              </c:pt>
              <c:pt idx="2504">
                <c:v>0</c:v>
              </c:pt>
              <c:pt idx="2505">
                <c:v>0.5807040421508355</c:v>
              </c:pt>
              <c:pt idx="2506">
                <c:v>0.5807040421508355</c:v>
              </c:pt>
              <c:pt idx="2507">
                <c:v>0</c:v>
              </c:pt>
              <c:pt idx="2508">
                <c:v>0</c:v>
              </c:pt>
              <c:pt idx="2509">
                <c:v>0.5807040421508355</c:v>
              </c:pt>
              <c:pt idx="2510">
                <c:v>0.5807040421508355</c:v>
              </c:pt>
              <c:pt idx="2511">
                <c:v>0</c:v>
              </c:pt>
              <c:pt idx="2512">
                <c:v>0.5807040421508355</c:v>
              </c:pt>
              <c:pt idx="2513">
                <c:v>0</c:v>
              </c:pt>
              <c:pt idx="2516">
                <c:v>0</c:v>
              </c:pt>
              <c:pt idx="2517">
                <c:v>0.3844097180435108</c:v>
              </c:pt>
              <c:pt idx="2518">
                <c:v>0.3844097180435108</c:v>
              </c:pt>
              <c:pt idx="2519">
                <c:v>0</c:v>
              </c:pt>
              <c:pt idx="2520">
                <c:v>0</c:v>
              </c:pt>
              <c:pt idx="2521">
                <c:v>0.3844097180435108</c:v>
              </c:pt>
              <c:pt idx="2522">
                <c:v>0.3844097180435108</c:v>
              </c:pt>
              <c:pt idx="2523">
                <c:v>0</c:v>
              </c:pt>
              <c:pt idx="2524">
                <c:v>0</c:v>
              </c:pt>
              <c:pt idx="2525">
                <c:v>0.3844097180435108</c:v>
              </c:pt>
              <c:pt idx="2526">
                <c:v>0.3844097180435108</c:v>
              </c:pt>
              <c:pt idx="2527">
                <c:v>0</c:v>
              </c:pt>
              <c:pt idx="2528">
                <c:v>0</c:v>
              </c:pt>
              <c:pt idx="2529">
                <c:v>0.3844097180435108</c:v>
              </c:pt>
              <c:pt idx="2530">
                <c:v>0.3844097180435108</c:v>
              </c:pt>
              <c:pt idx="2531">
                <c:v>0</c:v>
              </c:pt>
              <c:pt idx="2532">
                <c:v>0</c:v>
              </c:pt>
              <c:pt idx="2533">
                <c:v>0.3844097180435108</c:v>
              </c:pt>
              <c:pt idx="2534">
                <c:v>0.3844097180435108</c:v>
              </c:pt>
              <c:pt idx="2535">
                <c:v>0</c:v>
              </c:pt>
              <c:pt idx="2536">
                <c:v>0</c:v>
              </c:pt>
              <c:pt idx="2537">
                <c:v>0.3844097180435108</c:v>
              </c:pt>
              <c:pt idx="2538">
                <c:v>0.3844097180435108</c:v>
              </c:pt>
              <c:pt idx="2539">
                <c:v>0</c:v>
              </c:pt>
              <c:pt idx="2540">
                <c:v>0</c:v>
              </c:pt>
              <c:pt idx="2541">
                <c:v>0.3844097180435108</c:v>
              </c:pt>
              <c:pt idx="2542">
                <c:v>0.3844097180435108</c:v>
              </c:pt>
              <c:pt idx="2543">
                <c:v>0</c:v>
              </c:pt>
              <c:pt idx="2544">
                <c:v>0</c:v>
              </c:pt>
              <c:pt idx="2545">
                <c:v>0.3844097180435108</c:v>
              </c:pt>
              <c:pt idx="2546">
                <c:v>0.3844097180435108</c:v>
              </c:pt>
              <c:pt idx="2547">
                <c:v>0</c:v>
              </c:pt>
              <c:pt idx="2548">
                <c:v>0</c:v>
              </c:pt>
              <c:pt idx="2549">
                <c:v>0.3844097180435108</c:v>
              </c:pt>
              <c:pt idx="2550">
                <c:v>0.3844097180435108</c:v>
              </c:pt>
              <c:pt idx="2551">
                <c:v>0</c:v>
              </c:pt>
              <c:pt idx="2552">
                <c:v>0</c:v>
              </c:pt>
              <c:pt idx="2553">
                <c:v>0.3844097180435108</c:v>
              </c:pt>
              <c:pt idx="2554">
                <c:v>0.3844097180435108</c:v>
              </c:pt>
              <c:pt idx="2555">
                <c:v>0</c:v>
              </c:pt>
              <c:pt idx="2556">
                <c:v>0</c:v>
              </c:pt>
              <c:pt idx="2557">
                <c:v>0.3844097180435108</c:v>
              </c:pt>
              <c:pt idx="2558">
                <c:v>0.3844097180435108</c:v>
              </c:pt>
              <c:pt idx="2559">
                <c:v>0</c:v>
              </c:pt>
              <c:pt idx="2560">
                <c:v>0</c:v>
              </c:pt>
              <c:pt idx="2561">
                <c:v>0.3844097180435108</c:v>
              </c:pt>
              <c:pt idx="2562">
                <c:v>0.3844097180435108</c:v>
              </c:pt>
              <c:pt idx="2563">
                <c:v>0</c:v>
              </c:pt>
              <c:pt idx="2564">
                <c:v>0</c:v>
              </c:pt>
              <c:pt idx="2565">
                <c:v>0.3844097180435108</c:v>
              </c:pt>
              <c:pt idx="2566">
                <c:v>0.3844097180435108</c:v>
              </c:pt>
              <c:pt idx="2567">
                <c:v>0</c:v>
              </c:pt>
              <c:pt idx="2568">
                <c:v>0</c:v>
              </c:pt>
              <c:pt idx="2569">
                <c:v>0.3844097180435108</c:v>
              </c:pt>
              <c:pt idx="2570">
                <c:v>0.3844097180435108</c:v>
              </c:pt>
              <c:pt idx="2571">
                <c:v>0</c:v>
              </c:pt>
              <c:pt idx="2572">
                <c:v>0</c:v>
              </c:pt>
              <c:pt idx="2573">
                <c:v>0.3844097180435108</c:v>
              </c:pt>
              <c:pt idx="2574">
                <c:v>0.3844097180435108</c:v>
              </c:pt>
              <c:pt idx="2575">
                <c:v>0</c:v>
              </c:pt>
              <c:pt idx="2576">
                <c:v>0</c:v>
              </c:pt>
              <c:pt idx="2577">
                <c:v>0.3844097180435108</c:v>
              </c:pt>
              <c:pt idx="2578">
                <c:v>0.3844097180435108</c:v>
              </c:pt>
              <c:pt idx="2579">
                <c:v>0</c:v>
              </c:pt>
              <c:pt idx="2580">
                <c:v>0</c:v>
              </c:pt>
              <c:pt idx="2581">
                <c:v>0.3844097180435108</c:v>
              </c:pt>
              <c:pt idx="2582">
                <c:v>0.3844097180435108</c:v>
              </c:pt>
              <c:pt idx="2583">
                <c:v>0</c:v>
              </c:pt>
              <c:pt idx="2584">
                <c:v>0</c:v>
              </c:pt>
              <c:pt idx="2585">
                <c:v>0.3844097180435108</c:v>
              </c:pt>
              <c:pt idx="2586">
                <c:v>0.3844097180435108</c:v>
              </c:pt>
              <c:pt idx="2587">
                <c:v>0</c:v>
              </c:pt>
              <c:pt idx="2588">
                <c:v>0</c:v>
              </c:pt>
              <c:pt idx="2589">
                <c:v>0.3844097180435108</c:v>
              </c:pt>
              <c:pt idx="2590">
                <c:v>0.3844097180435108</c:v>
              </c:pt>
              <c:pt idx="2591">
                <c:v>0</c:v>
              </c:pt>
              <c:pt idx="2592">
                <c:v>0</c:v>
              </c:pt>
              <c:pt idx="2593">
                <c:v>0.3844097180435108</c:v>
              </c:pt>
              <c:pt idx="2594">
                <c:v>0.3844097180435108</c:v>
              </c:pt>
              <c:pt idx="2595">
                <c:v>0</c:v>
              </c:pt>
              <c:pt idx="2596">
                <c:v>0</c:v>
              </c:pt>
              <c:pt idx="2597">
                <c:v>0.3844097180435108</c:v>
              </c:pt>
              <c:pt idx="2598">
                <c:v>0.3844097180435108</c:v>
              </c:pt>
              <c:pt idx="2599">
                <c:v>0</c:v>
              </c:pt>
              <c:pt idx="2600">
                <c:v>0</c:v>
              </c:pt>
              <c:pt idx="2601">
                <c:v>0.3844097180435108</c:v>
              </c:pt>
              <c:pt idx="2602">
                <c:v>0.3844097180435108</c:v>
              </c:pt>
              <c:pt idx="2603">
                <c:v>0</c:v>
              </c:pt>
              <c:pt idx="2604">
                <c:v>0</c:v>
              </c:pt>
              <c:pt idx="2605">
                <c:v>0.3844097180435108</c:v>
              </c:pt>
              <c:pt idx="2606">
                <c:v>0.3844097180435108</c:v>
              </c:pt>
              <c:pt idx="2607">
                <c:v>0</c:v>
              </c:pt>
              <c:pt idx="2608">
                <c:v>0</c:v>
              </c:pt>
              <c:pt idx="2609">
                <c:v>0.3844097180435108</c:v>
              </c:pt>
              <c:pt idx="2610">
                <c:v>0.3844097180435108</c:v>
              </c:pt>
              <c:pt idx="2611">
                <c:v>0</c:v>
              </c:pt>
              <c:pt idx="2612">
                <c:v>0</c:v>
              </c:pt>
              <c:pt idx="2613">
                <c:v>0.3844097180435108</c:v>
              </c:pt>
              <c:pt idx="2614">
                <c:v>0.3844097180435108</c:v>
              </c:pt>
              <c:pt idx="2615">
                <c:v>0</c:v>
              </c:pt>
              <c:pt idx="2616">
                <c:v>0</c:v>
              </c:pt>
              <c:pt idx="2617">
                <c:v>0.3844097180435108</c:v>
              </c:pt>
              <c:pt idx="2618">
                <c:v>0.3844097180435108</c:v>
              </c:pt>
              <c:pt idx="2619">
                <c:v>0</c:v>
              </c:pt>
              <c:pt idx="2620">
                <c:v>0</c:v>
              </c:pt>
              <c:pt idx="2621">
                <c:v>0.3844097180435108</c:v>
              </c:pt>
              <c:pt idx="2622">
                <c:v>0.3844097180435108</c:v>
              </c:pt>
              <c:pt idx="2623">
                <c:v>0</c:v>
              </c:pt>
              <c:pt idx="2624">
                <c:v>0</c:v>
              </c:pt>
              <c:pt idx="2625">
                <c:v>0.3844097180435108</c:v>
              </c:pt>
              <c:pt idx="2626">
                <c:v>0.3844097180435108</c:v>
              </c:pt>
              <c:pt idx="2627">
                <c:v>0</c:v>
              </c:pt>
              <c:pt idx="2628">
                <c:v>0</c:v>
              </c:pt>
              <c:pt idx="2629">
                <c:v>0.3844097180435108</c:v>
              </c:pt>
              <c:pt idx="2630">
                <c:v>0.3844097180435108</c:v>
              </c:pt>
              <c:pt idx="2631">
                <c:v>0</c:v>
              </c:pt>
              <c:pt idx="2632">
                <c:v>0</c:v>
              </c:pt>
              <c:pt idx="2633">
                <c:v>0.3844097180435108</c:v>
              </c:pt>
              <c:pt idx="2634">
                <c:v>0.3844097180435108</c:v>
              </c:pt>
              <c:pt idx="2635">
                <c:v>0</c:v>
              </c:pt>
              <c:pt idx="2636">
                <c:v>0</c:v>
              </c:pt>
              <c:pt idx="2637">
                <c:v>0.3844097180435108</c:v>
              </c:pt>
              <c:pt idx="2638">
                <c:v>0.3844097180435108</c:v>
              </c:pt>
              <c:pt idx="2639">
                <c:v>0</c:v>
              </c:pt>
              <c:pt idx="2640">
                <c:v>0</c:v>
              </c:pt>
              <c:pt idx="2641">
                <c:v>0.3844097180435108</c:v>
              </c:pt>
              <c:pt idx="2642">
                <c:v>0.3844097180435108</c:v>
              </c:pt>
              <c:pt idx="2643">
                <c:v>0</c:v>
              </c:pt>
              <c:pt idx="2644">
                <c:v>0</c:v>
              </c:pt>
              <c:pt idx="2645">
                <c:v>0.3844097180435108</c:v>
              </c:pt>
              <c:pt idx="2646">
                <c:v>0.3844097180435108</c:v>
              </c:pt>
              <c:pt idx="2647">
                <c:v>0</c:v>
              </c:pt>
              <c:pt idx="2648">
                <c:v>0</c:v>
              </c:pt>
              <c:pt idx="2649">
                <c:v>0.3844097180435108</c:v>
              </c:pt>
              <c:pt idx="2650">
                <c:v>0.3844097180435108</c:v>
              </c:pt>
              <c:pt idx="2651">
                <c:v>0</c:v>
              </c:pt>
              <c:pt idx="2652">
                <c:v>0</c:v>
              </c:pt>
              <c:pt idx="2653">
                <c:v>0.3844097180435108</c:v>
              </c:pt>
              <c:pt idx="2654">
                <c:v>0.3844097180435108</c:v>
              </c:pt>
              <c:pt idx="2655">
                <c:v>0</c:v>
              </c:pt>
              <c:pt idx="2656">
                <c:v>0</c:v>
              </c:pt>
              <c:pt idx="2657">
                <c:v>0.3844097180435108</c:v>
              </c:pt>
              <c:pt idx="2658">
                <c:v>0.3844097180435108</c:v>
              </c:pt>
              <c:pt idx="2659">
                <c:v>0</c:v>
              </c:pt>
              <c:pt idx="2660">
                <c:v>0.3844097180435108</c:v>
              </c:pt>
              <c:pt idx="2661">
                <c:v>0</c:v>
              </c:pt>
              <c:pt idx="2664">
                <c:v>0</c:v>
              </c:pt>
              <c:pt idx="2665">
                <c:v>0.1472207430804935</c:v>
              </c:pt>
              <c:pt idx="2666">
                <c:v>0.1472207430804935</c:v>
              </c:pt>
              <c:pt idx="2667">
                <c:v>0</c:v>
              </c:pt>
              <c:pt idx="2668">
                <c:v>0</c:v>
              </c:pt>
              <c:pt idx="2669">
                <c:v>0.1472207430804935</c:v>
              </c:pt>
              <c:pt idx="2670">
                <c:v>0.1472207430804935</c:v>
              </c:pt>
              <c:pt idx="2671">
                <c:v>0</c:v>
              </c:pt>
              <c:pt idx="2672">
                <c:v>0</c:v>
              </c:pt>
              <c:pt idx="2673">
                <c:v>0.1472207430804935</c:v>
              </c:pt>
              <c:pt idx="2674">
                <c:v>0.1472207430804935</c:v>
              </c:pt>
              <c:pt idx="2675">
                <c:v>0</c:v>
              </c:pt>
              <c:pt idx="2676">
                <c:v>0</c:v>
              </c:pt>
              <c:pt idx="2677">
                <c:v>0.1472207430804935</c:v>
              </c:pt>
              <c:pt idx="2678">
                <c:v>0.1472207430804935</c:v>
              </c:pt>
              <c:pt idx="2679">
                <c:v>0</c:v>
              </c:pt>
              <c:pt idx="2680">
                <c:v>0</c:v>
              </c:pt>
              <c:pt idx="2681">
                <c:v>0.1472207430804935</c:v>
              </c:pt>
              <c:pt idx="2682">
                <c:v>0.1472207430804935</c:v>
              </c:pt>
              <c:pt idx="2683">
                <c:v>0</c:v>
              </c:pt>
              <c:pt idx="2684">
                <c:v>0</c:v>
              </c:pt>
              <c:pt idx="2685">
                <c:v>0.1472207430804935</c:v>
              </c:pt>
              <c:pt idx="2686">
                <c:v>0.1472207430804935</c:v>
              </c:pt>
              <c:pt idx="2687">
                <c:v>0</c:v>
              </c:pt>
              <c:pt idx="2688">
                <c:v>0</c:v>
              </c:pt>
              <c:pt idx="2689">
                <c:v>0.1472207430804935</c:v>
              </c:pt>
              <c:pt idx="2690">
                <c:v>0.1472207430804935</c:v>
              </c:pt>
              <c:pt idx="2691">
                <c:v>0</c:v>
              </c:pt>
              <c:pt idx="2692">
                <c:v>0</c:v>
              </c:pt>
              <c:pt idx="2693">
                <c:v>0.1472207430804935</c:v>
              </c:pt>
              <c:pt idx="2694">
                <c:v>0.1472207430804935</c:v>
              </c:pt>
              <c:pt idx="2695">
                <c:v>0</c:v>
              </c:pt>
              <c:pt idx="2696">
                <c:v>0</c:v>
              </c:pt>
              <c:pt idx="2697">
                <c:v>0.1472207430804935</c:v>
              </c:pt>
              <c:pt idx="2698">
                <c:v>0.1472207430804935</c:v>
              </c:pt>
              <c:pt idx="2699">
                <c:v>0</c:v>
              </c:pt>
              <c:pt idx="2700">
                <c:v>0</c:v>
              </c:pt>
              <c:pt idx="2701">
                <c:v>0.1472207430804935</c:v>
              </c:pt>
              <c:pt idx="2702">
                <c:v>0.1472207430804935</c:v>
              </c:pt>
              <c:pt idx="2703">
                <c:v>0</c:v>
              </c:pt>
              <c:pt idx="2704">
                <c:v>0</c:v>
              </c:pt>
              <c:pt idx="2705">
                <c:v>0.1472207430804935</c:v>
              </c:pt>
              <c:pt idx="2706">
                <c:v>0.1472207430804935</c:v>
              </c:pt>
              <c:pt idx="2707">
                <c:v>0</c:v>
              </c:pt>
              <c:pt idx="2708">
                <c:v>0</c:v>
              </c:pt>
              <c:pt idx="2709">
                <c:v>0.1472207430804935</c:v>
              </c:pt>
              <c:pt idx="2710">
                <c:v>0.1472207430804935</c:v>
              </c:pt>
              <c:pt idx="2711">
                <c:v>0</c:v>
              </c:pt>
              <c:pt idx="2712">
                <c:v>0</c:v>
              </c:pt>
              <c:pt idx="2713">
                <c:v>0.1472207430804935</c:v>
              </c:pt>
              <c:pt idx="2714">
                <c:v>0.1472207430804935</c:v>
              </c:pt>
              <c:pt idx="2715">
                <c:v>0</c:v>
              </c:pt>
              <c:pt idx="2716">
                <c:v>0</c:v>
              </c:pt>
              <c:pt idx="2717">
                <c:v>0.1472207430804935</c:v>
              </c:pt>
              <c:pt idx="2718">
                <c:v>0.1472207430804935</c:v>
              </c:pt>
              <c:pt idx="2719">
                <c:v>0</c:v>
              </c:pt>
              <c:pt idx="2720">
                <c:v>0</c:v>
              </c:pt>
              <c:pt idx="2721">
                <c:v>0.1472207430804935</c:v>
              </c:pt>
              <c:pt idx="2722">
                <c:v>0.1472207430804935</c:v>
              </c:pt>
              <c:pt idx="2723">
                <c:v>0</c:v>
              </c:pt>
              <c:pt idx="2724">
                <c:v>0</c:v>
              </c:pt>
              <c:pt idx="2725">
                <c:v>0.1472207430804935</c:v>
              </c:pt>
              <c:pt idx="2726">
                <c:v>0.1472207430804935</c:v>
              </c:pt>
              <c:pt idx="2727">
                <c:v>0</c:v>
              </c:pt>
              <c:pt idx="2728">
                <c:v>0</c:v>
              </c:pt>
              <c:pt idx="2729">
                <c:v>0.1472207430804935</c:v>
              </c:pt>
              <c:pt idx="2730">
                <c:v>0.1472207430804935</c:v>
              </c:pt>
              <c:pt idx="2731">
                <c:v>0</c:v>
              </c:pt>
              <c:pt idx="2732">
                <c:v>0</c:v>
              </c:pt>
              <c:pt idx="2733">
                <c:v>0.1472207430804935</c:v>
              </c:pt>
              <c:pt idx="2734">
                <c:v>0.1472207430804935</c:v>
              </c:pt>
              <c:pt idx="2735">
                <c:v>0</c:v>
              </c:pt>
              <c:pt idx="2736">
                <c:v>0</c:v>
              </c:pt>
              <c:pt idx="2737">
                <c:v>0.1472207430804935</c:v>
              </c:pt>
              <c:pt idx="2738">
                <c:v>0.1472207430804935</c:v>
              </c:pt>
              <c:pt idx="2739">
                <c:v>0</c:v>
              </c:pt>
              <c:pt idx="2740">
                <c:v>0</c:v>
              </c:pt>
              <c:pt idx="2741">
                <c:v>0.1472207430804935</c:v>
              </c:pt>
              <c:pt idx="2742">
                <c:v>0.1472207430804935</c:v>
              </c:pt>
              <c:pt idx="2743">
                <c:v>0</c:v>
              </c:pt>
              <c:pt idx="2744">
                <c:v>0</c:v>
              </c:pt>
              <c:pt idx="2745">
                <c:v>0.1472207430804935</c:v>
              </c:pt>
              <c:pt idx="2746">
                <c:v>0.1472207430804935</c:v>
              </c:pt>
              <c:pt idx="2747">
                <c:v>0</c:v>
              </c:pt>
              <c:pt idx="2748">
                <c:v>0</c:v>
              </c:pt>
              <c:pt idx="2749">
                <c:v>0.1472207430804935</c:v>
              </c:pt>
              <c:pt idx="2750">
                <c:v>0.1472207430804935</c:v>
              </c:pt>
              <c:pt idx="2751">
                <c:v>0</c:v>
              </c:pt>
              <c:pt idx="2752">
                <c:v>0</c:v>
              </c:pt>
              <c:pt idx="2753">
                <c:v>0.1472207430804935</c:v>
              </c:pt>
              <c:pt idx="2754">
                <c:v>0.1472207430804935</c:v>
              </c:pt>
              <c:pt idx="2755">
                <c:v>0</c:v>
              </c:pt>
              <c:pt idx="2756">
                <c:v>0</c:v>
              </c:pt>
              <c:pt idx="2757">
                <c:v>0.1472207430804935</c:v>
              </c:pt>
              <c:pt idx="2758">
                <c:v>0.1472207430804935</c:v>
              </c:pt>
              <c:pt idx="2759">
                <c:v>0</c:v>
              </c:pt>
              <c:pt idx="2760">
                <c:v>0</c:v>
              </c:pt>
              <c:pt idx="2761">
                <c:v>0.1472207430804935</c:v>
              </c:pt>
              <c:pt idx="2762">
                <c:v>0.1472207430804935</c:v>
              </c:pt>
              <c:pt idx="2763">
                <c:v>0</c:v>
              </c:pt>
              <c:pt idx="2764">
                <c:v>0</c:v>
              </c:pt>
              <c:pt idx="2765">
                <c:v>0.1472207430804935</c:v>
              </c:pt>
              <c:pt idx="2766">
                <c:v>0.1472207430804935</c:v>
              </c:pt>
              <c:pt idx="2767">
                <c:v>0</c:v>
              </c:pt>
              <c:pt idx="2768">
                <c:v>0</c:v>
              </c:pt>
              <c:pt idx="2769">
                <c:v>0.1472207430804935</c:v>
              </c:pt>
              <c:pt idx="2770">
                <c:v>0.1472207430804935</c:v>
              </c:pt>
              <c:pt idx="2771">
                <c:v>0</c:v>
              </c:pt>
              <c:pt idx="2772">
                <c:v>0</c:v>
              </c:pt>
              <c:pt idx="2773">
                <c:v>0.1472207430804935</c:v>
              </c:pt>
              <c:pt idx="2774">
                <c:v>0.1472207430804935</c:v>
              </c:pt>
              <c:pt idx="2775">
                <c:v>0</c:v>
              </c:pt>
              <c:pt idx="2776">
                <c:v>0</c:v>
              </c:pt>
              <c:pt idx="2777">
                <c:v>0.1472207430804935</c:v>
              </c:pt>
              <c:pt idx="2778">
                <c:v>0.1472207430804935</c:v>
              </c:pt>
              <c:pt idx="2779">
                <c:v>0</c:v>
              </c:pt>
              <c:pt idx="2780">
                <c:v>0</c:v>
              </c:pt>
              <c:pt idx="2781">
                <c:v>0.1472207430804935</c:v>
              </c:pt>
              <c:pt idx="2782">
                <c:v>0.1472207430804935</c:v>
              </c:pt>
              <c:pt idx="2783">
                <c:v>0</c:v>
              </c:pt>
              <c:pt idx="2784">
                <c:v>0</c:v>
              </c:pt>
              <c:pt idx="2785">
                <c:v>0.1472207430804935</c:v>
              </c:pt>
              <c:pt idx="2786">
                <c:v>0.1472207430804935</c:v>
              </c:pt>
              <c:pt idx="2787">
                <c:v>0</c:v>
              </c:pt>
              <c:pt idx="2788">
                <c:v>0</c:v>
              </c:pt>
              <c:pt idx="2789">
                <c:v>0.1472207430804935</c:v>
              </c:pt>
              <c:pt idx="2790">
                <c:v>0.1472207430804935</c:v>
              </c:pt>
              <c:pt idx="2791">
                <c:v>0</c:v>
              </c:pt>
              <c:pt idx="2792">
                <c:v>0</c:v>
              </c:pt>
              <c:pt idx="2793">
                <c:v>0.1472207430804935</c:v>
              </c:pt>
              <c:pt idx="2794">
                <c:v>0.1472207430804935</c:v>
              </c:pt>
              <c:pt idx="2795">
                <c:v>0</c:v>
              </c:pt>
              <c:pt idx="2796">
                <c:v>0</c:v>
              </c:pt>
              <c:pt idx="2797">
                <c:v>0.1472207430804935</c:v>
              </c:pt>
              <c:pt idx="2798">
                <c:v>0.1472207430804935</c:v>
              </c:pt>
              <c:pt idx="2799">
                <c:v>0</c:v>
              </c:pt>
              <c:pt idx="2800">
                <c:v>0</c:v>
              </c:pt>
              <c:pt idx="2801">
                <c:v>0.1472207430804935</c:v>
              </c:pt>
              <c:pt idx="2802">
                <c:v>0.1472207430804935</c:v>
              </c:pt>
              <c:pt idx="2803">
                <c:v>0</c:v>
              </c:pt>
              <c:pt idx="2804">
                <c:v>0</c:v>
              </c:pt>
              <c:pt idx="2805">
                <c:v>0.1472207430804935</c:v>
              </c:pt>
              <c:pt idx="2806">
                <c:v>0.1472207430804935</c:v>
              </c:pt>
              <c:pt idx="2807">
                <c:v>0</c:v>
              </c:pt>
              <c:pt idx="2808">
                <c:v>0.1472207430804935</c:v>
              </c:pt>
              <c:pt idx="2809">
                <c:v>0</c:v>
              </c:pt>
              <c:pt idx="2812">
                <c:v>0</c:v>
              </c:pt>
              <c:pt idx="2813">
                <c:v>0.08178930171138528</c:v>
              </c:pt>
              <c:pt idx="2814">
                <c:v>0.08178930171138528</c:v>
              </c:pt>
              <c:pt idx="2815">
                <c:v>0</c:v>
              </c:pt>
              <c:pt idx="2816">
                <c:v>0</c:v>
              </c:pt>
              <c:pt idx="2817">
                <c:v>0.08178930171138528</c:v>
              </c:pt>
              <c:pt idx="2818">
                <c:v>0.08178930171138528</c:v>
              </c:pt>
              <c:pt idx="2819">
                <c:v>0</c:v>
              </c:pt>
              <c:pt idx="2820">
                <c:v>0</c:v>
              </c:pt>
              <c:pt idx="2821">
                <c:v>0.08178930171138528</c:v>
              </c:pt>
              <c:pt idx="2822">
                <c:v>0.08178930171138528</c:v>
              </c:pt>
              <c:pt idx="2823">
                <c:v>0</c:v>
              </c:pt>
              <c:pt idx="2824">
                <c:v>0</c:v>
              </c:pt>
              <c:pt idx="2825">
                <c:v>0.08178930171138528</c:v>
              </c:pt>
              <c:pt idx="2826">
                <c:v>0.08178930171138528</c:v>
              </c:pt>
              <c:pt idx="2827">
                <c:v>0</c:v>
              </c:pt>
              <c:pt idx="2828">
                <c:v>0</c:v>
              </c:pt>
              <c:pt idx="2829">
                <c:v>0.08178930171138528</c:v>
              </c:pt>
              <c:pt idx="2830">
                <c:v>0.08178930171138528</c:v>
              </c:pt>
              <c:pt idx="2831">
                <c:v>0</c:v>
              </c:pt>
              <c:pt idx="2832">
                <c:v>0</c:v>
              </c:pt>
              <c:pt idx="2833">
                <c:v>0.08178930171138528</c:v>
              </c:pt>
              <c:pt idx="2834">
                <c:v>0.08178930171138528</c:v>
              </c:pt>
              <c:pt idx="2835">
                <c:v>0</c:v>
              </c:pt>
              <c:pt idx="2836">
                <c:v>0</c:v>
              </c:pt>
              <c:pt idx="2837">
                <c:v>0.08178930171138528</c:v>
              </c:pt>
              <c:pt idx="2838">
                <c:v>0.08178930171138528</c:v>
              </c:pt>
              <c:pt idx="2839">
                <c:v>0</c:v>
              </c:pt>
              <c:pt idx="2840">
                <c:v>0</c:v>
              </c:pt>
              <c:pt idx="2841">
                <c:v>0.08178930171138528</c:v>
              </c:pt>
              <c:pt idx="2842">
                <c:v>0.08178930171138528</c:v>
              </c:pt>
              <c:pt idx="2843">
                <c:v>0</c:v>
              </c:pt>
              <c:pt idx="2844">
                <c:v>0</c:v>
              </c:pt>
              <c:pt idx="2845">
                <c:v>0.08178930171138528</c:v>
              </c:pt>
              <c:pt idx="2846">
                <c:v>0.08178930171138528</c:v>
              </c:pt>
              <c:pt idx="2847">
                <c:v>0</c:v>
              </c:pt>
              <c:pt idx="2848">
                <c:v>0</c:v>
              </c:pt>
              <c:pt idx="2849">
                <c:v>0.08178930171138528</c:v>
              </c:pt>
              <c:pt idx="2850">
                <c:v>0.08178930171138528</c:v>
              </c:pt>
              <c:pt idx="2851">
                <c:v>0</c:v>
              </c:pt>
              <c:pt idx="2852">
                <c:v>0</c:v>
              </c:pt>
              <c:pt idx="2853">
                <c:v>0.08178930171138528</c:v>
              </c:pt>
              <c:pt idx="2854">
                <c:v>0.08178930171138528</c:v>
              </c:pt>
              <c:pt idx="2855">
                <c:v>0</c:v>
              </c:pt>
              <c:pt idx="2856">
                <c:v>0</c:v>
              </c:pt>
              <c:pt idx="2857">
                <c:v>0.08178930171138528</c:v>
              </c:pt>
              <c:pt idx="2858">
                <c:v>0.08178930171138528</c:v>
              </c:pt>
              <c:pt idx="2859">
                <c:v>0</c:v>
              </c:pt>
              <c:pt idx="2860">
                <c:v>0</c:v>
              </c:pt>
              <c:pt idx="2861">
                <c:v>0.08178930171138528</c:v>
              </c:pt>
              <c:pt idx="2862">
                <c:v>0.08178930171138528</c:v>
              </c:pt>
              <c:pt idx="2863">
                <c:v>0</c:v>
              </c:pt>
              <c:pt idx="2864">
                <c:v>0</c:v>
              </c:pt>
              <c:pt idx="2865">
                <c:v>0.08178930171138528</c:v>
              </c:pt>
              <c:pt idx="2866">
                <c:v>0.08178930171138528</c:v>
              </c:pt>
              <c:pt idx="2867">
                <c:v>0</c:v>
              </c:pt>
              <c:pt idx="2868">
                <c:v>0</c:v>
              </c:pt>
              <c:pt idx="2869">
                <c:v>0.08178930171138528</c:v>
              </c:pt>
              <c:pt idx="2870">
                <c:v>0.08178930171138528</c:v>
              </c:pt>
              <c:pt idx="2871">
                <c:v>0</c:v>
              </c:pt>
              <c:pt idx="2872">
                <c:v>0</c:v>
              </c:pt>
              <c:pt idx="2873">
                <c:v>0.08178930171138528</c:v>
              </c:pt>
              <c:pt idx="2874">
                <c:v>0.08178930171138528</c:v>
              </c:pt>
              <c:pt idx="2875">
                <c:v>0</c:v>
              </c:pt>
              <c:pt idx="2876">
                <c:v>0</c:v>
              </c:pt>
              <c:pt idx="2877">
                <c:v>0.08178930171138528</c:v>
              </c:pt>
              <c:pt idx="2878">
                <c:v>0.08178930171138528</c:v>
              </c:pt>
              <c:pt idx="2879">
                <c:v>0</c:v>
              </c:pt>
              <c:pt idx="2880">
                <c:v>0</c:v>
              </c:pt>
              <c:pt idx="2881">
                <c:v>0.08178930171138528</c:v>
              </c:pt>
              <c:pt idx="2882">
                <c:v>0.08178930171138528</c:v>
              </c:pt>
              <c:pt idx="2883">
                <c:v>0</c:v>
              </c:pt>
              <c:pt idx="2884">
                <c:v>0</c:v>
              </c:pt>
              <c:pt idx="2885">
                <c:v>0.08178930171138528</c:v>
              </c:pt>
              <c:pt idx="2886">
                <c:v>0.08178930171138528</c:v>
              </c:pt>
              <c:pt idx="2887">
                <c:v>0</c:v>
              </c:pt>
              <c:pt idx="2888">
                <c:v>0</c:v>
              </c:pt>
              <c:pt idx="2889">
                <c:v>0.08178930171138528</c:v>
              </c:pt>
              <c:pt idx="2890">
                <c:v>0.08178930171138528</c:v>
              </c:pt>
              <c:pt idx="2891">
                <c:v>0</c:v>
              </c:pt>
              <c:pt idx="2892">
                <c:v>0</c:v>
              </c:pt>
              <c:pt idx="2893">
                <c:v>0.08178930171138528</c:v>
              </c:pt>
              <c:pt idx="2894">
                <c:v>0.08178930171138528</c:v>
              </c:pt>
              <c:pt idx="2895">
                <c:v>0</c:v>
              </c:pt>
              <c:pt idx="2896">
                <c:v>0</c:v>
              </c:pt>
              <c:pt idx="2897">
                <c:v>0.08178930171138528</c:v>
              </c:pt>
              <c:pt idx="2898">
                <c:v>0.08178930171138528</c:v>
              </c:pt>
              <c:pt idx="2899">
                <c:v>0</c:v>
              </c:pt>
              <c:pt idx="2900">
                <c:v>0</c:v>
              </c:pt>
              <c:pt idx="2901">
                <c:v>0.08178930171138528</c:v>
              </c:pt>
              <c:pt idx="2902">
                <c:v>0.08178930171138528</c:v>
              </c:pt>
              <c:pt idx="2903">
                <c:v>0</c:v>
              </c:pt>
              <c:pt idx="2904">
                <c:v>0</c:v>
              </c:pt>
              <c:pt idx="2905">
                <c:v>0.08178930171138528</c:v>
              </c:pt>
              <c:pt idx="2906">
                <c:v>0.08178930171138528</c:v>
              </c:pt>
              <c:pt idx="2907">
                <c:v>0</c:v>
              </c:pt>
              <c:pt idx="2908">
                <c:v>0</c:v>
              </c:pt>
              <c:pt idx="2909">
                <c:v>0.08178930171138528</c:v>
              </c:pt>
              <c:pt idx="2910">
                <c:v>0.08178930171138528</c:v>
              </c:pt>
              <c:pt idx="2911">
                <c:v>0</c:v>
              </c:pt>
              <c:pt idx="2912">
                <c:v>0</c:v>
              </c:pt>
              <c:pt idx="2913">
                <c:v>0.08178930171138528</c:v>
              </c:pt>
              <c:pt idx="2914">
                <c:v>0.08178930171138528</c:v>
              </c:pt>
              <c:pt idx="2915">
                <c:v>0</c:v>
              </c:pt>
              <c:pt idx="2916">
                <c:v>0</c:v>
              </c:pt>
              <c:pt idx="2917">
                <c:v>0.08178930171138528</c:v>
              </c:pt>
              <c:pt idx="2918">
                <c:v>0.08178930171138528</c:v>
              </c:pt>
              <c:pt idx="2919">
                <c:v>0</c:v>
              </c:pt>
              <c:pt idx="2920">
                <c:v>0</c:v>
              </c:pt>
              <c:pt idx="2921">
                <c:v>0.08178930171138528</c:v>
              </c:pt>
              <c:pt idx="2922">
                <c:v>0.08178930171138528</c:v>
              </c:pt>
              <c:pt idx="2923">
                <c:v>0</c:v>
              </c:pt>
              <c:pt idx="2924">
                <c:v>0</c:v>
              </c:pt>
              <c:pt idx="2925">
                <c:v>0.08178930171138528</c:v>
              </c:pt>
              <c:pt idx="2926">
                <c:v>0.08178930171138528</c:v>
              </c:pt>
              <c:pt idx="2927">
                <c:v>0</c:v>
              </c:pt>
              <c:pt idx="2928">
                <c:v>0</c:v>
              </c:pt>
              <c:pt idx="2929">
                <c:v>0.08178930171138528</c:v>
              </c:pt>
              <c:pt idx="2930">
                <c:v>0.08178930171138528</c:v>
              </c:pt>
              <c:pt idx="2931">
                <c:v>0</c:v>
              </c:pt>
              <c:pt idx="2932">
                <c:v>0</c:v>
              </c:pt>
              <c:pt idx="2933">
                <c:v>0.08178930171138528</c:v>
              </c:pt>
              <c:pt idx="2934">
                <c:v>0.08178930171138528</c:v>
              </c:pt>
              <c:pt idx="2935">
                <c:v>0</c:v>
              </c:pt>
              <c:pt idx="2936">
                <c:v>0</c:v>
              </c:pt>
              <c:pt idx="2937">
                <c:v>0.08178930171138528</c:v>
              </c:pt>
              <c:pt idx="2938">
                <c:v>0.08178930171138528</c:v>
              </c:pt>
              <c:pt idx="2939">
                <c:v>0</c:v>
              </c:pt>
              <c:pt idx="2940">
                <c:v>0</c:v>
              </c:pt>
              <c:pt idx="2941">
                <c:v>0.08178930171138528</c:v>
              </c:pt>
              <c:pt idx="2942">
                <c:v>0.08178930171138528</c:v>
              </c:pt>
              <c:pt idx="2943">
                <c:v>0</c:v>
              </c:pt>
              <c:pt idx="2944">
                <c:v>0</c:v>
              </c:pt>
              <c:pt idx="2945">
                <c:v>0.08178930171138528</c:v>
              </c:pt>
              <c:pt idx="2946">
                <c:v>0.08178930171138528</c:v>
              </c:pt>
              <c:pt idx="2947">
                <c:v>0</c:v>
              </c:pt>
              <c:pt idx="2948">
                <c:v>0</c:v>
              </c:pt>
              <c:pt idx="2949">
                <c:v>0.08178930171138528</c:v>
              </c:pt>
              <c:pt idx="2950">
                <c:v>0.08178930171138528</c:v>
              </c:pt>
              <c:pt idx="2951">
                <c:v>0</c:v>
              </c:pt>
              <c:pt idx="2952">
                <c:v>0</c:v>
              </c:pt>
              <c:pt idx="2953">
                <c:v>0.08178930171138528</c:v>
              </c:pt>
              <c:pt idx="2954">
                <c:v>0.08178930171138528</c:v>
              </c:pt>
              <c:pt idx="2955">
                <c:v>0</c:v>
              </c:pt>
              <c:pt idx="2956">
                <c:v>0.08178930171138528</c:v>
              </c:pt>
              <c:pt idx="2957">
                <c:v>0</c:v>
              </c:pt>
              <c:pt idx="2960">
                <c:v>0</c:v>
              </c:pt>
              <c:pt idx="2961">
                <c:v>0.06543144136910822</c:v>
              </c:pt>
              <c:pt idx="2962">
                <c:v>0.06543144136910822</c:v>
              </c:pt>
              <c:pt idx="2963">
                <c:v>0</c:v>
              </c:pt>
              <c:pt idx="2964">
                <c:v>0</c:v>
              </c:pt>
              <c:pt idx="2965">
                <c:v>0.06543144136910822</c:v>
              </c:pt>
              <c:pt idx="2966">
                <c:v>0.06543144136910822</c:v>
              </c:pt>
              <c:pt idx="2967">
                <c:v>0</c:v>
              </c:pt>
              <c:pt idx="2968">
                <c:v>0</c:v>
              </c:pt>
              <c:pt idx="2969">
                <c:v>0.06543144136910822</c:v>
              </c:pt>
              <c:pt idx="2970">
                <c:v>0.06543144136910822</c:v>
              </c:pt>
              <c:pt idx="2971">
                <c:v>0</c:v>
              </c:pt>
              <c:pt idx="2972">
                <c:v>0</c:v>
              </c:pt>
              <c:pt idx="2973">
                <c:v>0.06543144136910822</c:v>
              </c:pt>
              <c:pt idx="2974">
                <c:v>0.06543144136910822</c:v>
              </c:pt>
              <c:pt idx="2975">
                <c:v>0</c:v>
              </c:pt>
              <c:pt idx="2976">
                <c:v>0</c:v>
              </c:pt>
              <c:pt idx="2977">
                <c:v>0.06543144136910822</c:v>
              </c:pt>
              <c:pt idx="2978">
                <c:v>0.06543144136910822</c:v>
              </c:pt>
              <c:pt idx="2979">
                <c:v>0</c:v>
              </c:pt>
              <c:pt idx="2980">
                <c:v>0</c:v>
              </c:pt>
              <c:pt idx="2981">
                <c:v>0.06543144136910822</c:v>
              </c:pt>
              <c:pt idx="2982">
                <c:v>0.06543144136910822</c:v>
              </c:pt>
              <c:pt idx="2983">
                <c:v>0</c:v>
              </c:pt>
              <c:pt idx="2984">
                <c:v>0</c:v>
              </c:pt>
              <c:pt idx="2985">
                <c:v>0.06543144136910822</c:v>
              </c:pt>
              <c:pt idx="2986">
                <c:v>0.06543144136910822</c:v>
              </c:pt>
              <c:pt idx="2987">
                <c:v>0</c:v>
              </c:pt>
              <c:pt idx="2988">
                <c:v>0</c:v>
              </c:pt>
              <c:pt idx="2989">
                <c:v>0.06543144136910822</c:v>
              </c:pt>
              <c:pt idx="2990">
                <c:v>0.06543144136910822</c:v>
              </c:pt>
              <c:pt idx="2991">
                <c:v>0</c:v>
              </c:pt>
              <c:pt idx="2992">
                <c:v>0</c:v>
              </c:pt>
              <c:pt idx="2993">
                <c:v>0.06543144136910822</c:v>
              </c:pt>
              <c:pt idx="2994">
                <c:v>0.06543144136910822</c:v>
              </c:pt>
              <c:pt idx="2995">
                <c:v>0</c:v>
              </c:pt>
              <c:pt idx="2996">
                <c:v>0</c:v>
              </c:pt>
              <c:pt idx="2997">
                <c:v>0.06543144136910822</c:v>
              </c:pt>
              <c:pt idx="2998">
                <c:v>0.06543144136910822</c:v>
              </c:pt>
              <c:pt idx="2999">
                <c:v>0</c:v>
              </c:pt>
              <c:pt idx="3000">
                <c:v>0</c:v>
              </c:pt>
              <c:pt idx="3001">
                <c:v>0.06543144136910822</c:v>
              </c:pt>
              <c:pt idx="3002">
                <c:v>0.06543144136910822</c:v>
              </c:pt>
              <c:pt idx="3003">
                <c:v>0</c:v>
              </c:pt>
              <c:pt idx="3004">
                <c:v>0</c:v>
              </c:pt>
              <c:pt idx="3005">
                <c:v>0.06543144136910822</c:v>
              </c:pt>
              <c:pt idx="3006">
                <c:v>0.06543144136910822</c:v>
              </c:pt>
              <c:pt idx="3007">
                <c:v>0</c:v>
              </c:pt>
              <c:pt idx="3008">
                <c:v>0</c:v>
              </c:pt>
              <c:pt idx="3009">
                <c:v>0.06543144136910822</c:v>
              </c:pt>
              <c:pt idx="3010">
                <c:v>0.06543144136910822</c:v>
              </c:pt>
              <c:pt idx="3011">
                <c:v>0</c:v>
              </c:pt>
              <c:pt idx="3012">
                <c:v>0</c:v>
              </c:pt>
              <c:pt idx="3013">
                <c:v>0.06543144136910822</c:v>
              </c:pt>
              <c:pt idx="3014">
                <c:v>0.06543144136910822</c:v>
              </c:pt>
              <c:pt idx="3015">
                <c:v>0</c:v>
              </c:pt>
              <c:pt idx="3016">
                <c:v>0</c:v>
              </c:pt>
              <c:pt idx="3017">
                <c:v>0.06543144136910822</c:v>
              </c:pt>
              <c:pt idx="3018">
                <c:v>0.06543144136910822</c:v>
              </c:pt>
              <c:pt idx="3019">
                <c:v>0</c:v>
              </c:pt>
              <c:pt idx="3020">
                <c:v>0</c:v>
              </c:pt>
              <c:pt idx="3021">
                <c:v>0.06543144136910822</c:v>
              </c:pt>
              <c:pt idx="3022">
                <c:v>0.06543144136910822</c:v>
              </c:pt>
              <c:pt idx="3023">
                <c:v>0</c:v>
              </c:pt>
              <c:pt idx="3024">
                <c:v>0</c:v>
              </c:pt>
              <c:pt idx="3025">
                <c:v>0.06543144136910822</c:v>
              </c:pt>
              <c:pt idx="3026">
                <c:v>0.06543144136910822</c:v>
              </c:pt>
              <c:pt idx="3027">
                <c:v>0</c:v>
              </c:pt>
              <c:pt idx="3028">
                <c:v>0</c:v>
              </c:pt>
              <c:pt idx="3029">
                <c:v>0.06543144136910822</c:v>
              </c:pt>
              <c:pt idx="3030">
                <c:v>0.06543144136910822</c:v>
              </c:pt>
              <c:pt idx="3031">
                <c:v>0</c:v>
              </c:pt>
              <c:pt idx="3032">
                <c:v>0</c:v>
              </c:pt>
              <c:pt idx="3033">
                <c:v>0.06543144136910822</c:v>
              </c:pt>
              <c:pt idx="3034">
                <c:v>0.06543144136910822</c:v>
              </c:pt>
              <c:pt idx="3035">
                <c:v>0</c:v>
              </c:pt>
              <c:pt idx="3036">
                <c:v>0</c:v>
              </c:pt>
              <c:pt idx="3037">
                <c:v>0.06543144136910822</c:v>
              </c:pt>
              <c:pt idx="3038">
                <c:v>0.06543144136910822</c:v>
              </c:pt>
              <c:pt idx="3039">
                <c:v>0</c:v>
              </c:pt>
              <c:pt idx="3040">
                <c:v>0</c:v>
              </c:pt>
              <c:pt idx="3041">
                <c:v>0.06543144136910822</c:v>
              </c:pt>
              <c:pt idx="3042">
                <c:v>0.06543144136910822</c:v>
              </c:pt>
              <c:pt idx="3043">
                <c:v>0</c:v>
              </c:pt>
              <c:pt idx="3044">
                <c:v>0</c:v>
              </c:pt>
              <c:pt idx="3045">
                <c:v>0.06543144136910822</c:v>
              </c:pt>
              <c:pt idx="3046">
                <c:v>0.06543144136910822</c:v>
              </c:pt>
              <c:pt idx="3047">
                <c:v>0</c:v>
              </c:pt>
              <c:pt idx="3048">
                <c:v>0</c:v>
              </c:pt>
              <c:pt idx="3049">
                <c:v>0.06543144136910822</c:v>
              </c:pt>
              <c:pt idx="3050">
                <c:v>0.06543144136910822</c:v>
              </c:pt>
              <c:pt idx="3051">
                <c:v>0</c:v>
              </c:pt>
              <c:pt idx="3052">
                <c:v>0</c:v>
              </c:pt>
              <c:pt idx="3053">
                <c:v>0.06543144136910822</c:v>
              </c:pt>
              <c:pt idx="3054">
                <c:v>0.06543144136910822</c:v>
              </c:pt>
              <c:pt idx="3055">
                <c:v>0</c:v>
              </c:pt>
              <c:pt idx="3056">
                <c:v>0</c:v>
              </c:pt>
              <c:pt idx="3057">
                <c:v>0.06543144136910822</c:v>
              </c:pt>
              <c:pt idx="3058">
                <c:v>0.06543144136910822</c:v>
              </c:pt>
              <c:pt idx="3059">
                <c:v>0</c:v>
              </c:pt>
              <c:pt idx="3060">
                <c:v>0</c:v>
              </c:pt>
              <c:pt idx="3061">
                <c:v>0.06543144136910822</c:v>
              </c:pt>
              <c:pt idx="3062">
                <c:v>0.06543144136910822</c:v>
              </c:pt>
              <c:pt idx="3063">
                <c:v>0</c:v>
              </c:pt>
              <c:pt idx="3064">
                <c:v>0</c:v>
              </c:pt>
              <c:pt idx="3065">
                <c:v>0.06543144136910822</c:v>
              </c:pt>
              <c:pt idx="3066">
                <c:v>0.06543144136910822</c:v>
              </c:pt>
              <c:pt idx="3067">
                <c:v>0</c:v>
              </c:pt>
              <c:pt idx="3068">
                <c:v>0</c:v>
              </c:pt>
              <c:pt idx="3069">
                <c:v>0.06543144136910822</c:v>
              </c:pt>
              <c:pt idx="3070">
                <c:v>0.06543144136910822</c:v>
              </c:pt>
              <c:pt idx="3071">
                <c:v>0</c:v>
              </c:pt>
              <c:pt idx="3072">
                <c:v>0</c:v>
              </c:pt>
              <c:pt idx="3073">
                <c:v>0.06543144136910822</c:v>
              </c:pt>
              <c:pt idx="3074">
                <c:v>0.06543144136910822</c:v>
              </c:pt>
              <c:pt idx="3075">
                <c:v>0</c:v>
              </c:pt>
              <c:pt idx="3076">
                <c:v>0</c:v>
              </c:pt>
              <c:pt idx="3077">
                <c:v>0.06543144136910822</c:v>
              </c:pt>
              <c:pt idx="3078">
                <c:v>0.06543144136910822</c:v>
              </c:pt>
              <c:pt idx="3079">
                <c:v>0</c:v>
              </c:pt>
              <c:pt idx="3080">
                <c:v>0</c:v>
              </c:pt>
              <c:pt idx="3081">
                <c:v>0.06543144136910822</c:v>
              </c:pt>
              <c:pt idx="3082">
                <c:v>0.06543144136910822</c:v>
              </c:pt>
              <c:pt idx="3083">
                <c:v>0</c:v>
              </c:pt>
              <c:pt idx="3084">
                <c:v>0</c:v>
              </c:pt>
              <c:pt idx="3085">
                <c:v>0.06543144136910822</c:v>
              </c:pt>
              <c:pt idx="3086">
                <c:v>0.06543144136910822</c:v>
              </c:pt>
              <c:pt idx="3087">
                <c:v>0</c:v>
              </c:pt>
              <c:pt idx="3088">
                <c:v>0</c:v>
              </c:pt>
              <c:pt idx="3089">
                <c:v>0.06543144136910822</c:v>
              </c:pt>
              <c:pt idx="3090">
                <c:v>0.06543144136910822</c:v>
              </c:pt>
              <c:pt idx="3091">
                <c:v>0</c:v>
              </c:pt>
              <c:pt idx="3092">
                <c:v>0</c:v>
              </c:pt>
              <c:pt idx="3093">
                <c:v>0.06543144136910822</c:v>
              </c:pt>
              <c:pt idx="3094">
                <c:v>0.06543144136910822</c:v>
              </c:pt>
              <c:pt idx="3095">
                <c:v>0</c:v>
              </c:pt>
              <c:pt idx="3096">
                <c:v>0</c:v>
              </c:pt>
              <c:pt idx="3097">
                <c:v>0.06543144136910822</c:v>
              </c:pt>
              <c:pt idx="3098">
                <c:v>0.06543144136910822</c:v>
              </c:pt>
              <c:pt idx="3099">
                <c:v>0</c:v>
              </c:pt>
              <c:pt idx="3100">
                <c:v>0</c:v>
              </c:pt>
              <c:pt idx="3101">
                <c:v>0.06543144136910822</c:v>
              </c:pt>
              <c:pt idx="3102">
                <c:v>0.06543144136910822</c:v>
              </c:pt>
              <c:pt idx="3103">
                <c:v>0</c:v>
              </c:pt>
              <c:pt idx="3104">
                <c:v>0.06543144136910822</c:v>
              </c:pt>
              <c:pt idx="3105">
                <c:v>0</c:v>
              </c:pt>
            </c:numLit>
          </c:y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5"/>
              <c:pt idx="0">
                <c:v>0.12816284596920013</c:v>
              </c:pt>
              <c:pt idx="1">
                <c:v>0.12816284596920013</c:v>
              </c:pt>
              <c:pt idx="2">
                <c:v>0.12816284596920013</c:v>
              </c:pt>
              <c:pt idx="3">
                <c:v>0.15261592183794295</c:v>
              </c:pt>
              <c:pt idx="4">
                <c:v>0.15261592183794295</c:v>
              </c:pt>
              <c:pt idx="5">
                <c:v>0.15261592183794295</c:v>
              </c:pt>
              <c:pt idx="6">
                <c:v>0.17706899770668574</c:v>
              </c:pt>
              <c:pt idx="7">
                <c:v>0.17706899770668574</c:v>
              </c:pt>
              <c:pt idx="8">
                <c:v>0.17706899770668574</c:v>
              </c:pt>
              <c:pt idx="9">
                <c:v>0.20152207357542856</c:v>
              </c:pt>
              <c:pt idx="10">
                <c:v>0.20152207357542856</c:v>
              </c:pt>
              <c:pt idx="11">
                <c:v>0.20152207357542856</c:v>
              </c:pt>
              <c:pt idx="12">
                <c:v>0.22597514944417135</c:v>
              </c:pt>
              <c:pt idx="13">
                <c:v>0.22597514944417135</c:v>
              </c:pt>
              <c:pt idx="14">
                <c:v>0.22597514944417135</c:v>
              </c:pt>
              <c:pt idx="15">
                <c:v>0.25042822531291414</c:v>
              </c:pt>
              <c:pt idx="16">
                <c:v>0.25042822531291414</c:v>
              </c:pt>
              <c:pt idx="17">
                <c:v>0.25042822531291414</c:v>
              </c:pt>
              <c:pt idx="18">
                <c:v>0.274881301181657</c:v>
              </c:pt>
              <c:pt idx="19">
                <c:v>0.274881301181657</c:v>
              </c:pt>
              <c:pt idx="20">
                <c:v>0.274881301181657</c:v>
              </c:pt>
              <c:pt idx="21">
                <c:v>0.2993343770503998</c:v>
              </c:pt>
              <c:pt idx="22">
                <c:v>0.2993343770503998</c:v>
              </c:pt>
              <c:pt idx="23">
                <c:v>0.2993343770503998</c:v>
              </c:pt>
              <c:pt idx="24">
                <c:v>0.32378745291914257</c:v>
              </c:pt>
              <c:pt idx="25">
                <c:v>0.32378745291914257</c:v>
              </c:pt>
              <c:pt idx="26">
                <c:v>0.32378745291914257</c:v>
              </c:pt>
              <c:pt idx="27">
                <c:v>0.3482405287878854</c:v>
              </c:pt>
              <c:pt idx="28">
                <c:v>0.3482405287878854</c:v>
              </c:pt>
              <c:pt idx="29">
                <c:v>0.3482405287878854</c:v>
              </c:pt>
              <c:pt idx="30">
                <c:v>0.3726936046566282</c:v>
              </c:pt>
              <c:pt idx="31">
                <c:v>0.3726936046566282</c:v>
              </c:pt>
              <c:pt idx="32">
                <c:v>0.3726936046566282</c:v>
              </c:pt>
              <c:pt idx="33">
                <c:v>0.397146680525371</c:v>
              </c:pt>
              <c:pt idx="34">
                <c:v>0.397146680525371</c:v>
              </c:pt>
              <c:pt idx="35">
                <c:v>0.397146680525371</c:v>
              </c:pt>
              <c:pt idx="36">
                <c:v>0.4215997563941138</c:v>
              </c:pt>
              <c:pt idx="37">
                <c:v>0.4215997563941138</c:v>
              </c:pt>
              <c:pt idx="38">
                <c:v>0.4215997563941138</c:v>
              </c:pt>
              <c:pt idx="39">
                <c:v>0.44605283226285664</c:v>
              </c:pt>
              <c:pt idx="40">
                <c:v>0.44605283226285664</c:v>
              </c:pt>
              <c:pt idx="41">
                <c:v>0.44605283226285664</c:v>
              </c:pt>
              <c:pt idx="42">
                <c:v>0.4705059081315994</c:v>
              </c:pt>
              <c:pt idx="43">
                <c:v>0.4705059081315994</c:v>
              </c:pt>
              <c:pt idx="44">
                <c:v>0.4705059081315994</c:v>
              </c:pt>
              <c:pt idx="45">
                <c:v>0.4949589840003422</c:v>
              </c:pt>
              <c:pt idx="46">
                <c:v>0.4949589840003422</c:v>
              </c:pt>
              <c:pt idx="47">
                <c:v>0.4949589840003422</c:v>
              </c:pt>
              <c:pt idx="48">
                <c:v>0.519412059869085</c:v>
              </c:pt>
              <c:pt idx="49">
                <c:v>0.519412059869085</c:v>
              </c:pt>
              <c:pt idx="50">
                <c:v>0.519412059869085</c:v>
              </c:pt>
              <c:pt idx="51">
                <c:v>0.5438651357378278</c:v>
              </c:pt>
              <c:pt idx="52">
                <c:v>0.5438651357378278</c:v>
              </c:pt>
              <c:pt idx="53">
                <c:v>0.5438651357378278</c:v>
              </c:pt>
              <c:pt idx="54">
                <c:v>0.5683182116065707</c:v>
              </c:pt>
              <c:pt idx="55">
                <c:v>0.5683182116065707</c:v>
              </c:pt>
              <c:pt idx="56">
                <c:v>0.5683182116065707</c:v>
              </c:pt>
              <c:pt idx="57">
                <c:v>0.5927712874753135</c:v>
              </c:pt>
              <c:pt idx="58">
                <c:v>0.5927712874753135</c:v>
              </c:pt>
              <c:pt idx="59">
                <c:v>0.5927712874753135</c:v>
              </c:pt>
              <c:pt idx="60">
                <c:v>0.6172243633440563</c:v>
              </c:pt>
              <c:pt idx="61">
                <c:v>0.6172243633440563</c:v>
              </c:pt>
              <c:pt idx="62">
                <c:v>0.6172243633440563</c:v>
              </c:pt>
              <c:pt idx="63">
                <c:v>0.6416774392127991</c:v>
              </c:pt>
              <c:pt idx="64">
                <c:v>0.6416774392127991</c:v>
              </c:pt>
            </c:numLit>
          </c:xVal>
          <c:yVal>
            <c:numLit>
              <c:ptCount val="65"/>
              <c:pt idx="0">
                <c:v>0</c:v>
              </c:pt>
              <c:pt idx="1">
                <c:v>0</c:v>
              </c:pt>
              <c:pt idx="2">
                <c:v>0.1472207430804935</c:v>
              </c:pt>
              <c:pt idx="3">
                <c:v>0.1472207430804935</c:v>
              </c:pt>
              <c:pt idx="4">
                <c:v>0</c:v>
              </c:pt>
              <c:pt idx="5">
                <c:v>0.3516939973589567</c:v>
              </c:pt>
              <c:pt idx="6">
                <c:v>0.3516939973589567</c:v>
              </c:pt>
              <c:pt idx="7">
                <c:v>0</c:v>
              </c:pt>
              <c:pt idx="8">
                <c:v>1.0141873412211775</c:v>
              </c:pt>
              <c:pt idx="9">
                <c:v>1.0141873412211775</c:v>
              </c:pt>
              <c:pt idx="10">
                <c:v>0</c:v>
              </c:pt>
              <c:pt idx="11">
                <c:v>1.5294599420029047</c:v>
              </c:pt>
              <c:pt idx="12">
                <c:v>1.5294599420029047</c:v>
              </c:pt>
              <c:pt idx="13">
                <c:v>0</c:v>
              </c:pt>
              <c:pt idx="14">
                <c:v>2.175595425522848</c:v>
              </c:pt>
              <c:pt idx="15">
                <c:v>2.175595425522848</c:v>
              </c:pt>
              <c:pt idx="16">
                <c:v>0</c:v>
              </c:pt>
              <c:pt idx="17">
                <c:v>2.789015188358238</c:v>
              </c:pt>
              <c:pt idx="18">
                <c:v>2.789015188358238</c:v>
              </c:pt>
              <c:pt idx="19">
                <c:v>0</c:v>
              </c:pt>
              <c:pt idx="20">
                <c:v>3.5251189037607054</c:v>
              </c:pt>
              <c:pt idx="21">
                <c:v>3.5251189037607054</c:v>
              </c:pt>
              <c:pt idx="22">
                <c:v>0</c:v>
              </c:pt>
              <c:pt idx="23">
                <c:v>3.835918250263969</c:v>
              </c:pt>
              <c:pt idx="24">
                <c:v>3.835918250263969</c:v>
              </c:pt>
              <c:pt idx="25">
                <c:v>0</c:v>
              </c:pt>
              <c:pt idx="26">
                <c:v>4.424801222585944</c:v>
              </c:pt>
              <c:pt idx="27">
                <c:v>4.424801222585944</c:v>
              </c:pt>
              <c:pt idx="28">
                <c:v>0</c:v>
              </c:pt>
              <c:pt idx="29">
                <c:v>4.49841159412619</c:v>
              </c:pt>
              <c:pt idx="30">
                <c:v>4.49841159412619</c:v>
              </c:pt>
              <c:pt idx="31">
                <c:v>0</c:v>
              </c:pt>
              <c:pt idx="32">
                <c:v>4.114001876082679</c:v>
              </c:pt>
              <c:pt idx="33">
                <c:v>4.114001876082679</c:v>
              </c:pt>
              <c:pt idx="34">
                <c:v>0</c:v>
              </c:pt>
              <c:pt idx="35">
                <c:v>3.860455040777385</c:v>
              </c:pt>
              <c:pt idx="36">
                <c:v>3.860455040777385</c:v>
              </c:pt>
              <c:pt idx="37">
                <c:v>0</c:v>
              </c:pt>
              <c:pt idx="38">
                <c:v>2.8871623504119</c:v>
              </c:pt>
              <c:pt idx="39">
                <c:v>2.8871623504119</c:v>
              </c:pt>
              <c:pt idx="40">
                <c:v>0</c:v>
              </c:pt>
              <c:pt idx="41">
                <c:v>1.922048590217554</c:v>
              </c:pt>
              <c:pt idx="42">
                <c:v>1.922048590217554</c:v>
              </c:pt>
              <c:pt idx="43">
                <c:v>0</c:v>
              </c:pt>
              <c:pt idx="44">
                <c:v>1.5867124532008743</c:v>
              </c:pt>
              <c:pt idx="45">
                <c:v>1.5867124532008743</c:v>
              </c:pt>
              <c:pt idx="46">
                <c:v>0</c:v>
              </c:pt>
              <c:pt idx="47">
                <c:v>0.9732926903654848</c:v>
              </c:pt>
              <c:pt idx="48">
                <c:v>0.9732926903654848</c:v>
              </c:pt>
              <c:pt idx="49">
                <c:v>0</c:v>
              </c:pt>
              <c:pt idx="50">
                <c:v>0.5807040421508355</c:v>
              </c:pt>
              <c:pt idx="51">
                <c:v>0.5807040421508355</c:v>
              </c:pt>
              <c:pt idx="52">
                <c:v>0</c:v>
              </c:pt>
              <c:pt idx="53">
                <c:v>0.3844097180435108</c:v>
              </c:pt>
              <c:pt idx="54">
                <c:v>0.3844097180435108</c:v>
              </c:pt>
              <c:pt idx="55">
                <c:v>0</c:v>
              </c:pt>
              <c:pt idx="56">
                <c:v>0.1472207430804935</c:v>
              </c:pt>
              <c:pt idx="57">
                <c:v>0.1472207430804935</c:v>
              </c:pt>
              <c:pt idx="58">
                <c:v>0</c:v>
              </c:pt>
              <c:pt idx="59">
                <c:v>0.08178930171138528</c:v>
              </c:pt>
              <c:pt idx="60">
                <c:v>0.08178930171138528</c:v>
              </c:pt>
              <c:pt idx="61">
                <c:v>0</c:v>
              </c:pt>
              <c:pt idx="62">
                <c:v>0.06543144136910822</c:v>
              </c:pt>
              <c:pt idx="63">
                <c:v>0.06543144136910822</c:v>
              </c:pt>
              <c:pt idx="64">
                <c:v>0</c:v>
              </c:pt>
            </c:numLit>
          </c:yVal>
          <c:smooth val="0"/>
        </c:ser>
        <c:ser>
          <c:idx val="4"/>
          <c:order val="4"/>
          <c:tx>
            <c:v>meanLabel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0.35265639424324036</c:v>
              </c:pt>
            </c:numLit>
          </c:xVal>
          <c:yVal>
            <c:numLit>
              <c:ptCount val="1"/>
              <c:pt idx="0">
                <c:v>0</c:v>
              </c:pt>
            </c:numLit>
          </c:yVal>
          <c:smooth val="0"/>
        </c:ser>
        <c:ser>
          <c:idx val="5"/>
          <c:order val="5"/>
          <c:tx>
            <c:v>xDelimiter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800" b="0" i="0" u="none" baseline="0">
                        <a:latin typeface="Arial"/>
                        <a:ea typeface="Arial"/>
                        <a:cs typeface="Arial"/>
                      </a:rPr>
                      <a:t>X &lt;=0.21
5%</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00" b="0" i="0" u="none" baseline="0">
                        <a:latin typeface="Arial"/>
                        <a:ea typeface="Arial"/>
                        <a:cs typeface="Arial"/>
                      </a:rPr>
                      <a:t>X &lt;=0.5
95%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Percent val="0"/>
          </c:dLbls>
          <c:errBars>
            <c:errDir val="y"/>
            <c:errBarType val="plus"/>
            <c:errValType val="fixedVal"/>
            <c:val val="5"/>
            <c:noEndCap val="0"/>
            <c:spPr>
              <a:ln w="25400">
                <a:solidFill>
                  <a:srgbClr val="C0C0C0"/>
                </a:solidFill>
              </a:ln>
            </c:spPr>
          </c:errBars>
          <c:xVal>
            <c:strLit>
              <c:ptCount val="3"/>
              <c:pt idx="0">
                <c:v>0.2119581699371338</c:v>
              </c:pt>
              <c:pt idx="1">
                <c:v>0.4982266128063202</c:v>
              </c:pt>
            </c:strLit>
          </c:xVal>
          <c:yVal>
            <c:numLit>
              <c:ptCount val="3"/>
              <c:pt idx="0">
                <c:v>0</c:v>
              </c:pt>
              <c:pt idx="1">
                <c:v>0</c:v>
              </c:pt>
            </c:numLit>
          </c:yVal>
          <c:smooth val="0"/>
        </c:ser>
        <c:axId val="64485880"/>
        <c:axId val="43502009"/>
      </c:scatterChart>
      <c:valAx>
        <c:axId val="64485880"/>
        <c:scaling>
          <c:orientation val="minMax"/>
          <c:max val="0.7"/>
          <c:min val="0.1"/>
        </c:scaling>
        <c:axPos val="b"/>
        <c:title>
          <c:tx>
            <c:rich>
              <a:bodyPr vert="horz" rot="0" anchor="ctr"/>
              <a:lstStyle/>
              <a:p>
                <a:pPr algn="ctr">
                  <a:defRPr/>
                </a:pPr>
                <a:r>
                  <a:rPr lang="en-US" cap="none" sz="875" b="1" i="0" u="none" baseline="0">
                    <a:latin typeface="Arial"/>
                    <a:ea typeface="Arial"/>
                    <a:cs typeface="Arial"/>
                  </a:rPr>
                  <a:t> Estimated ERR</a:t>
                </a:r>
              </a:p>
            </c:rich>
          </c:tx>
          <c:layout/>
          <c:overlay val="0"/>
          <c:spPr>
            <a:noFill/>
            <a:ln>
              <a:noFill/>
            </a:ln>
          </c:spPr>
        </c:title>
        <c:delete val="0"/>
        <c:numFmt formatCode="0.0%" sourceLinked="0"/>
        <c:majorTickMark val="cross"/>
        <c:minorTickMark val="none"/>
        <c:tickLblPos val="nextTo"/>
        <c:txPr>
          <a:bodyPr vert="horz" rot="0"/>
          <a:lstStyle/>
          <a:p>
            <a:pPr>
              <a:defRPr lang="en-US" cap="none" sz="1000" b="0" i="0" u="none" baseline="0">
                <a:latin typeface="Arial"/>
                <a:ea typeface="Arial"/>
                <a:cs typeface="Arial"/>
              </a:defRPr>
            </a:pPr>
          </a:p>
        </c:txPr>
        <c:crossAx val="43502009"/>
        <c:crossesAt val="0"/>
        <c:crossBetween val="midCat"/>
        <c:dispUnits/>
        <c:majorUnit val="0.15"/>
      </c:valAx>
      <c:valAx>
        <c:axId val="43502009"/>
        <c:scaling>
          <c:orientation val="minMax"/>
          <c:max val="5"/>
          <c:min val="0"/>
        </c:scaling>
        <c:axPos val="l"/>
        <c:title>
          <c:tx>
            <c:rich>
              <a:bodyPr vert="horz" rot="-5400000" anchor="ctr"/>
              <a:lstStyle/>
              <a:p>
                <a:pPr algn="ctr">
                  <a:defRPr/>
                </a:pPr>
                <a:r>
                  <a:rPr lang="en-US" cap="none" sz="1000" b="1" i="0" u="none" baseline="0">
                    <a:latin typeface="Arial"/>
                    <a:ea typeface="Arial"/>
                    <a:cs typeface="Arial"/>
                  </a:rPr>
                  <a:t> </a:t>
                </a:r>
              </a:p>
            </c:rich>
          </c:tx>
          <c:layout/>
          <c:overlay val="0"/>
          <c:spPr>
            <a:noFill/>
            <a:ln>
              <a:noFill/>
            </a:ln>
          </c:spPr>
        </c:title>
        <c:delete val="0"/>
        <c:numFmt formatCode="General" sourceLinked="0"/>
        <c:majorTickMark val="cross"/>
        <c:minorTickMark val="none"/>
        <c:tickLblPos val="nextTo"/>
        <c:txPr>
          <a:bodyPr vert="horz" rot="0"/>
          <a:lstStyle/>
          <a:p>
            <a:pPr>
              <a:defRPr lang="en-US" cap="none" sz="1000" b="0" i="0" u="none" baseline="0">
                <a:latin typeface="Arial"/>
                <a:ea typeface="Arial"/>
                <a:cs typeface="Arial"/>
              </a:defRPr>
            </a:pPr>
          </a:p>
        </c:txPr>
        <c:crossAx val="64485880"/>
        <c:crossesAt val="0.1"/>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38100</xdr:rowOff>
    </xdr:to>
    <xdr:pic>
      <xdr:nvPicPr>
        <xdr:cNvPr id="1" name="Picture 2"/>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19050</xdr:rowOff>
    </xdr:from>
    <xdr:to>
      <xdr:col>2</xdr:col>
      <xdr:colOff>1809750</xdr:colOff>
      <xdr:row>37</xdr:row>
      <xdr:rowOff>9525</xdr:rowOff>
    </xdr:to>
    <xdr:pic>
      <xdr:nvPicPr>
        <xdr:cNvPr id="1" name="Picture 1"/>
        <xdr:cNvPicPr preferRelativeResize="1">
          <a:picLocks noChangeAspect="1"/>
        </xdr:cNvPicPr>
      </xdr:nvPicPr>
      <xdr:blipFill>
        <a:blip r:embed="rId1"/>
        <a:stretch>
          <a:fillRect/>
        </a:stretch>
      </xdr:blipFill>
      <xdr:spPr>
        <a:xfrm>
          <a:off x="409575" y="10239375"/>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24</xdr:row>
      <xdr:rowOff>38100</xdr:rowOff>
    </xdr:from>
    <xdr:to>
      <xdr:col>5</xdr:col>
      <xdr:colOff>914400</xdr:colOff>
      <xdr:row>43</xdr:row>
      <xdr:rowOff>152400</xdr:rowOff>
    </xdr:to>
    <xdr:graphicFrame>
      <xdr:nvGraphicFramePr>
        <xdr:cNvPr id="1" name="Chart 1"/>
        <xdr:cNvGraphicFramePr/>
      </xdr:nvGraphicFramePr>
      <xdr:xfrm>
        <a:off x="1695450" y="6677025"/>
        <a:ext cx="7172325" cy="3190875"/>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47</xdr:row>
      <xdr:rowOff>0</xdr:rowOff>
    </xdr:from>
    <xdr:to>
      <xdr:col>5</xdr:col>
      <xdr:colOff>914400</xdr:colOff>
      <xdr:row>71</xdr:row>
      <xdr:rowOff>47625</xdr:rowOff>
    </xdr:to>
    <xdr:graphicFrame>
      <xdr:nvGraphicFramePr>
        <xdr:cNvPr id="2" name="Chart 2"/>
        <xdr:cNvGraphicFramePr/>
      </xdr:nvGraphicFramePr>
      <xdr:xfrm>
        <a:off x="1704975" y="10363200"/>
        <a:ext cx="7162800" cy="3933825"/>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828675</xdr:colOff>
      <xdr:row>1</xdr:row>
      <xdr:rowOff>104775</xdr:rowOff>
    </xdr:from>
    <xdr:to>
      <xdr:col>7</xdr:col>
      <xdr:colOff>9525</xdr:colOff>
      <xdr:row>1</xdr:row>
      <xdr:rowOff>257175</xdr:rowOff>
    </xdr:to>
    <xdr:pic>
      <xdr:nvPicPr>
        <xdr:cNvPr id="3" name="Picture 5"/>
        <xdr:cNvPicPr preferRelativeResize="1">
          <a:picLocks noChangeAspect="1"/>
        </xdr:cNvPicPr>
      </xdr:nvPicPr>
      <xdr:blipFill>
        <a:blip r:embed="rId3"/>
        <a:stretch>
          <a:fillRect/>
        </a:stretch>
      </xdr:blipFill>
      <xdr:spPr>
        <a:xfrm>
          <a:off x="7877175" y="266700"/>
          <a:ext cx="21621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dersonsc\Local%20Settings\Temporary%20Internet%20Files\Mongolia%20Health%20ERR.IM%20Clean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R &amp; Sensitivity analysis"/>
      <sheetName val="Overview of worksheets"/>
      <sheetName val="ERR Summary"/>
      <sheetName val="Data &amp; Assumptions"/>
      <sheetName val="Hypertension"/>
      <sheetName val="Diabetes"/>
      <sheetName val="Cancer"/>
      <sheetName val="Indicators"/>
    </sheetNames>
    <sheetDataSet>
      <sheetData sheetId="4">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5">
        <row r="25">
          <cell r="C25">
            <v>0.2</v>
          </cell>
        </row>
        <row r="26">
          <cell r="C26">
            <v>0.1</v>
          </cell>
        </row>
        <row r="31">
          <cell r="E3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anda.com/"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33"/>
  <sheetViews>
    <sheetView showGridLines="0" workbookViewId="0" topLeftCell="A1">
      <selection activeCell="D18" sqref="D18"/>
    </sheetView>
  </sheetViews>
  <sheetFormatPr defaultColWidth="9.140625" defaultRowHeight="12.75"/>
  <cols>
    <col min="1" max="1" width="39.57421875" style="0" customWidth="1"/>
    <col min="2" max="2" width="106.28125" style="0" customWidth="1"/>
  </cols>
  <sheetData>
    <row r="1" spans="2:3" s="332" customFormat="1" ht="11.25">
      <c r="B1" s="333" t="s">
        <v>23</v>
      </c>
      <c r="C1" s="334"/>
    </row>
    <row r="2" ht="20.25" customHeight="1">
      <c r="B2" s="432" t="s">
        <v>491</v>
      </c>
    </row>
    <row r="3" ht="12.75">
      <c r="B3" s="432"/>
    </row>
    <row r="4" ht="12.75">
      <c r="B4" s="432"/>
    </row>
    <row r="5" ht="12.75">
      <c r="B5" s="432"/>
    </row>
    <row r="6" ht="12.75">
      <c r="B6" s="432"/>
    </row>
    <row r="7" ht="13.5" thickBot="1"/>
    <row r="8" spans="1:2" ht="18" customHeight="1" thickBot="1" thickTop="1">
      <c r="A8" s="324" t="s">
        <v>492</v>
      </c>
      <c r="B8" s="395" t="s">
        <v>493</v>
      </c>
    </row>
    <row r="9" spans="1:2" ht="18" customHeight="1" thickTop="1">
      <c r="A9" s="327" t="s">
        <v>9</v>
      </c>
      <c r="B9" s="396" t="s">
        <v>10</v>
      </c>
    </row>
    <row r="10" spans="1:2" ht="18" customHeight="1">
      <c r="A10" s="326" t="s">
        <v>8</v>
      </c>
      <c r="B10" s="397">
        <v>39310</v>
      </c>
    </row>
    <row r="11" spans="1:2" ht="18" customHeight="1">
      <c r="A11" s="325" t="s">
        <v>494</v>
      </c>
      <c r="B11" s="398" t="s">
        <v>495</v>
      </c>
    </row>
    <row r="12" spans="1:2" ht="89.25">
      <c r="A12" s="326" t="s">
        <v>500</v>
      </c>
      <c r="B12" s="399" t="s">
        <v>0</v>
      </c>
    </row>
    <row r="13" spans="1:2" ht="12.75">
      <c r="A13" s="429" t="s">
        <v>498</v>
      </c>
      <c r="B13" s="400" t="s">
        <v>3</v>
      </c>
    </row>
    <row r="14" spans="1:2" ht="12.75">
      <c r="A14" s="430"/>
      <c r="B14" s="401" t="s">
        <v>45</v>
      </c>
    </row>
    <row r="15" spans="1:2" ht="12.75">
      <c r="A15" s="431"/>
      <c r="B15" s="402" t="s">
        <v>2</v>
      </c>
    </row>
    <row r="16" spans="1:2" ht="33" customHeight="1">
      <c r="A16" s="326" t="s">
        <v>499</v>
      </c>
      <c r="B16" s="399" t="s">
        <v>1</v>
      </c>
    </row>
    <row r="17" spans="1:2" ht="18" customHeight="1">
      <c r="A17" s="326" t="s">
        <v>496</v>
      </c>
      <c r="B17" s="403" t="s">
        <v>497</v>
      </c>
    </row>
    <row r="18" spans="1:2" ht="12.75">
      <c r="A18" s="335"/>
      <c r="B18" s="408"/>
    </row>
    <row r="19" spans="1:2" ht="12.75">
      <c r="A19" s="433" t="s">
        <v>4</v>
      </c>
      <c r="B19" s="404" t="s">
        <v>43</v>
      </c>
    </row>
    <row r="20" spans="1:2" ht="25.5">
      <c r="A20" s="433"/>
      <c r="B20" s="401" t="s">
        <v>44</v>
      </c>
    </row>
    <row r="21" spans="1:2" ht="12.75">
      <c r="A21" s="433"/>
      <c r="B21" s="396"/>
    </row>
    <row r="22" spans="1:2" ht="12.75">
      <c r="A22" s="433"/>
      <c r="B22" s="405" t="s">
        <v>5</v>
      </c>
    </row>
    <row r="23" spans="1:2" ht="12.75">
      <c r="A23" s="433"/>
      <c r="B23" s="406" t="s">
        <v>7</v>
      </c>
    </row>
    <row r="24" spans="1:2" ht="12.75">
      <c r="A24" s="433"/>
      <c r="B24" s="407"/>
    </row>
    <row r="25" spans="1:2" ht="12.75">
      <c r="A25" s="433"/>
      <c r="B25" s="404" t="s">
        <v>472</v>
      </c>
    </row>
    <row r="26" spans="1:2" ht="25.5">
      <c r="A26" s="433"/>
      <c r="B26" s="406" t="s">
        <v>58</v>
      </c>
    </row>
    <row r="27" spans="1:2" ht="12.75">
      <c r="A27" s="433"/>
      <c r="B27" s="406"/>
    </row>
    <row r="28" spans="1:2" ht="12.75">
      <c r="A28" s="433"/>
      <c r="B28" s="404" t="s">
        <v>6</v>
      </c>
    </row>
    <row r="29" spans="1:2" ht="38.25">
      <c r="A29" s="433"/>
      <c r="B29" s="406" t="s">
        <v>51</v>
      </c>
    </row>
    <row r="30" spans="1:2" ht="12.75">
      <c r="A30" s="433"/>
      <c r="B30" s="406"/>
    </row>
    <row r="31" spans="1:2" ht="12.75">
      <c r="A31" s="433"/>
      <c r="B31" s="405" t="s">
        <v>57</v>
      </c>
    </row>
    <row r="32" spans="1:2" ht="12.75">
      <c r="A32" s="433"/>
      <c r="B32" s="409" t="s">
        <v>485</v>
      </c>
    </row>
    <row r="33" spans="1:2" ht="13.5" thickBot="1">
      <c r="A33" s="410"/>
      <c r="B33" s="411"/>
    </row>
    <row r="34" ht="13.5" thickTop="1"/>
  </sheetData>
  <mergeCells count="3">
    <mergeCell ref="A13:A15"/>
    <mergeCell ref="B2:B6"/>
    <mergeCell ref="A19:A32"/>
  </mergeCells>
  <hyperlinks>
    <hyperlink ref="B22" location="'ERR &amp; Sensitivity analysis'!A1" display="ERR &amp; Sensitivity Analysis"/>
    <hyperlink ref="B25" location="'Data &amp; Assumptions'!A1" display="Data &amp; Assumptions"/>
    <hyperlink ref="B31" location="'Data tables'!A1" display="Data tables"/>
    <hyperlink ref="B19" location="'Project Description'!A1" display="Project Description"/>
  </hyperlinks>
  <printOptions/>
  <pageMargins left="0.75" right="0.75" top="1" bottom="1" header="0.5" footer="0.5"/>
  <pageSetup fitToHeight="1" fitToWidth="1" horizontalDpi="600" verticalDpi="600" orientation="landscape" scale="84" r:id="rId2"/>
  <drawing r:id="rId1"/>
</worksheet>
</file>

<file path=xl/worksheets/sheet2.xml><?xml version="1.0" encoding="utf-8"?>
<worksheet xmlns="http://schemas.openxmlformats.org/spreadsheetml/2006/main" xmlns:r="http://schemas.openxmlformats.org/officeDocument/2006/relationships">
  <sheetPr codeName="Sheet2"/>
  <dimension ref="A1:C37"/>
  <sheetViews>
    <sheetView showGridLines="0" tabSelected="1" workbookViewId="0" topLeftCell="A1">
      <selection activeCell="F1" sqref="F1"/>
    </sheetView>
  </sheetViews>
  <sheetFormatPr defaultColWidth="9.140625" defaultRowHeight="12.75"/>
  <cols>
    <col min="1" max="2" width="5.7109375" style="130" customWidth="1"/>
    <col min="3" max="3" width="106.421875" style="130" customWidth="1"/>
    <col min="4" max="16384" width="9.140625" style="130" customWidth="1"/>
  </cols>
  <sheetData>
    <row r="1" ht="20.25">
      <c r="B1" s="388" t="s">
        <v>491</v>
      </c>
    </row>
    <row r="3" ht="18">
      <c r="B3" s="389" t="s">
        <v>43</v>
      </c>
    </row>
    <row r="5" ht="12.75">
      <c r="B5" s="19" t="s">
        <v>14</v>
      </c>
    </row>
    <row r="6" ht="6.75" customHeight="1"/>
    <row r="7" spans="1:3" ht="78" customHeight="1">
      <c r="A7" s="386"/>
      <c r="B7" s="435" t="s">
        <v>47</v>
      </c>
      <c r="C7" s="435"/>
    </row>
    <row r="8" spans="1:3" ht="63.75" customHeight="1">
      <c r="A8" s="386"/>
      <c r="B8" s="435" t="s">
        <v>48</v>
      </c>
      <c r="C8" s="435"/>
    </row>
    <row r="9" spans="1:3" ht="12.75">
      <c r="A9" s="386"/>
      <c r="B9" s="386"/>
      <c r="C9" s="390"/>
    </row>
    <row r="10" spans="1:3" ht="12.75">
      <c r="A10" s="386"/>
      <c r="B10" s="436" t="s">
        <v>55</v>
      </c>
      <c r="C10" s="436"/>
    </row>
    <row r="11" spans="1:3" ht="6.75" customHeight="1">
      <c r="A11" s="386"/>
      <c r="B11" s="386"/>
      <c r="C11" s="390"/>
    </row>
    <row r="12" spans="1:3" ht="12.75">
      <c r="A12" s="386"/>
      <c r="B12" s="435" t="s">
        <v>33</v>
      </c>
      <c r="C12" s="435"/>
    </row>
    <row r="13" spans="1:3" ht="6.75" customHeight="1">
      <c r="A13" s="386"/>
      <c r="B13" s="393"/>
      <c r="C13" s="393"/>
    </row>
    <row r="14" spans="1:3" ht="12.75">
      <c r="A14" s="386"/>
      <c r="B14" s="386"/>
      <c r="C14" s="391" t="s">
        <v>25</v>
      </c>
    </row>
    <row r="15" spans="1:3" ht="6.75" customHeight="1">
      <c r="A15" s="386"/>
      <c r="B15" s="386"/>
      <c r="C15" s="391"/>
    </row>
    <row r="16" spans="1:3" ht="54" customHeight="1">
      <c r="A16" s="386"/>
      <c r="B16" s="386"/>
      <c r="C16" s="394" t="s">
        <v>26</v>
      </c>
    </row>
    <row r="17" spans="1:3" ht="40.5" customHeight="1">
      <c r="A17" s="386"/>
      <c r="B17" s="386"/>
      <c r="C17" s="394" t="s">
        <v>27</v>
      </c>
    </row>
    <row r="18" spans="1:3" ht="41.25" customHeight="1">
      <c r="A18" s="386"/>
      <c r="B18" s="386"/>
      <c r="C18" s="394" t="s">
        <v>28</v>
      </c>
    </row>
    <row r="19" spans="1:3" ht="41.25" customHeight="1">
      <c r="A19" s="386"/>
      <c r="B19" s="386"/>
      <c r="C19" s="394" t="s">
        <v>29</v>
      </c>
    </row>
    <row r="20" spans="1:3" ht="25.5" customHeight="1">
      <c r="A20" s="386"/>
      <c r="B20" s="386"/>
      <c r="C20" s="394" t="s">
        <v>30</v>
      </c>
    </row>
    <row r="21" spans="1:3" ht="6.75" customHeight="1">
      <c r="A21" s="386"/>
      <c r="B21" s="386"/>
      <c r="C21" s="390"/>
    </row>
    <row r="22" spans="1:3" ht="26.25" customHeight="1">
      <c r="A22" s="386"/>
      <c r="B22" s="386"/>
      <c r="C22" s="391" t="s">
        <v>31</v>
      </c>
    </row>
    <row r="23" spans="1:3" ht="6.75" customHeight="1">
      <c r="A23" s="386"/>
      <c r="B23" s="386"/>
      <c r="C23" s="391"/>
    </row>
    <row r="24" spans="1:3" ht="12.75" customHeight="1">
      <c r="A24" s="386"/>
      <c r="B24" s="386"/>
      <c r="C24" s="391" t="s">
        <v>52</v>
      </c>
    </row>
    <row r="25" spans="1:3" ht="12.75">
      <c r="A25" s="386"/>
      <c r="B25" s="386"/>
      <c r="C25" s="391" t="s">
        <v>53</v>
      </c>
    </row>
    <row r="26" spans="1:3" ht="12.75">
      <c r="A26" s="386"/>
      <c r="B26" s="386"/>
      <c r="C26" s="391" t="s">
        <v>54</v>
      </c>
    </row>
    <row r="27" spans="1:3" ht="25.5" customHeight="1">
      <c r="A27" s="386"/>
      <c r="B27" s="386"/>
      <c r="C27" s="391" t="s">
        <v>32</v>
      </c>
    </row>
    <row r="28" spans="1:3" ht="12.75">
      <c r="A28" s="386"/>
      <c r="B28" s="386"/>
      <c r="C28" s="391"/>
    </row>
    <row r="29" spans="1:3" ht="12.75">
      <c r="A29" s="386"/>
      <c r="B29" s="437" t="s">
        <v>56</v>
      </c>
      <c r="C29" s="437"/>
    </row>
    <row r="30" spans="1:3" ht="6.75" customHeight="1">
      <c r="A30" s="386"/>
      <c r="B30" s="386"/>
      <c r="C30" s="391"/>
    </row>
    <row r="31" spans="1:3" ht="12.75">
      <c r="A31" s="434"/>
      <c r="B31" s="435" t="s">
        <v>50</v>
      </c>
      <c r="C31" s="435"/>
    </row>
    <row r="32" spans="1:3" ht="25.5">
      <c r="A32" s="434"/>
      <c r="B32" s="387"/>
      <c r="C32" s="391" t="s">
        <v>34</v>
      </c>
    </row>
    <row r="33" spans="1:3" ht="65.25" customHeight="1">
      <c r="A33" s="434"/>
      <c r="B33" s="387"/>
      <c r="C33" s="390" t="s">
        <v>35</v>
      </c>
    </row>
    <row r="34" spans="1:3" ht="41.25" customHeight="1">
      <c r="A34" s="434"/>
      <c r="B34" s="435" t="s">
        <v>49</v>
      </c>
      <c r="C34" s="435"/>
    </row>
    <row r="37" ht="12.75">
      <c r="C37" s="392" t="s">
        <v>23</v>
      </c>
    </row>
  </sheetData>
  <mergeCells count="8">
    <mergeCell ref="A31:A34"/>
    <mergeCell ref="B8:C8"/>
    <mergeCell ref="B7:C7"/>
    <mergeCell ref="B10:C10"/>
    <mergeCell ref="B12:C12"/>
    <mergeCell ref="B29:C29"/>
    <mergeCell ref="B31:C31"/>
    <mergeCell ref="B34:C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B2:I23"/>
  <sheetViews>
    <sheetView showGridLines="0" zoomScale="80" zoomScaleNormal="80" workbookViewId="0" topLeftCell="A1">
      <selection activeCell="F10" sqref="F10"/>
    </sheetView>
  </sheetViews>
  <sheetFormatPr defaultColWidth="9.140625" defaultRowHeight="12.75"/>
  <cols>
    <col min="1" max="1" width="5.7109375" style="0" customWidth="1"/>
    <col min="2" max="2" width="18.8515625" style="0" customWidth="1"/>
    <col min="3" max="3" width="64.00390625" style="0" customWidth="1"/>
    <col min="4" max="4" width="17.140625" style="0" customWidth="1"/>
    <col min="5" max="5" width="13.57421875" style="0" customWidth="1"/>
    <col min="6" max="6" width="14.57421875" style="0" customWidth="1"/>
    <col min="7" max="7" width="16.57421875" style="0" bestFit="1" customWidth="1"/>
    <col min="8" max="8" width="5.7109375" style="0" customWidth="1"/>
    <col min="9" max="9" width="22.8515625" style="0" bestFit="1" customWidth="1"/>
  </cols>
  <sheetData>
    <row r="2" ht="20.25">
      <c r="B2" s="319" t="s">
        <v>491</v>
      </c>
    </row>
    <row r="3" ht="12.75">
      <c r="E3" s="333"/>
    </row>
    <row r="4" spans="2:7" ht="18">
      <c r="B4" s="323" t="s">
        <v>467</v>
      </c>
      <c r="G4" s="384" t="s">
        <v>23</v>
      </c>
    </row>
    <row r="5" ht="12.75" customHeight="1">
      <c r="C5" s="2"/>
    </row>
    <row r="6" spans="2:7" ht="38.25" customHeight="1">
      <c r="B6" s="444" t="s">
        <v>36</v>
      </c>
      <c r="C6" s="444"/>
      <c r="D6" s="444"/>
      <c r="E6" s="444"/>
      <c r="F6" s="444"/>
      <c r="G6" s="444"/>
    </row>
    <row r="8" spans="2:7" s="2" customFormat="1" ht="15.75">
      <c r="B8" s="445" t="s">
        <v>24</v>
      </c>
      <c r="C8" s="439" t="s">
        <v>468</v>
      </c>
      <c r="D8" s="441" t="s">
        <v>469</v>
      </c>
      <c r="E8" s="442"/>
      <c r="F8" s="442"/>
      <c r="G8" s="443"/>
    </row>
    <row r="9" spans="2:9" s="2" customFormat="1" ht="28.5" customHeight="1" thickBot="1">
      <c r="B9" s="446"/>
      <c r="C9" s="440"/>
      <c r="D9" s="385" t="s">
        <v>17</v>
      </c>
      <c r="E9" s="339" t="s">
        <v>16</v>
      </c>
      <c r="F9" s="320" t="s">
        <v>501</v>
      </c>
      <c r="G9" s="340" t="s">
        <v>470</v>
      </c>
      <c r="I9" s="355" t="s">
        <v>38</v>
      </c>
    </row>
    <row r="10" spans="2:9" s="2" customFormat="1" ht="33" customHeight="1">
      <c r="B10" s="362" t="s">
        <v>14</v>
      </c>
      <c r="C10" s="358" t="s">
        <v>39</v>
      </c>
      <c r="D10" s="378">
        <v>1</v>
      </c>
      <c r="E10" s="349">
        <v>1</v>
      </c>
      <c r="F10" s="364" t="s">
        <v>37</v>
      </c>
      <c r="G10" s="372">
        <f>D10</f>
        <v>1</v>
      </c>
      <c r="I10" s="356" t="str">
        <f>IF(D10=E10,IF(D11=E11,"Y","N"),"N")</f>
        <v>Y</v>
      </c>
    </row>
    <row r="11" spans="2:9" s="2" customFormat="1" ht="33" customHeight="1">
      <c r="B11" s="363" t="s">
        <v>14</v>
      </c>
      <c r="C11" s="359" t="s">
        <v>40</v>
      </c>
      <c r="D11" s="379">
        <v>1</v>
      </c>
      <c r="E11" s="350">
        <v>1</v>
      </c>
      <c r="F11" s="365" t="s">
        <v>37</v>
      </c>
      <c r="G11" s="373">
        <f>D11</f>
        <v>1</v>
      </c>
      <c r="I11" s="357" t="str">
        <f>IF(D13=E13,IF(D14=E14,IF(D15=E15,IF(D16=E16,IF(D17=E17,"Y","N"),"N"),"N"),"N"),"N")</f>
        <v>Y</v>
      </c>
    </row>
    <row r="12" spans="2:7" s="2" customFormat="1" ht="15.75">
      <c r="B12" s="351"/>
      <c r="C12" s="347"/>
      <c r="D12" s="348"/>
      <c r="E12" s="348"/>
      <c r="F12" s="348"/>
      <c r="G12" s="348"/>
    </row>
    <row r="13" spans="2:9" ht="33" customHeight="1">
      <c r="B13" s="352" t="s">
        <v>19</v>
      </c>
      <c r="C13" s="345" t="s">
        <v>483</v>
      </c>
      <c r="D13" s="380">
        <v>0.28</v>
      </c>
      <c r="E13" s="346">
        <v>0.28</v>
      </c>
      <c r="F13" s="366" t="s">
        <v>484</v>
      </c>
      <c r="G13" s="374">
        <f>IF($I$10="Y",D13,E13)</f>
        <v>0.28</v>
      </c>
      <c r="I13" s="369" t="s">
        <v>20</v>
      </c>
    </row>
    <row r="14" spans="2:9" ht="33" customHeight="1">
      <c r="B14" s="353" t="s">
        <v>19</v>
      </c>
      <c r="C14" s="341" t="s">
        <v>13</v>
      </c>
      <c r="D14" s="381">
        <v>0.05</v>
      </c>
      <c r="E14" s="321">
        <v>0.05</v>
      </c>
      <c r="F14" s="367" t="s">
        <v>488</v>
      </c>
      <c r="G14" s="375">
        <f>IF($I$10="Y",D14,E14)</f>
        <v>0.05</v>
      </c>
      <c r="I14" s="370" t="s">
        <v>21</v>
      </c>
    </row>
    <row r="15" spans="2:9" ht="33" customHeight="1">
      <c r="B15" s="353" t="s">
        <v>19</v>
      </c>
      <c r="C15" s="342" t="s">
        <v>11</v>
      </c>
      <c r="D15" s="381">
        <v>0.093</v>
      </c>
      <c r="E15" s="321">
        <v>0.093</v>
      </c>
      <c r="F15" s="367" t="s">
        <v>486</v>
      </c>
      <c r="G15" s="375">
        <f>IF($I$10="Y",D15,E15)</f>
        <v>0.093</v>
      </c>
      <c r="I15" s="371" t="s">
        <v>22</v>
      </c>
    </row>
    <row r="16" spans="2:7" ht="33" customHeight="1">
      <c r="B16" s="353" t="s">
        <v>19</v>
      </c>
      <c r="C16" s="342" t="s">
        <v>489</v>
      </c>
      <c r="D16" s="382">
        <v>18000</v>
      </c>
      <c r="E16" s="322">
        <v>18000</v>
      </c>
      <c r="F16" s="367" t="s">
        <v>490</v>
      </c>
      <c r="G16" s="376">
        <f>IF($I$10="Y",D16,E16)</f>
        <v>18000</v>
      </c>
    </row>
    <row r="17" spans="2:7" ht="33" customHeight="1">
      <c r="B17" s="354" t="s">
        <v>19</v>
      </c>
      <c r="C17" s="343" t="s">
        <v>46</v>
      </c>
      <c r="D17" s="383">
        <v>0.025</v>
      </c>
      <c r="E17" s="344">
        <v>0.025</v>
      </c>
      <c r="F17" s="368" t="s">
        <v>487</v>
      </c>
      <c r="G17" s="377">
        <f>IF($I$10="Y",D17,E17)</f>
        <v>0.025</v>
      </c>
    </row>
    <row r="19" spans="2:7" ht="27.75" customHeight="1">
      <c r="B19" s="438">
        <f>IF(I10="N",IF(I11="N","Reminder: Please reset all summary parameters to original values before changing specific parameters.  Specific parameters will only be used in ERR computation when all summary parameters are set to initial values",0),0)</f>
        <v>0</v>
      </c>
      <c r="C19" s="438"/>
      <c r="D19" s="438"/>
      <c r="E19" s="438"/>
      <c r="F19" s="438"/>
      <c r="G19" s="438"/>
    </row>
    <row r="21" spans="3:4" ht="12.75">
      <c r="C21" s="318" t="s">
        <v>471</v>
      </c>
      <c r="D21" s="338">
        <f>'Registry Upgrade, Khashaa Reg.'!D321:E321</f>
        <v>0.38530608241803443</v>
      </c>
    </row>
    <row r="22" spans="3:4" ht="12.75">
      <c r="C22" s="318"/>
      <c r="D22" s="337"/>
    </row>
    <row r="23" spans="3:4" ht="12.75">
      <c r="C23" s="318" t="s">
        <v>18</v>
      </c>
      <c r="D23" s="336">
        <v>0.385</v>
      </c>
    </row>
  </sheetData>
  <sheetProtection/>
  <mergeCells count="5">
    <mergeCell ref="B19:G19"/>
    <mergeCell ref="C8:C9"/>
    <mergeCell ref="D8:G8"/>
    <mergeCell ref="B6:G6"/>
    <mergeCell ref="B8:B9"/>
  </mergeCells>
  <conditionalFormatting sqref="B19">
    <cfRule type="cellIs" priority="1" dxfId="0" operator="equal" stopIfTrue="1">
      <formula>0</formula>
    </cfRule>
    <cfRule type="cellIs" priority="2" dxfId="1" operator="notEqual" stopIfTrue="1">
      <formula>0</formula>
    </cfRule>
  </conditionalFormatting>
  <hyperlinks>
    <hyperlink ref="I14" location="'Project Description'!A1" display="Project Description"/>
    <hyperlink ref="I15" location="'User''s Guide'!A1" display="User's Guide"/>
  </hyperlinks>
  <printOptions/>
  <pageMargins left="0.75" right="0.75" top="1" bottom="1" header="0.5" footer="0.5"/>
  <pageSetup fitToHeight="2" horizontalDpi="600" verticalDpi="600" orientation="landscape" scale="78" r:id="rId3"/>
  <rowBreaks count="1" manualBreakCount="1">
    <brk id="4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L196"/>
  <sheetViews>
    <sheetView zoomScaleSheetLayoutView="100" workbookViewId="0" topLeftCell="A1">
      <selection activeCell="D31" sqref="D31:D33"/>
    </sheetView>
  </sheetViews>
  <sheetFormatPr defaultColWidth="9.140625" defaultRowHeight="12.75"/>
  <cols>
    <col min="1" max="3" width="4.7109375" style="0" customWidth="1"/>
    <col min="4" max="4" width="10.140625" style="262" customWidth="1"/>
    <col min="5" max="5" width="10.140625" style="64" customWidth="1"/>
    <col min="6" max="6" width="54.8515625" style="13" customWidth="1"/>
  </cols>
  <sheetData>
    <row r="1" spans="1:10" s="146" customFormat="1" ht="12.75" customHeight="1">
      <c r="A1" s="438">
        <f>IF('ERR &amp; Sensitivity Analysis'!$I$10="N","Note: Current calculations are based on user input and are not the original MCC estimates.",IF('ERR &amp; Sensitivity Analysis'!$I$11="N","Note: Current calculations are based on user input and are not the original MCC estimates.",0))</f>
        <v>0</v>
      </c>
      <c r="B1" s="438"/>
      <c r="C1" s="438"/>
      <c r="D1" s="438"/>
      <c r="E1" s="438"/>
      <c r="F1" s="438"/>
      <c r="G1" s="438"/>
      <c r="I1" s="333" t="s">
        <v>15</v>
      </c>
      <c r="J1" s="334">
        <v>39310</v>
      </c>
    </row>
    <row r="2" spans="1:4" ht="15.75">
      <c r="A2" s="2" t="s">
        <v>94</v>
      </c>
      <c r="D2" s="260"/>
    </row>
    <row r="3" spans="1:7" ht="12.75" customHeight="1">
      <c r="A3" s="2"/>
      <c r="D3" s="261" t="s">
        <v>67</v>
      </c>
      <c r="E3" s="64" t="s">
        <v>66</v>
      </c>
      <c r="F3" s="16" t="s">
        <v>68</v>
      </c>
      <c r="G3" s="1" t="s">
        <v>69</v>
      </c>
    </row>
    <row r="4" spans="1:2" ht="12.75" customHeight="1">
      <c r="A4" s="2"/>
      <c r="B4" s="4" t="s">
        <v>369</v>
      </c>
    </row>
    <row r="5" spans="1:7" ht="12.75" customHeight="1">
      <c r="A5" s="2"/>
      <c r="D5" s="263">
        <v>1164</v>
      </c>
      <c r="E5" s="64" t="s">
        <v>228</v>
      </c>
      <c r="F5" s="13" t="s">
        <v>95</v>
      </c>
      <c r="G5" s="11" t="s">
        <v>96</v>
      </c>
    </row>
    <row r="6" spans="1:7" ht="12.75" customHeight="1">
      <c r="A6" s="2"/>
      <c r="D6" s="264">
        <v>0.051</v>
      </c>
      <c r="E6" s="64" t="s">
        <v>64</v>
      </c>
      <c r="F6" s="58" t="s">
        <v>305</v>
      </c>
      <c r="G6" t="s">
        <v>245</v>
      </c>
    </row>
    <row r="7" spans="1:7" ht="12.75" customHeight="1">
      <c r="A7" s="2"/>
      <c r="D7" s="264">
        <v>0.083</v>
      </c>
      <c r="E7" s="186" t="s">
        <v>64</v>
      </c>
      <c r="F7" s="58" t="s">
        <v>304</v>
      </c>
      <c r="G7" t="s">
        <v>245</v>
      </c>
    </row>
    <row r="8" spans="1:7" ht="12.75" customHeight="1">
      <c r="A8" s="2"/>
      <c r="D8" s="264">
        <v>0.121</v>
      </c>
      <c r="E8" s="64" t="s">
        <v>64</v>
      </c>
      <c r="F8" s="58" t="s">
        <v>243</v>
      </c>
      <c r="G8" t="s">
        <v>245</v>
      </c>
    </row>
    <row r="9" spans="1:7" ht="12.75" customHeight="1">
      <c r="A9" s="2"/>
      <c r="D9" s="264">
        <v>0.056</v>
      </c>
      <c r="E9" s="64" t="s">
        <v>64</v>
      </c>
      <c r="F9" s="58" t="s">
        <v>244</v>
      </c>
      <c r="G9" t="s">
        <v>245</v>
      </c>
    </row>
    <row r="10" spans="1:7" ht="12.75" customHeight="1">
      <c r="A10" s="2"/>
      <c r="D10" s="265">
        <f>D11*(1+D6)</f>
        <v>1.2759591929999998</v>
      </c>
      <c r="E10" s="64" t="s">
        <v>64</v>
      </c>
      <c r="F10" s="58" t="s">
        <v>311</v>
      </c>
      <c r="G10" s="59" t="s">
        <v>344</v>
      </c>
    </row>
    <row r="11" spans="1:7" ht="12.75" customHeight="1">
      <c r="A11" s="2"/>
      <c r="D11" s="265">
        <f>D12*(1+D7)</f>
        <v>1.214043</v>
      </c>
      <c r="E11" s="64" t="s">
        <v>64</v>
      </c>
      <c r="F11" s="58" t="s">
        <v>312</v>
      </c>
      <c r="G11" s="59" t="s">
        <v>344</v>
      </c>
    </row>
    <row r="12" spans="1:7" ht="12.75" customHeight="1">
      <c r="A12" s="2"/>
      <c r="D12" s="265">
        <f>(1+D8)</f>
        <v>1.121</v>
      </c>
      <c r="E12" s="64" t="s">
        <v>64</v>
      </c>
      <c r="F12" s="58" t="s">
        <v>313</v>
      </c>
      <c r="G12" s="59" t="s">
        <v>344</v>
      </c>
    </row>
    <row r="13" spans="1:7" ht="12.75" customHeight="1">
      <c r="A13" s="2"/>
      <c r="D13" s="264">
        <f>7%</f>
        <v>0.07</v>
      </c>
      <c r="E13" s="64" t="s">
        <v>64</v>
      </c>
      <c r="F13" s="58" t="s">
        <v>343</v>
      </c>
      <c r="G13" t="s">
        <v>368</v>
      </c>
    </row>
    <row r="14" spans="1:7" s="146" customFormat="1" ht="12.75" customHeight="1">
      <c r="A14" s="179"/>
      <c r="D14" s="266">
        <v>2788000000</v>
      </c>
      <c r="E14" s="187" t="s">
        <v>184</v>
      </c>
      <c r="F14" s="152" t="s">
        <v>407</v>
      </c>
      <c r="G14" t="s">
        <v>368</v>
      </c>
    </row>
    <row r="15" spans="1:7" s="146" customFormat="1" ht="12.75" customHeight="1">
      <c r="A15" s="180"/>
      <c r="D15" s="263">
        <f>D14/D17</f>
        <v>1072.3076923076924</v>
      </c>
      <c r="E15" s="187" t="s">
        <v>408</v>
      </c>
      <c r="F15" s="152" t="s">
        <v>409</v>
      </c>
      <c r="G15" s="181" t="s">
        <v>342</v>
      </c>
    </row>
    <row r="16" spans="1:7" ht="12.75" customHeight="1">
      <c r="A16" s="2"/>
      <c r="D16" s="264">
        <v>0.014</v>
      </c>
      <c r="E16" s="64" t="s">
        <v>64</v>
      </c>
      <c r="F16" s="58" t="s">
        <v>364</v>
      </c>
      <c r="G16" t="s">
        <v>368</v>
      </c>
    </row>
    <row r="17" spans="1:7" ht="12.75" customHeight="1">
      <c r="A17" s="2"/>
      <c r="D17" s="267">
        <v>2600000</v>
      </c>
      <c r="E17" s="64" t="s">
        <v>64</v>
      </c>
      <c r="F17" s="58" t="s">
        <v>367</v>
      </c>
      <c r="G17" t="s">
        <v>368</v>
      </c>
    </row>
    <row r="18" spans="1:7" ht="12.75" customHeight="1">
      <c r="A18" s="2"/>
      <c r="B18" s="4"/>
      <c r="D18" s="268">
        <v>4.3</v>
      </c>
      <c r="E18" s="64" t="s">
        <v>64</v>
      </c>
      <c r="F18" s="58" t="s">
        <v>349</v>
      </c>
      <c r="G18" s="157" t="s">
        <v>350</v>
      </c>
    </row>
    <row r="19" spans="1:7" ht="12.75" customHeight="1">
      <c r="A19" s="2"/>
      <c r="G19" s="157"/>
    </row>
    <row r="20" spans="1:7" ht="12.75" customHeight="1">
      <c r="A20" s="2"/>
      <c r="G20" s="11"/>
    </row>
    <row r="21" spans="1:7" ht="12.75" customHeight="1">
      <c r="A21" s="2"/>
      <c r="G21" s="11"/>
    </row>
    <row r="22" ht="12.75" customHeight="1"/>
    <row r="23" spans="1:3" ht="15.75">
      <c r="A23" s="2" t="s">
        <v>71</v>
      </c>
      <c r="B23" s="2"/>
      <c r="C23" s="2"/>
    </row>
    <row r="24" spans="4:7" s="1" customFormat="1" ht="12.75">
      <c r="D24" s="261" t="s">
        <v>67</v>
      </c>
      <c r="E24" s="64" t="s">
        <v>66</v>
      </c>
      <c r="F24" s="16" t="s">
        <v>68</v>
      </c>
      <c r="G24" s="1" t="s">
        <v>69</v>
      </c>
    </row>
    <row r="25" spans="2:6" s="1" customFormat="1" ht="12.75">
      <c r="B25" s="4" t="s">
        <v>100</v>
      </c>
      <c r="D25" s="261"/>
      <c r="E25" s="64"/>
      <c r="F25" s="16"/>
    </row>
    <row r="26" spans="4:7" s="1" customFormat="1" ht="25.5">
      <c r="D26" s="267">
        <v>115280</v>
      </c>
      <c r="E26" s="64" t="s">
        <v>64</v>
      </c>
      <c r="F26" s="17" t="s">
        <v>102</v>
      </c>
      <c r="G26" t="s">
        <v>99</v>
      </c>
    </row>
    <row r="27" spans="4:7" s="1" customFormat="1" ht="12.75">
      <c r="D27" s="267">
        <v>67929</v>
      </c>
      <c r="E27" s="64" t="s">
        <v>64</v>
      </c>
      <c r="F27" s="17" t="s">
        <v>103</v>
      </c>
      <c r="G27" t="s">
        <v>104</v>
      </c>
    </row>
    <row r="28" spans="4:7" s="19" customFormat="1" ht="12.75">
      <c r="D28" s="271">
        <v>123208</v>
      </c>
      <c r="E28" s="64" t="s">
        <v>64</v>
      </c>
      <c r="F28" s="20" t="s">
        <v>107</v>
      </c>
      <c r="G28" t="s">
        <v>111</v>
      </c>
    </row>
    <row r="29" spans="4:7" s="19" customFormat="1" ht="12.75">
      <c r="D29" s="271">
        <v>67076</v>
      </c>
      <c r="E29" s="64" t="s">
        <v>64</v>
      </c>
      <c r="F29" s="20" t="s">
        <v>108</v>
      </c>
      <c r="G29" t="s">
        <v>112</v>
      </c>
    </row>
    <row r="30" spans="4:7" s="21" customFormat="1" ht="12.75">
      <c r="D30" s="272">
        <f>112013/535545</f>
        <v>0.20915702695385074</v>
      </c>
      <c r="E30" s="188" t="s">
        <v>64</v>
      </c>
      <c r="F30" s="21" t="s">
        <v>113</v>
      </c>
      <c r="G30" t="s">
        <v>112</v>
      </c>
    </row>
    <row r="31" spans="4:7" s="21" customFormat="1" ht="12.75">
      <c r="D31" s="273">
        <v>1.7307735680475596</v>
      </c>
      <c r="E31" s="188" t="s">
        <v>64</v>
      </c>
      <c r="F31" s="21" t="s">
        <v>236</v>
      </c>
      <c r="G31" t="s">
        <v>239</v>
      </c>
    </row>
    <row r="32" spans="4:7" s="21" customFormat="1" ht="12.75">
      <c r="D32" s="273">
        <v>0.40737308480726525</v>
      </c>
      <c r="E32" s="188" t="s">
        <v>114</v>
      </c>
      <c r="F32" s="21" t="s">
        <v>237</v>
      </c>
      <c r="G32" t="s">
        <v>239</v>
      </c>
    </row>
    <row r="33" spans="4:7" s="21" customFormat="1" ht="12.75">
      <c r="D33" s="273">
        <v>0.7050705675184116</v>
      </c>
      <c r="E33" s="188" t="s">
        <v>114</v>
      </c>
      <c r="F33" s="21" t="s">
        <v>238</v>
      </c>
      <c r="G33" t="s">
        <v>239</v>
      </c>
    </row>
    <row r="34" spans="4:6" s="12" customFormat="1" ht="12.75">
      <c r="D34" s="267"/>
      <c r="E34" s="64"/>
      <c r="F34" s="17"/>
    </row>
    <row r="35" spans="2:6" s="1" customFormat="1" ht="12.75">
      <c r="B35" s="4" t="s">
        <v>105</v>
      </c>
      <c r="D35" s="274"/>
      <c r="E35" s="64"/>
      <c r="F35" s="16"/>
    </row>
    <row r="36" spans="2:7" s="12" customFormat="1" ht="12.75">
      <c r="B36" s="4"/>
      <c r="D36" s="300">
        <v>3000</v>
      </c>
      <c r="E36" s="64" t="s">
        <v>64</v>
      </c>
      <c r="F36" s="17" t="s">
        <v>452</v>
      </c>
      <c r="G36" s="12" t="s">
        <v>234</v>
      </c>
    </row>
    <row r="37" spans="1:7" s="12" customFormat="1" ht="12.75">
      <c r="A37" s="315"/>
      <c r="B37" s="4"/>
      <c r="D37" s="329">
        <f>'ERR &amp; Sensitivity Analysis'!G16</f>
        <v>18000</v>
      </c>
      <c r="E37" s="64" t="s">
        <v>64</v>
      </c>
      <c r="F37" s="17" t="s">
        <v>453</v>
      </c>
      <c r="G37" s="12" t="s">
        <v>234</v>
      </c>
    </row>
    <row r="38" spans="2:7" s="12" customFormat="1" ht="12.75">
      <c r="B38" s="4"/>
      <c r="D38" s="329">
        <f>D37</f>
        <v>18000</v>
      </c>
      <c r="E38" s="64" t="s">
        <v>64</v>
      </c>
      <c r="F38" s="17" t="s">
        <v>454</v>
      </c>
      <c r="G38" s="12" t="s">
        <v>234</v>
      </c>
    </row>
    <row r="39" spans="2:7" s="12" customFormat="1" ht="12.75">
      <c r="B39" s="4"/>
      <c r="D39" s="329">
        <f>D38</f>
        <v>18000</v>
      </c>
      <c r="E39" s="64" t="s">
        <v>64</v>
      </c>
      <c r="F39" s="17" t="s">
        <v>455</v>
      </c>
      <c r="G39" s="12" t="s">
        <v>234</v>
      </c>
    </row>
    <row r="40" spans="2:10" s="12" customFormat="1" ht="12.75">
      <c r="B40" s="4"/>
      <c r="D40" s="329">
        <f>D39</f>
        <v>18000</v>
      </c>
      <c r="E40" s="64" t="s">
        <v>64</v>
      </c>
      <c r="F40" s="17" t="s">
        <v>456</v>
      </c>
      <c r="G40" s="12" t="s">
        <v>234</v>
      </c>
      <c r="I40" s="189" t="s">
        <v>457</v>
      </c>
      <c r="J40" s="301">
        <f>SUM(D36:D40)</f>
        <v>75000</v>
      </c>
    </row>
    <row r="41" spans="4:7" ht="12.75">
      <c r="D41" s="267">
        <v>122997</v>
      </c>
      <c r="E41" s="64" t="s">
        <v>64</v>
      </c>
      <c r="F41" s="13" t="s">
        <v>65</v>
      </c>
      <c r="G41" t="s">
        <v>473</v>
      </c>
    </row>
    <row r="42" spans="4:7" ht="12.75">
      <c r="D42" s="267">
        <v>223938</v>
      </c>
      <c r="E42" s="64" t="s">
        <v>64</v>
      </c>
      <c r="F42" s="13" t="s">
        <v>70</v>
      </c>
      <c r="G42" t="s">
        <v>473</v>
      </c>
    </row>
    <row r="43" spans="4:7" ht="25.5" customHeight="1">
      <c r="D43" s="270">
        <v>0.45</v>
      </c>
      <c r="E43" s="64" t="s">
        <v>64</v>
      </c>
      <c r="F43" s="13" t="s">
        <v>101</v>
      </c>
      <c r="G43" t="s">
        <v>99</v>
      </c>
    </row>
    <row r="44" spans="4:7" ht="12.75" customHeight="1">
      <c r="D44" s="267">
        <v>145000</v>
      </c>
      <c r="E44" s="64" t="s">
        <v>64</v>
      </c>
      <c r="F44" s="13" t="s">
        <v>182</v>
      </c>
      <c r="G44" t="s">
        <v>183</v>
      </c>
    </row>
    <row r="45" spans="4:7" ht="25.5">
      <c r="D45" s="275">
        <v>0.255</v>
      </c>
      <c r="E45" s="64" t="s">
        <v>64</v>
      </c>
      <c r="F45" s="13" t="s">
        <v>215</v>
      </c>
      <c r="G45" t="s">
        <v>99</v>
      </c>
    </row>
    <row r="46" spans="4:7" ht="38.25" customHeight="1">
      <c r="D46" s="275">
        <v>0.15</v>
      </c>
      <c r="E46" s="64" t="s">
        <v>64</v>
      </c>
      <c r="F46" s="13" t="s">
        <v>442</v>
      </c>
      <c r="G46" t="s">
        <v>234</v>
      </c>
    </row>
    <row r="47" spans="4:7" ht="12.75">
      <c r="D47" s="275">
        <f>D43*D45</f>
        <v>0.11475</v>
      </c>
      <c r="E47" s="64" t="s">
        <v>64</v>
      </c>
      <c r="F47" s="13" t="s">
        <v>348</v>
      </c>
      <c r="G47" t="s">
        <v>344</v>
      </c>
    </row>
    <row r="48" spans="4:7" s="49" customFormat="1" ht="25.5" customHeight="1">
      <c r="D48" s="276">
        <v>0.6</v>
      </c>
      <c r="E48" s="185" t="s">
        <v>64</v>
      </c>
      <c r="F48" s="58" t="s">
        <v>216</v>
      </c>
      <c r="G48" s="49" t="s">
        <v>99</v>
      </c>
    </row>
    <row r="49" spans="4:7" ht="12.75">
      <c r="D49" s="271">
        <v>57223</v>
      </c>
      <c r="E49" s="64" t="s">
        <v>64</v>
      </c>
      <c r="F49" s="20" t="s">
        <v>109</v>
      </c>
      <c r="G49" t="s">
        <v>112</v>
      </c>
    </row>
    <row r="50" spans="4:7" ht="12.75">
      <c r="D50" s="271">
        <v>14308</v>
      </c>
      <c r="E50" s="64" t="s">
        <v>64</v>
      </c>
      <c r="F50" s="20" t="s">
        <v>110</v>
      </c>
      <c r="G50" t="s">
        <v>112</v>
      </c>
    </row>
    <row r="51" spans="4:7" s="12" customFormat="1" ht="12.75">
      <c r="D51" s="271">
        <v>5</v>
      </c>
      <c r="E51" s="64" t="s">
        <v>154</v>
      </c>
      <c r="F51" s="20" t="s">
        <v>158</v>
      </c>
      <c r="G51" t="s">
        <v>157</v>
      </c>
    </row>
    <row r="52" spans="4:7" ht="38.25">
      <c r="D52" s="277">
        <v>6868</v>
      </c>
      <c r="E52" s="64" t="s">
        <v>64</v>
      </c>
      <c r="F52" s="20" t="s">
        <v>180</v>
      </c>
      <c r="G52" t="s">
        <v>181</v>
      </c>
    </row>
    <row r="53" spans="4:7" ht="25.5">
      <c r="D53" s="277">
        <f>50000/D5</f>
        <v>42.955326460481096</v>
      </c>
      <c r="E53" s="64" t="s">
        <v>184</v>
      </c>
      <c r="F53" s="20" t="s">
        <v>186</v>
      </c>
      <c r="G53" t="s">
        <v>185</v>
      </c>
    </row>
    <row r="54" spans="4:7" ht="25.5">
      <c r="D54" s="277">
        <v>103</v>
      </c>
      <c r="E54" s="64" t="s">
        <v>64</v>
      </c>
      <c r="F54" s="20" t="s">
        <v>191</v>
      </c>
      <c r="G54" t="s">
        <v>474</v>
      </c>
    </row>
    <row r="55" spans="4:7" ht="25.5">
      <c r="D55" s="278">
        <v>0.56</v>
      </c>
      <c r="E55" s="64" t="s">
        <v>64</v>
      </c>
      <c r="F55" s="20" t="s">
        <v>193</v>
      </c>
      <c r="G55" t="s">
        <v>474</v>
      </c>
    </row>
    <row r="56" spans="4:7" ht="25.5">
      <c r="D56" s="277">
        <v>7</v>
      </c>
      <c r="E56" s="64" t="s">
        <v>64</v>
      </c>
      <c r="F56" s="20" t="s">
        <v>192</v>
      </c>
      <c r="G56" t="s">
        <v>474</v>
      </c>
    </row>
    <row r="57" spans="4:7" ht="12.75">
      <c r="D57" s="277">
        <f>500000/'Data &amp; Assumptions'!D5</f>
        <v>429.553264604811</v>
      </c>
      <c r="E57" s="64" t="s">
        <v>184</v>
      </c>
      <c r="F57" s="20" t="s">
        <v>194</v>
      </c>
      <c r="G57" t="s">
        <v>475</v>
      </c>
    </row>
    <row r="58" spans="4:7" ht="12.75">
      <c r="D58" s="277">
        <v>3265</v>
      </c>
      <c r="E58" s="64" t="s">
        <v>64</v>
      </c>
      <c r="F58" s="20" t="s">
        <v>195</v>
      </c>
      <c r="G58" t="s">
        <v>476</v>
      </c>
    </row>
    <row r="59" spans="4:7" ht="12.75">
      <c r="D59" s="279">
        <f>500/859</f>
        <v>0.5820721769499418</v>
      </c>
      <c r="E59" s="64" t="s">
        <v>64</v>
      </c>
      <c r="F59" s="20" t="s">
        <v>196</v>
      </c>
      <c r="G59" t="s">
        <v>477</v>
      </c>
    </row>
    <row r="60" spans="4:7" ht="12.75">
      <c r="D60" s="280">
        <f>(400+0.5*2500+0.2*50000)/D5</f>
        <v>10.008591065292096</v>
      </c>
      <c r="E60" s="64" t="s">
        <v>184</v>
      </c>
      <c r="F60" s="20" t="s">
        <v>225</v>
      </c>
      <c r="G60" t="s">
        <v>226</v>
      </c>
    </row>
    <row r="61" spans="4:7" ht="12.75">
      <c r="D61" s="281">
        <v>100</v>
      </c>
      <c r="E61" s="64" t="s">
        <v>184</v>
      </c>
      <c r="F61" s="20" t="s">
        <v>203</v>
      </c>
      <c r="G61" t="s">
        <v>478</v>
      </c>
    </row>
    <row r="62" spans="4:7" ht="12.75">
      <c r="D62" s="281">
        <v>90</v>
      </c>
      <c r="E62" s="64" t="s">
        <v>154</v>
      </c>
      <c r="F62" s="20" t="s">
        <v>227</v>
      </c>
      <c r="G62" t="s">
        <v>226</v>
      </c>
    </row>
    <row r="63" spans="4:7" ht="25.5">
      <c r="D63" s="282">
        <v>0.1857</v>
      </c>
      <c r="E63" s="64" t="s">
        <v>64</v>
      </c>
      <c r="F63" s="20" t="s">
        <v>274</v>
      </c>
      <c r="G63" t="s">
        <v>93</v>
      </c>
    </row>
    <row r="64" spans="4:7" s="49" customFormat="1" ht="25.5">
      <c r="D64" s="328">
        <f>'ERR &amp; Sensitivity Analysis'!G15</f>
        <v>0.093</v>
      </c>
      <c r="E64" s="185" t="s">
        <v>64</v>
      </c>
      <c r="F64" s="117" t="s">
        <v>424</v>
      </c>
      <c r="G64" s="49" t="s">
        <v>425</v>
      </c>
    </row>
    <row r="65" spans="4:7" s="49" customFormat="1" ht="38.25">
      <c r="D65" s="283">
        <f>75%</f>
        <v>0.75</v>
      </c>
      <c r="E65" s="185" t="s">
        <v>64</v>
      </c>
      <c r="F65" s="117" t="s">
        <v>429</v>
      </c>
      <c r="G65" s="49" t="s">
        <v>426</v>
      </c>
    </row>
    <row r="66" spans="4:6" ht="12.75">
      <c r="D66" s="282"/>
      <c r="F66" s="20"/>
    </row>
    <row r="67" spans="2:6" ht="12.75">
      <c r="B67" s="4" t="s">
        <v>314</v>
      </c>
      <c r="D67" s="271"/>
      <c r="F67" s="20"/>
    </row>
    <row r="68" spans="4:7" ht="12.75">
      <c r="D68" s="279">
        <v>0.2</v>
      </c>
      <c r="E68" s="64" t="s">
        <v>64</v>
      </c>
      <c r="F68" s="20" t="s">
        <v>187</v>
      </c>
      <c r="G68" t="s">
        <v>188</v>
      </c>
    </row>
    <row r="69" spans="4:7" ht="14.25">
      <c r="D69" s="284">
        <f>133000/D5</f>
        <v>114.26116838487972</v>
      </c>
      <c r="E69" s="64" t="s">
        <v>415</v>
      </c>
      <c r="F69" s="20" t="s">
        <v>205</v>
      </c>
      <c r="G69" t="s">
        <v>204</v>
      </c>
    </row>
    <row r="70" spans="4:7" ht="14.25">
      <c r="D70" s="271">
        <f>55.7</f>
        <v>55.7</v>
      </c>
      <c r="E70" s="64" t="s">
        <v>416</v>
      </c>
      <c r="F70" s="20" t="s">
        <v>206</v>
      </c>
      <c r="G70" t="s">
        <v>204</v>
      </c>
    </row>
    <row r="71" spans="4:7" ht="12.75">
      <c r="D71" s="271">
        <f>D69*D70</f>
        <v>6364.3470790378005</v>
      </c>
      <c r="E71" s="64" t="s">
        <v>184</v>
      </c>
      <c r="F71" s="20" t="s">
        <v>209</v>
      </c>
      <c r="G71" t="s">
        <v>204</v>
      </c>
    </row>
    <row r="72" spans="4:7" ht="14.25">
      <c r="D72" s="271">
        <f>12250/D5</f>
        <v>10.52405498281787</v>
      </c>
      <c r="E72" s="64" t="s">
        <v>415</v>
      </c>
      <c r="F72" s="20" t="s">
        <v>207</v>
      </c>
      <c r="G72" t="s">
        <v>204</v>
      </c>
    </row>
    <row r="73" spans="4:7" ht="14.25">
      <c r="D73" s="271">
        <v>680</v>
      </c>
      <c r="E73" s="64" t="s">
        <v>416</v>
      </c>
      <c r="F73" s="20" t="s">
        <v>208</v>
      </c>
      <c r="G73" t="s">
        <v>204</v>
      </c>
    </row>
    <row r="74" spans="4:7" ht="12.75">
      <c r="D74" s="271">
        <f>D72*D73</f>
        <v>7156.357388316151</v>
      </c>
      <c r="E74" s="64" t="s">
        <v>184</v>
      </c>
      <c r="F74" s="20" t="s">
        <v>210</v>
      </c>
      <c r="G74" t="s">
        <v>204</v>
      </c>
    </row>
    <row r="75" spans="4:7" ht="25.5">
      <c r="D75" s="283">
        <f>3%*30%</f>
        <v>0.009</v>
      </c>
      <c r="E75" s="185" t="s">
        <v>64</v>
      </c>
      <c r="F75" s="20" t="s">
        <v>262</v>
      </c>
      <c r="G75" t="s">
        <v>461</v>
      </c>
    </row>
    <row r="76" spans="4:7" ht="25.5">
      <c r="D76" s="282">
        <f>6%*30%</f>
        <v>0.018</v>
      </c>
      <c r="E76" s="64" t="s">
        <v>64</v>
      </c>
      <c r="F76" s="20" t="s">
        <v>263</v>
      </c>
      <c r="G76" t="s">
        <v>461</v>
      </c>
    </row>
    <row r="77" spans="4:7" ht="12.75">
      <c r="D77" s="302">
        <v>1500</v>
      </c>
      <c r="E77" s="64" t="s">
        <v>184</v>
      </c>
      <c r="F77" s="20" t="s">
        <v>458</v>
      </c>
      <c r="G77" t="s">
        <v>459</v>
      </c>
    </row>
    <row r="78" spans="4:7" s="146" customFormat="1" ht="25.5" customHeight="1">
      <c r="D78" s="283">
        <f>D80</f>
        <v>0.025</v>
      </c>
      <c r="E78" s="187" t="s">
        <v>64</v>
      </c>
      <c r="F78" s="72" t="s">
        <v>436</v>
      </c>
      <c r="G78" s="153" t="s">
        <v>460</v>
      </c>
    </row>
    <row r="79" spans="4:11" ht="38.25" customHeight="1">
      <c r="D79" s="278">
        <v>0.95</v>
      </c>
      <c r="F79" s="72" t="s">
        <v>437</v>
      </c>
      <c r="G79" s="153" t="s">
        <v>234</v>
      </c>
      <c r="H79" s="146"/>
      <c r="I79" s="146"/>
      <c r="J79" s="146"/>
      <c r="K79" s="146"/>
    </row>
    <row r="80" spans="4:11" ht="25.5">
      <c r="D80" s="328">
        <f>'ERR &amp; Sensitivity Analysis'!G17</f>
        <v>0.025</v>
      </c>
      <c r="E80" s="64" t="s">
        <v>64</v>
      </c>
      <c r="F80" s="72" t="s">
        <v>427</v>
      </c>
      <c r="G80" s="153" t="s">
        <v>317</v>
      </c>
      <c r="H80" s="146"/>
      <c r="I80" s="146"/>
      <c r="J80" s="146"/>
      <c r="K80" s="146"/>
    </row>
    <row r="81" spans="4:11" ht="38.25" customHeight="1">
      <c r="D81" s="285">
        <f>D79</f>
        <v>0.95</v>
      </c>
      <c r="F81" s="72" t="s">
        <v>438</v>
      </c>
      <c r="G81" s="153" t="s">
        <v>430</v>
      </c>
      <c r="H81" s="146"/>
      <c r="I81" s="146"/>
      <c r="J81" s="146"/>
      <c r="K81" s="146"/>
    </row>
    <row r="82" spans="4:10" ht="25.5" customHeight="1">
      <c r="D82" s="278">
        <f>D78*60%</f>
        <v>0.015</v>
      </c>
      <c r="E82" s="185" t="s">
        <v>64</v>
      </c>
      <c r="F82" s="176" t="s">
        <v>435</v>
      </c>
      <c r="G82" s="153" t="s">
        <v>318</v>
      </c>
      <c r="H82" s="146"/>
      <c r="I82" s="146"/>
      <c r="J82" s="146"/>
    </row>
    <row r="83" spans="4:10" ht="38.25" customHeight="1">
      <c r="D83" s="278">
        <f>D79</f>
        <v>0.95</v>
      </c>
      <c r="E83" s="185"/>
      <c r="F83" s="176" t="s">
        <v>439</v>
      </c>
      <c r="G83" s="153" t="s">
        <v>430</v>
      </c>
      <c r="H83" s="146"/>
      <c r="I83" s="146"/>
      <c r="J83" s="146"/>
    </row>
    <row r="84" spans="4:10" ht="25.5" customHeight="1">
      <c r="D84" s="283">
        <f>D80*60%</f>
        <v>0.015</v>
      </c>
      <c r="E84" s="185" t="s">
        <v>64</v>
      </c>
      <c r="F84" s="176" t="s">
        <v>428</v>
      </c>
      <c r="G84" s="153" t="s">
        <v>318</v>
      </c>
      <c r="H84" s="146"/>
      <c r="I84" s="146"/>
      <c r="J84" s="146"/>
    </row>
    <row r="85" spans="4:10" ht="38.25" customHeight="1">
      <c r="D85" s="285">
        <f>D79</f>
        <v>0.95</v>
      </c>
      <c r="E85" s="185"/>
      <c r="F85" s="176" t="s">
        <v>440</v>
      </c>
      <c r="G85" s="153" t="s">
        <v>430</v>
      </c>
      <c r="H85" s="146"/>
      <c r="I85" s="146"/>
      <c r="J85" s="146"/>
    </row>
    <row r="86" spans="4:7" s="49" customFormat="1" ht="25.5">
      <c r="D86" s="286">
        <v>0.1</v>
      </c>
      <c r="E86" s="185" t="s">
        <v>64</v>
      </c>
      <c r="F86" s="58" t="s">
        <v>441</v>
      </c>
      <c r="G86" s="49" t="s">
        <v>234</v>
      </c>
    </row>
    <row r="87" ht="12.75"/>
    <row r="88" ht="12.75">
      <c r="B88" s="4" t="s">
        <v>97</v>
      </c>
    </row>
    <row r="89" spans="4:7" ht="25.5" customHeight="1">
      <c r="D89" s="270">
        <v>0.1</v>
      </c>
      <c r="E89" s="64" t="s">
        <v>64</v>
      </c>
      <c r="F89" s="13" t="s">
        <v>98</v>
      </c>
      <c r="G89" t="s">
        <v>99</v>
      </c>
    </row>
    <row r="90" spans="4:7" ht="38.25">
      <c r="D90" s="270">
        <v>0.2</v>
      </c>
      <c r="E90" s="64" t="s">
        <v>64</v>
      </c>
      <c r="F90" s="13" t="s">
        <v>285</v>
      </c>
      <c r="G90" t="s">
        <v>479</v>
      </c>
    </row>
    <row r="91" spans="4:7" ht="12.75">
      <c r="D91" s="270">
        <v>0.04</v>
      </c>
      <c r="E91" s="64" t="s">
        <v>64</v>
      </c>
      <c r="F91" s="119" t="s">
        <v>432</v>
      </c>
      <c r="G91" t="s">
        <v>234</v>
      </c>
    </row>
    <row r="92" spans="4:7" ht="38.25">
      <c r="D92" s="270">
        <v>0.75</v>
      </c>
      <c r="E92" s="64" t="s">
        <v>64</v>
      </c>
      <c r="F92" s="119" t="s">
        <v>431</v>
      </c>
      <c r="G92" t="s">
        <v>234</v>
      </c>
    </row>
    <row r="93" spans="4:7" ht="12.75">
      <c r="D93" s="269">
        <v>0.6</v>
      </c>
      <c r="E93" s="64" t="s">
        <v>64</v>
      </c>
      <c r="F93" s="13" t="s">
        <v>282</v>
      </c>
      <c r="G93" t="s">
        <v>268</v>
      </c>
    </row>
    <row r="94" spans="4:7" s="49" customFormat="1" ht="38.25">
      <c r="D94" s="287">
        <v>0.75</v>
      </c>
      <c r="E94" s="185"/>
      <c r="F94" s="120" t="s">
        <v>283</v>
      </c>
      <c r="G94" s="49" t="s">
        <v>234</v>
      </c>
    </row>
    <row r="95" spans="4:7" ht="12.75">
      <c r="D95" s="269">
        <v>0.6</v>
      </c>
      <c r="E95" s="64" t="s">
        <v>64</v>
      </c>
      <c r="F95" s="13" t="s">
        <v>197</v>
      </c>
      <c r="G95" t="s">
        <v>480</v>
      </c>
    </row>
    <row r="96" spans="4:7" ht="12.75">
      <c r="D96" s="269">
        <v>0.3</v>
      </c>
      <c r="E96" s="64" t="s">
        <v>64</v>
      </c>
      <c r="F96" s="13" t="s">
        <v>198</v>
      </c>
      <c r="G96" t="s">
        <v>480</v>
      </c>
    </row>
    <row r="97" spans="4:7" ht="12.75">
      <c r="D97" s="269">
        <v>0.1</v>
      </c>
      <c r="E97" s="64" t="s">
        <v>64</v>
      </c>
      <c r="F97" s="13" t="s">
        <v>199</v>
      </c>
      <c r="G97" t="s">
        <v>480</v>
      </c>
    </row>
    <row r="98" spans="4:7" ht="12.75" customHeight="1">
      <c r="D98" s="271">
        <f>500000/D5</f>
        <v>429.553264604811</v>
      </c>
      <c r="E98" s="64" t="s">
        <v>184</v>
      </c>
      <c r="F98" s="13" t="s">
        <v>200</v>
      </c>
      <c r="G98" t="s">
        <v>481</v>
      </c>
    </row>
    <row r="99" ht="12.75" customHeight="1"/>
    <row r="100" spans="4:7" ht="12.75" customHeight="1">
      <c r="D100" s="288">
        <f>(1+1.6%)^12-1</f>
        <v>0.2098304065090819</v>
      </c>
      <c r="E100" s="64" t="s">
        <v>202</v>
      </c>
      <c r="F100" s="13" t="s">
        <v>201</v>
      </c>
      <c r="G100" t="s">
        <v>481</v>
      </c>
    </row>
    <row r="101" spans="4:7" s="49" customFormat="1" ht="26.25" customHeight="1">
      <c r="D101" s="277">
        <v>128</v>
      </c>
      <c r="E101" s="185" t="s">
        <v>64</v>
      </c>
      <c r="F101" s="58" t="s">
        <v>220</v>
      </c>
      <c r="G101" s="49" t="s">
        <v>221</v>
      </c>
    </row>
    <row r="102" spans="4:7" s="49" customFormat="1" ht="25.5" customHeight="1">
      <c r="D102" s="277">
        <f>101100000/D101/D5</f>
        <v>678.5599226804123</v>
      </c>
      <c r="E102" s="185" t="s">
        <v>184</v>
      </c>
      <c r="F102" s="58" t="s">
        <v>222</v>
      </c>
      <c r="G102" s="49" t="s">
        <v>221</v>
      </c>
    </row>
    <row r="103" spans="4:7" ht="12.75" customHeight="1">
      <c r="D103" s="271">
        <v>272</v>
      </c>
      <c r="E103" s="64" t="s">
        <v>64</v>
      </c>
      <c r="F103" s="13" t="s">
        <v>223</v>
      </c>
      <c r="G103" t="s">
        <v>221</v>
      </c>
    </row>
    <row r="104" spans="4:7" ht="12.75" customHeight="1">
      <c r="D104" s="271">
        <f>257900000/D103/D5</f>
        <v>814.5719628057409</v>
      </c>
      <c r="E104" s="64" t="s">
        <v>184</v>
      </c>
      <c r="F104" s="13" t="s">
        <v>224</v>
      </c>
      <c r="G104" t="s">
        <v>221</v>
      </c>
    </row>
    <row r="105" spans="4:7" ht="12.75" customHeight="1">
      <c r="D105" s="289">
        <f>966200000000/D5*2.5%*40.5%</f>
        <v>8404445.87628866</v>
      </c>
      <c r="E105" s="64" t="s">
        <v>184</v>
      </c>
      <c r="F105" s="13" t="s">
        <v>303</v>
      </c>
      <c r="G105" s="49" t="s">
        <v>249</v>
      </c>
    </row>
    <row r="106" spans="4:7" s="49" customFormat="1" ht="25.5" customHeight="1">
      <c r="D106" s="278">
        <f>'Data tables'!AM104</f>
        <v>0.6405743835043909</v>
      </c>
      <c r="E106" s="185" t="s">
        <v>202</v>
      </c>
      <c r="F106" s="58" t="s">
        <v>275</v>
      </c>
      <c r="G106" s="49" t="s">
        <v>249</v>
      </c>
    </row>
    <row r="107" spans="4:7" ht="12.75">
      <c r="D107" s="290">
        <f>1000000/$D$5</f>
        <v>859.106529209622</v>
      </c>
      <c r="E107" s="64" t="s">
        <v>184</v>
      </c>
      <c r="F107" s="13" t="s">
        <v>264</v>
      </c>
      <c r="G107" t="s">
        <v>482</v>
      </c>
    </row>
    <row r="108" spans="4:7" ht="12.75">
      <c r="D108" s="290">
        <f>1000000/$D$5</f>
        <v>859.106529209622</v>
      </c>
      <c r="E108" s="64" t="s">
        <v>184</v>
      </c>
      <c r="F108" s="13" t="s">
        <v>265</v>
      </c>
      <c r="G108" t="s">
        <v>482</v>
      </c>
    </row>
    <row r="109" spans="4:7" ht="12.75">
      <c r="D109" s="270">
        <v>0.21</v>
      </c>
      <c r="E109" s="64" t="s">
        <v>64</v>
      </c>
      <c r="F109" s="13" t="s">
        <v>269</v>
      </c>
      <c r="G109" t="s">
        <v>482</v>
      </c>
    </row>
    <row r="110" spans="4:7" ht="12.75">
      <c r="D110" s="275">
        <v>0.275</v>
      </c>
      <c r="E110" s="64" t="s">
        <v>64</v>
      </c>
      <c r="F110" s="13" t="s">
        <v>270</v>
      </c>
      <c r="G110" t="s">
        <v>482</v>
      </c>
    </row>
    <row r="111" spans="4:7" ht="12.75">
      <c r="D111" s="291">
        <f>(1+2.5%)^12-1</f>
        <v>0.3448888242462975</v>
      </c>
      <c r="E111" s="64" t="s">
        <v>64</v>
      </c>
      <c r="F111" s="13" t="s">
        <v>271</v>
      </c>
      <c r="G111" t="s">
        <v>482</v>
      </c>
    </row>
    <row r="112" spans="4:7" ht="12.75">
      <c r="D112" s="291">
        <f>(1+2.1%)^12-1</f>
        <v>0.2832430033962461</v>
      </c>
      <c r="E112" s="64" t="s">
        <v>64</v>
      </c>
      <c r="F112" s="13" t="s">
        <v>267</v>
      </c>
      <c r="G112" t="s">
        <v>482</v>
      </c>
    </row>
    <row r="113" spans="4:7" ht="12.75">
      <c r="D113" s="292">
        <v>4</v>
      </c>
      <c r="E113" s="64" t="s">
        <v>279</v>
      </c>
      <c r="F113" s="13" t="s">
        <v>280</v>
      </c>
      <c r="G113" t="s">
        <v>482</v>
      </c>
    </row>
    <row r="114" spans="4:7" ht="12.75">
      <c r="D114" s="269">
        <v>0.07</v>
      </c>
      <c r="E114" s="64" t="s">
        <v>64</v>
      </c>
      <c r="F114" s="13" t="s">
        <v>299</v>
      </c>
      <c r="G114" s="49" t="s">
        <v>234</v>
      </c>
    </row>
    <row r="115" spans="4:7" s="49" customFormat="1" ht="25.5">
      <c r="D115" s="293">
        <v>12.5</v>
      </c>
      <c r="E115" s="185" t="s">
        <v>184</v>
      </c>
      <c r="F115" s="58" t="s">
        <v>266</v>
      </c>
      <c r="G115" t="s">
        <v>482</v>
      </c>
    </row>
    <row r="116" spans="4:10" s="49" customFormat="1" ht="25.5" customHeight="1">
      <c r="D116" s="294">
        <f>30000*70%+30000*85%</f>
        <v>46500</v>
      </c>
      <c r="E116" s="185"/>
      <c r="F116" s="58" t="s">
        <v>272</v>
      </c>
      <c r="G116" s="448" t="s">
        <v>482</v>
      </c>
      <c r="H116" s="448"/>
      <c r="I116" s="448"/>
      <c r="J116" s="448"/>
    </row>
    <row r="117" spans="4:10" s="49" customFormat="1" ht="25.5" customHeight="1">
      <c r="D117" s="294">
        <f>60000*(15/(70%*69))*35%</f>
        <v>6521.739130434783</v>
      </c>
      <c r="E117" s="185"/>
      <c r="F117" s="58" t="s">
        <v>273</v>
      </c>
      <c r="G117" s="448" t="s">
        <v>482</v>
      </c>
      <c r="H117" s="448"/>
      <c r="I117" s="448"/>
      <c r="J117" s="448"/>
    </row>
    <row r="118" spans="4:8" s="49" customFormat="1" ht="25.5">
      <c r="D118" s="287">
        <f>75%</f>
        <v>0.75</v>
      </c>
      <c r="E118" s="185" t="s">
        <v>64</v>
      </c>
      <c r="F118" s="152" t="s">
        <v>276</v>
      </c>
      <c r="G118" s="153" t="s">
        <v>234</v>
      </c>
      <c r="H118" s="153"/>
    </row>
    <row r="119" spans="4:7" s="49" customFormat="1" ht="25.5">
      <c r="D119" s="287">
        <v>0.75</v>
      </c>
      <c r="E119" s="185" t="s">
        <v>64</v>
      </c>
      <c r="F119" s="58" t="s">
        <v>281</v>
      </c>
      <c r="G119" t="s">
        <v>482</v>
      </c>
    </row>
    <row r="120" spans="4:7" s="49" customFormat="1" ht="63.75">
      <c r="D120" s="295" t="s">
        <v>256</v>
      </c>
      <c r="E120" s="185" t="s">
        <v>319</v>
      </c>
      <c r="F120" s="58" t="s">
        <v>320</v>
      </c>
      <c r="G120" s="49" t="s">
        <v>249</v>
      </c>
    </row>
    <row r="121" spans="4:6" s="49" customFormat="1" ht="12.75">
      <c r="D121" s="287"/>
      <c r="E121" s="185"/>
      <c r="F121" s="58"/>
    </row>
    <row r="122" ht="12.75">
      <c r="B122" s="4" t="s">
        <v>328</v>
      </c>
    </row>
    <row r="123" spans="2:6" ht="25.5">
      <c r="B123" s="4"/>
      <c r="D123" s="275">
        <v>0.088</v>
      </c>
      <c r="E123" s="64" t="s">
        <v>64</v>
      </c>
      <c r="F123" s="13" t="s">
        <v>332</v>
      </c>
    </row>
    <row r="124" spans="2:6" ht="25.5">
      <c r="B124" s="4"/>
      <c r="D124" s="270">
        <v>0.28</v>
      </c>
      <c r="E124" s="64" t="s">
        <v>64</v>
      </c>
      <c r="F124" s="13" t="s">
        <v>333</v>
      </c>
    </row>
    <row r="125" spans="2:6" ht="25.5">
      <c r="B125" s="4"/>
      <c r="D125" s="270">
        <v>0.05</v>
      </c>
      <c r="E125" s="64" t="s">
        <v>64</v>
      </c>
      <c r="F125" s="13" t="s">
        <v>336</v>
      </c>
    </row>
    <row r="126" spans="2:6" ht="12.75">
      <c r="B126" s="4"/>
      <c r="D126" s="292">
        <v>15</v>
      </c>
      <c r="E126" s="64" t="s">
        <v>184</v>
      </c>
      <c r="F126" s="13" t="s">
        <v>329</v>
      </c>
    </row>
    <row r="127" spans="2:6" ht="25.5">
      <c r="B127" s="155"/>
      <c r="D127" s="270">
        <v>1.05</v>
      </c>
      <c r="E127" s="64" t="s">
        <v>64</v>
      </c>
      <c r="F127" s="13" t="s">
        <v>330</v>
      </c>
    </row>
    <row r="128" spans="2:6" ht="25.5">
      <c r="B128" s="4"/>
      <c r="D128" s="270">
        <v>1.18</v>
      </c>
      <c r="E128" s="64" t="s">
        <v>64</v>
      </c>
      <c r="F128" s="13" t="s">
        <v>331</v>
      </c>
    </row>
    <row r="129" spans="2:6" ht="12.75" customHeight="1">
      <c r="B129" s="4"/>
      <c r="D129" s="275">
        <v>0.066</v>
      </c>
      <c r="E129" s="64" t="s">
        <v>64</v>
      </c>
      <c r="F129" s="13" t="s">
        <v>334</v>
      </c>
    </row>
    <row r="130" spans="2:6" ht="25.5">
      <c r="B130" s="4"/>
      <c r="D130" s="270">
        <v>0</v>
      </c>
      <c r="E130" s="64" t="s">
        <v>64</v>
      </c>
      <c r="F130" s="13" t="s">
        <v>345</v>
      </c>
    </row>
    <row r="131" spans="2:7" ht="25.5">
      <c r="B131" s="4"/>
      <c r="D131" s="270">
        <f>AVERAGE(D127:D128)</f>
        <v>1.115</v>
      </c>
      <c r="E131" s="64" t="s">
        <v>64</v>
      </c>
      <c r="F131" s="13" t="s">
        <v>371</v>
      </c>
      <c r="G131" t="s">
        <v>344</v>
      </c>
    </row>
    <row r="132" spans="1:7" ht="25.5">
      <c r="A132" s="146" t="s">
        <v>381</v>
      </c>
      <c r="B132" s="241"/>
      <c r="C132" s="146"/>
      <c r="D132" s="270">
        <v>0.25</v>
      </c>
      <c r="E132" s="64" t="s">
        <v>64</v>
      </c>
      <c r="F132" s="13" t="s">
        <v>379</v>
      </c>
      <c r="G132" t="s">
        <v>234</v>
      </c>
    </row>
    <row r="133" spans="1:6" ht="12.75">
      <c r="A133" s="146"/>
      <c r="B133" s="241"/>
      <c r="C133" s="146"/>
      <c r="D133" s="270">
        <f>D132*D131</f>
        <v>0.27875</v>
      </c>
      <c r="F133" s="13" t="s">
        <v>12</v>
      </c>
    </row>
    <row r="134" spans="2:6" ht="25.5">
      <c r="B134" s="4"/>
      <c r="D134" s="331">
        <f>'ERR &amp; Sensitivity Analysis'!G13</f>
        <v>0.28</v>
      </c>
      <c r="E134" s="64" t="s">
        <v>64</v>
      </c>
      <c r="F134" s="13" t="s">
        <v>380</v>
      </c>
    </row>
    <row r="135" spans="2:7" ht="12.75" customHeight="1">
      <c r="B135" s="4"/>
      <c r="D135" s="275">
        <f>AVERAGE(D123:D125,D129:D130)</f>
        <v>0.0968</v>
      </c>
      <c r="E135" s="64" t="s">
        <v>64</v>
      </c>
      <c r="F135" s="13" t="s">
        <v>347</v>
      </c>
      <c r="G135" t="s">
        <v>344</v>
      </c>
    </row>
    <row r="136" spans="2:4" ht="12.75">
      <c r="B136" s="4"/>
      <c r="D136" s="270"/>
    </row>
    <row r="137" spans="2:4" ht="12.75">
      <c r="B137" s="4"/>
      <c r="D137" s="270"/>
    </row>
    <row r="138" spans="2:4" ht="12.75">
      <c r="B138" s="4" t="s">
        <v>335</v>
      </c>
      <c r="D138" s="270"/>
    </row>
    <row r="139" spans="2:7" ht="12.75">
      <c r="B139" s="4"/>
      <c r="D139" s="270">
        <v>0.117</v>
      </c>
      <c r="E139" s="64" t="s">
        <v>64</v>
      </c>
      <c r="F139" s="13" t="s">
        <v>337</v>
      </c>
      <c r="G139" t="s">
        <v>338</v>
      </c>
    </row>
    <row r="140" spans="2:7" ht="12.75">
      <c r="B140" s="4"/>
      <c r="D140" s="270">
        <f>D139</f>
        <v>0.117</v>
      </c>
      <c r="E140" s="64" t="s">
        <v>64</v>
      </c>
      <c r="F140" s="13" t="s">
        <v>339</v>
      </c>
      <c r="G140" t="s">
        <v>341</v>
      </c>
    </row>
    <row r="141" spans="2:7" ht="12.75">
      <c r="B141" s="4"/>
      <c r="D141" s="275">
        <v>0.18</v>
      </c>
      <c r="E141" s="64" t="s">
        <v>64</v>
      </c>
      <c r="F141" s="13" t="s">
        <v>340</v>
      </c>
      <c r="G141" t="s">
        <v>245</v>
      </c>
    </row>
    <row r="142" spans="2:7" s="49" customFormat="1" ht="25.5">
      <c r="B142" s="159"/>
      <c r="D142" s="276">
        <v>0.03550930244136019</v>
      </c>
      <c r="E142" s="185" t="s">
        <v>64</v>
      </c>
      <c r="F142" s="58" t="s">
        <v>357</v>
      </c>
      <c r="G142" s="49" t="s">
        <v>245</v>
      </c>
    </row>
    <row r="143" spans="2:7" s="49" customFormat="1" ht="12.75">
      <c r="B143" s="159"/>
      <c r="D143" s="286">
        <v>0.23</v>
      </c>
      <c r="E143" s="185" t="s">
        <v>64</v>
      </c>
      <c r="F143" s="58" t="s">
        <v>360</v>
      </c>
      <c r="G143" t="s">
        <v>234</v>
      </c>
    </row>
    <row r="144" spans="2:7" ht="12.75">
      <c r="B144" s="4"/>
      <c r="D144" s="296">
        <f>D141*D15</f>
        <v>193.01538461538462</v>
      </c>
      <c r="E144" s="64" t="s">
        <v>184</v>
      </c>
      <c r="F144" s="156" t="s">
        <v>354</v>
      </c>
      <c r="G144" t="s">
        <v>344</v>
      </c>
    </row>
    <row r="145" spans="2:7" ht="12.75">
      <c r="B145" s="4"/>
      <c r="D145" s="291">
        <f>1/3</f>
        <v>0.3333333333333333</v>
      </c>
      <c r="E145" s="64" t="s">
        <v>64</v>
      </c>
      <c r="F145" s="156" t="s">
        <v>353</v>
      </c>
      <c r="G145" t="s">
        <v>234</v>
      </c>
    </row>
    <row r="146" spans="2:7" ht="12.75">
      <c r="B146" s="4"/>
      <c r="D146" s="296">
        <f>D144*D145</f>
        <v>64.33846153846153</v>
      </c>
      <c r="E146" s="64" t="s">
        <v>184</v>
      </c>
      <c r="F146" s="156" t="s">
        <v>355</v>
      </c>
      <c r="G146" t="s">
        <v>344</v>
      </c>
    </row>
    <row r="147" spans="2:7" ht="12.75">
      <c r="B147" s="4"/>
      <c r="D147" s="269">
        <v>0.4</v>
      </c>
      <c r="E147" s="64" t="s">
        <v>64</v>
      </c>
      <c r="F147" s="156" t="s">
        <v>346</v>
      </c>
      <c r="G147" t="s">
        <v>234</v>
      </c>
    </row>
    <row r="148" spans="2:7" ht="12.75">
      <c r="B148" s="4"/>
      <c r="D148" s="296">
        <f>D146*D147</f>
        <v>25.735384615384614</v>
      </c>
      <c r="E148" s="64" t="s">
        <v>184</v>
      </c>
      <c r="F148" s="156" t="s">
        <v>374</v>
      </c>
      <c r="G148" t="s">
        <v>344</v>
      </c>
    </row>
    <row r="149" spans="2:7" ht="12.75">
      <c r="B149" s="4"/>
      <c r="D149" s="296">
        <f>D148*D18*D31</f>
        <v>191.53113086013565</v>
      </c>
      <c r="E149" s="64" t="s">
        <v>184</v>
      </c>
      <c r="F149" s="156" t="s">
        <v>375</v>
      </c>
      <c r="G149" t="s">
        <v>344</v>
      </c>
    </row>
    <row r="150" spans="2:7" ht="12.75">
      <c r="B150" s="4"/>
      <c r="D150" s="296">
        <f>D149*(1+D131)</f>
        <v>405.0883417691869</v>
      </c>
      <c r="E150" s="64" t="s">
        <v>184</v>
      </c>
      <c r="F150" s="156" t="s">
        <v>356</v>
      </c>
      <c r="G150" t="s">
        <v>344</v>
      </c>
    </row>
    <row r="151" spans="2:7" ht="12.75">
      <c r="B151" s="4"/>
      <c r="D151" s="269">
        <f>AVERAGE(D111:D112)</f>
        <v>0.3140659138212718</v>
      </c>
      <c r="E151" s="64" t="s">
        <v>64</v>
      </c>
      <c r="F151" s="156" t="s">
        <v>390</v>
      </c>
      <c r="G151" t="s">
        <v>391</v>
      </c>
    </row>
    <row r="152" spans="2:7" ht="25.5" customHeight="1">
      <c r="B152" s="4"/>
      <c r="D152" s="330">
        <f>'ERR &amp; Sensitivity Analysis'!G14</f>
        <v>0.05</v>
      </c>
      <c r="E152" s="64" t="s">
        <v>64</v>
      </c>
      <c r="F152" s="163" t="s">
        <v>394</v>
      </c>
      <c r="G152" t="s">
        <v>234</v>
      </c>
    </row>
    <row r="153" spans="2:7" ht="12.75" customHeight="1">
      <c r="B153" s="4"/>
      <c r="D153" s="291">
        <f>(D151+D152)/3</f>
        <v>0.1213553046070906</v>
      </c>
      <c r="F153" s="163" t="s">
        <v>395</v>
      </c>
      <c r="G153" t="s">
        <v>234</v>
      </c>
    </row>
    <row r="154" spans="2:7" ht="12.75" customHeight="1">
      <c r="B154" s="4"/>
      <c r="D154" s="291">
        <v>0.055</v>
      </c>
      <c r="E154" s="64" t="s">
        <v>64</v>
      </c>
      <c r="F154" s="163" t="s">
        <v>393</v>
      </c>
      <c r="G154" t="s">
        <v>392</v>
      </c>
    </row>
    <row r="155" spans="2:7" ht="12.75" customHeight="1">
      <c r="B155" s="4"/>
      <c r="D155" s="288">
        <f>1/3</f>
        <v>0.3333333333333333</v>
      </c>
      <c r="E155" s="64" t="s">
        <v>64</v>
      </c>
      <c r="F155" t="s">
        <v>398</v>
      </c>
      <c r="G155" t="s">
        <v>234</v>
      </c>
    </row>
    <row r="156" spans="2:6" ht="12.75" customHeight="1">
      <c r="B156" s="4"/>
      <c r="D156" s="288"/>
      <c r="F156" s="163"/>
    </row>
    <row r="157" spans="2:6" ht="12.75" customHeight="1">
      <c r="B157" s="4"/>
      <c r="D157" s="288"/>
      <c r="F157"/>
    </row>
    <row r="158" spans="2:6" ht="12.75" customHeight="1">
      <c r="B158" s="4"/>
      <c r="D158" s="291"/>
      <c r="F158" s="163"/>
    </row>
    <row r="159" ht="12.75">
      <c r="B159" s="4"/>
    </row>
    <row r="160" spans="2:7" ht="12.75">
      <c r="B160" s="4" t="s">
        <v>89</v>
      </c>
      <c r="G160" t="s">
        <v>88</v>
      </c>
    </row>
    <row r="162" spans="2:7" ht="25.5" customHeight="1">
      <c r="B162" s="447" t="s">
        <v>91</v>
      </c>
      <c r="C162" s="447"/>
      <c r="D162" s="447"/>
      <c r="E162" s="447"/>
      <c r="F162" s="447"/>
      <c r="G162" t="s">
        <v>90</v>
      </c>
    </row>
    <row r="164" spans="2:7" ht="12.75">
      <c r="B164" s="4" t="s">
        <v>92</v>
      </c>
      <c r="G164" t="s">
        <v>93</v>
      </c>
    </row>
    <row r="167" ht="15.75">
      <c r="A167" s="2" t="s">
        <v>446</v>
      </c>
    </row>
    <row r="168" spans="2:12" ht="12.75">
      <c r="B168" s="449" t="s">
        <v>447</v>
      </c>
      <c r="C168" s="449"/>
      <c r="D168" s="449"/>
      <c r="E168" s="449"/>
      <c r="F168" s="449"/>
      <c r="G168" s="449"/>
      <c r="H168" s="449"/>
      <c r="I168" s="449"/>
      <c r="J168" s="449"/>
      <c r="K168" s="449"/>
      <c r="L168" s="449"/>
    </row>
    <row r="169" spans="2:12" ht="12.75">
      <c r="B169" s="449"/>
      <c r="C169" s="449"/>
      <c r="D169" s="449"/>
      <c r="E169" s="449"/>
      <c r="F169" s="449"/>
      <c r="G169" s="449"/>
      <c r="H169" s="449"/>
      <c r="I169" s="449"/>
      <c r="J169" s="449"/>
      <c r="K169" s="449"/>
      <c r="L169" s="449"/>
    </row>
    <row r="174" spans="1:3" ht="15.75">
      <c r="A174" s="2"/>
      <c r="B174" s="2"/>
      <c r="C174" s="2"/>
    </row>
    <row r="175" spans="4:6" s="1" customFormat="1" ht="12.75">
      <c r="D175" s="261"/>
      <c r="E175" s="64"/>
      <c r="F175" s="16"/>
    </row>
    <row r="176" spans="2:6" s="1" customFormat="1" ht="12.75">
      <c r="B176" s="4"/>
      <c r="D176" s="261"/>
      <c r="E176" s="64"/>
      <c r="F176" s="16"/>
    </row>
    <row r="177" spans="4:6" s="12" customFormat="1" ht="12.75">
      <c r="D177" s="267"/>
      <c r="E177" s="64"/>
      <c r="F177" s="17"/>
    </row>
    <row r="178" spans="4:6" s="1" customFormat="1" ht="12.75">
      <c r="D178" s="261"/>
      <c r="E178" s="64"/>
      <c r="F178" s="16"/>
    </row>
    <row r="179" ht="12.75">
      <c r="B179" s="4"/>
    </row>
    <row r="184" ht="12.75">
      <c r="B184" s="4"/>
    </row>
    <row r="188" ht="12.75">
      <c r="B188" s="4"/>
    </row>
    <row r="190" spans="2:6" ht="13.5" customHeight="1">
      <c r="B190" s="447"/>
      <c r="C190" s="447"/>
      <c r="D190" s="447"/>
      <c r="E190" s="447"/>
      <c r="F190" s="447"/>
    </row>
    <row r="192" ht="12.75" customHeight="1">
      <c r="B192" s="4"/>
    </row>
    <row r="194" ht="12.75">
      <c r="B194" s="4"/>
    </row>
    <row r="196" spans="2:6" ht="25.5" customHeight="1">
      <c r="B196" s="447"/>
      <c r="C196" s="447"/>
      <c r="D196" s="447"/>
      <c r="E196" s="447"/>
      <c r="F196" s="447"/>
    </row>
  </sheetData>
  <mergeCells count="7">
    <mergeCell ref="A1:G1"/>
    <mergeCell ref="B190:F190"/>
    <mergeCell ref="B162:F162"/>
    <mergeCell ref="B196:F196"/>
    <mergeCell ref="G116:J116"/>
    <mergeCell ref="G117:J117"/>
    <mergeCell ref="B168:L169"/>
  </mergeCells>
  <conditionalFormatting sqref="A1">
    <cfRule type="cellIs" priority="1" dxfId="0" operator="equal" stopIfTrue="1">
      <formula>0</formula>
    </cfRule>
    <cfRule type="cellIs" priority="2" dxfId="1" operator="notEqual" stopIfTrue="1">
      <formula>0</formula>
    </cfRule>
  </conditionalFormatting>
  <hyperlinks>
    <hyperlink ref="G5" r:id="rId1" display="www.oanda.com"/>
  </hyperlinks>
  <printOptions/>
  <pageMargins left="0.75" right="0.75" top="1" bottom="1" header="0.5" footer="0.5"/>
  <pageSetup fitToHeight="1" fitToWidth="1" horizontalDpi="600" verticalDpi="600" orientation="landscape" scale="15" r:id="rId4"/>
  <rowBreaks count="4" manualBreakCount="4">
    <brk id="34" max="12" man="1"/>
    <brk id="66" max="12" man="1"/>
    <brk id="87" max="12" man="1"/>
    <brk id="164" max="12" man="1"/>
  </rowBreaks>
  <ignoredErrors>
    <ignoredError sqref="D131" formulaRange="1"/>
    <ignoredError sqref="D83" formula="1"/>
  </ignoredErrors>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CL581"/>
  <sheetViews>
    <sheetView zoomScale="85" zoomScaleNormal="85" workbookViewId="0" topLeftCell="A1">
      <pane xSplit="12" ySplit="5" topLeftCell="M198" activePane="bottomRight" state="frozen"/>
      <selection pane="topLeft" activeCell="A1" sqref="A1"/>
      <selection pane="topRight" activeCell="M1" sqref="M1"/>
      <selection pane="bottomLeft" activeCell="A6" sqref="A6"/>
      <selection pane="bottomRight" activeCell="Q203" sqref="Q203"/>
    </sheetView>
  </sheetViews>
  <sheetFormatPr defaultColWidth="9.140625" defaultRowHeight="12.75"/>
  <cols>
    <col min="1" max="7" width="3.7109375" style="0" customWidth="1"/>
    <col min="16" max="16" width="11.28125" style="0" customWidth="1"/>
    <col min="17" max="17" width="15.00390625" style="0" customWidth="1"/>
    <col min="18" max="18" width="12.28125" style="146" customWidth="1"/>
    <col min="19" max="19" width="13.00390625" style="0" customWidth="1"/>
    <col min="20" max="20" width="12.421875" style="0" customWidth="1"/>
    <col min="21" max="21" width="12.421875" style="146" customWidth="1"/>
    <col min="22" max="25" width="12.421875" style="0" customWidth="1"/>
    <col min="26" max="37" width="14.140625" style="0" customWidth="1"/>
    <col min="38" max="38" width="14.00390625" style="0" customWidth="1"/>
    <col min="39" max="39" width="0.85546875" style="203" customWidth="1"/>
    <col min="43" max="43" width="11.28125" style="0" customWidth="1"/>
    <col min="44" max="44" width="11.57421875" style="0" customWidth="1"/>
    <col min="45" max="47" width="12.28125" style="0" bestFit="1" customWidth="1"/>
    <col min="48" max="48" width="12.28125" style="146" bestFit="1" customWidth="1"/>
    <col min="49" max="64" width="12.28125" style="0" bestFit="1" customWidth="1"/>
    <col min="65" max="65" width="12.57421875" style="0" bestFit="1" customWidth="1"/>
    <col min="66" max="66" width="0.85546875" style="203" customWidth="1"/>
    <col min="68" max="69" width="9.00390625" style="0" customWidth="1"/>
    <col min="70" max="70" width="12.28125" style="0" customWidth="1"/>
    <col min="71" max="72" width="11.28125" style="0" bestFit="1" customWidth="1"/>
    <col min="73" max="73" width="11.28125" style="146" bestFit="1" customWidth="1"/>
    <col min="74" max="89" width="11.57421875" style="0" bestFit="1" customWidth="1"/>
  </cols>
  <sheetData>
    <row r="1" spans="1:20" ht="12.75">
      <c r="A1" s="438">
        <f>IF('ERR &amp; Sensitivity Analysis'!$I$10="N","Note: Current calculations are based on user input and are not the original MCC estimates.",IF('ERR &amp; Sensitivity Analysis'!$I$11="N","Note: Current calculations are based on user input and are not the original MCC estimates.",0))</f>
        <v>0</v>
      </c>
      <c r="B1" s="438"/>
      <c r="C1" s="438"/>
      <c r="D1" s="438"/>
      <c r="E1" s="438"/>
      <c r="F1" s="438"/>
      <c r="G1" s="438"/>
      <c r="H1" s="438"/>
      <c r="I1" s="438"/>
      <c r="J1" s="438"/>
      <c r="K1" s="438"/>
      <c r="L1" s="438"/>
      <c r="M1" s="438"/>
      <c r="N1" s="438"/>
      <c r="S1" s="333" t="s">
        <v>15</v>
      </c>
      <c r="T1" s="334">
        <v>39310</v>
      </c>
    </row>
    <row r="2" spans="1:3" ht="15.75">
      <c r="A2" s="2" t="s">
        <v>59</v>
      </c>
      <c r="B2" s="1"/>
      <c r="C2" s="1"/>
    </row>
    <row r="3" spans="1:3" ht="12.75" customHeight="1">
      <c r="A3" s="2"/>
      <c r="B3" s="1"/>
      <c r="C3" s="1"/>
    </row>
    <row r="4" spans="3:88" ht="12.75" customHeight="1" thickBot="1">
      <c r="C4" s="415">
        <f>'Data &amp; Assumptions'!D5</f>
        <v>1164</v>
      </c>
      <c r="D4" s="415"/>
      <c r="E4" s="18" t="s">
        <v>106</v>
      </c>
      <c r="F4" s="18"/>
      <c r="M4" t="s">
        <v>231</v>
      </c>
      <c r="P4" s="1" t="s">
        <v>423</v>
      </c>
      <c r="U4" s="233" t="s">
        <v>423</v>
      </c>
      <c r="Z4" s="1" t="s">
        <v>423</v>
      </c>
      <c r="AE4" s="1" t="s">
        <v>423</v>
      </c>
      <c r="AJ4" s="1" t="s">
        <v>423</v>
      </c>
      <c r="AN4" s="3" t="s">
        <v>231</v>
      </c>
      <c r="AQ4" s="1" t="s">
        <v>422</v>
      </c>
      <c r="AV4" s="233" t="s">
        <v>422</v>
      </c>
      <c r="BA4" s="1" t="s">
        <v>422</v>
      </c>
      <c r="BF4" s="1" t="s">
        <v>422</v>
      </c>
      <c r="BK4" s="1" t="s">
        <v>422</v>
      </c>
      <c r="BP4" s="1" t="s">
        <v>443</v>
      </c>
      <c r="BU4" s="1" t="s">
        <v>443</v>
      </c>
      <c r="BZ4" s="1" t="s">
        <v>443</v>
      </c>
      <c r="CE4" s="1" t="s">
        <v>443</v>
      </c>
      <c r="CJ4" s="1" t="s">
        <v>443</v>
      </c>
    </row>
    <row r="5" spans="2:90" ht="12.75" customHeight="1" thickBot="1">
      <c r="B5" s="3"/>
      <c r="C5" s="425">
        <f>D321</f>
        <v>0.38530608241803443</v>
      </c>
      <c r="D5" s="426"/>
      <c r="E5" s="18" t="s">
        <v>445</v>
      </c>
      <c r="F5" s="18"/>
      <c r="L5" t="s">
        <v>219</v>
      </c>
      <c r="M5" t="s">
        <v>232</v>
      </c>
      <c r="O5">
        <v>2004</v>
      </c>
      <c r="P5">
        <v>2005</v>
      </c>
      <c r="Q5">
        <v>2006</v>
      </c>
      <c r="R5" s="146">
        <v>2007</v>
      </c>
      <c r="S5">
        <v>2008</v>
      </c>
      <c r="T5">
        <v>2009</v>
      </c>
      <c r="U5" s="146">
        <v>2010</v>
      </c>
      <c r="V5">
        <v>2011</v>
      </c>
      <c r="W5">
        <v>2012</v>
      </c>
      <c r="X5">
        <v>2013</v>
      </c>
      <c r="Y5">
        <v>2014</v>
      </c>
      <c r="Z5">
        <v>2015</v>
      </c>
      <c r="AA5">
        <v>2016</v>
      </c>
      <c r="AB5">
        <v>2017</v>
      </c>
      <c r="AC5">
        <v>2018</v>
      </c>
      <c r="AD5">
        <v>2019</v>
      </c>
      <c r="AE5">
        <v>2020</v>
      </c>
      <c r="AF5">
        <v>2021</v>
      </c>
      <c r="AG5">
        <v>2022</v>
      </c>
      <c r="AH5">
        <v>2023</v>
      </c>
      <c r="AI5">
        <v>2024</v>
      </c>
      <c r="AJ5">
        <v>2025</v>
      </c>
      <c r="AK5">
        <v>2026</v>
      </c>
      <c r="AL5">
        <v>2027</v>
      </c>
      <c r="AN5" s="3" t="s">
        <v>232</v>
      </c>
      <c r="AP5">
        <v>2004</v>
      </c>
      <c r="AQ5">
        <v>2005</v>
      </c>
      <c r="AR5">
        <v>2006</v>
      </c>
      <c r="AS5">
        <v>2007</v>
      </c>
      <c r="AT5">
        <v>2008</v>
      </c>
      <c r="AU5">
        <v>2009</v>
      </c>
      <c r="AV5" s="146">
        <v>2010</v>
      </c>
      <c r="AW5">
        <v>2011</v>
      </c>
      <c r="AX5">
        <v>2012</v>
      </c>
      <c r="AY5">
        <v>2013</v>
      </c>
      <c r="AZ5">
        <v>2014</v>
      </c>
      <c r="BA5">
        <v>2015</v>
      </c>
      <c r="BB5">
        <v>2016</v>
      </c>
      <c r="BC5">
        <v>2017</v>
      </c>
      <c r="BD5">
        <v>2018</v>
      </c>
      <c r="BE5">
        <v>2019</v>
      </c>
      <c r="BF5">
        <v>2020</v>
      </c>
      <c r="BG5">
        <v>2021</v>
      </c>
      <c r="BH5">
        <v>2022</v>
      </c>
      <c r="BI5">
        <v>2023</v>
      </c>
      <c r="BJ5">
        <v>2024</v>
      </c>
      <c r="BK5">
        <v>2025</v>
      </c>
      <c r="BL5">
        <v>2026</v>
      </c>
      <c r="BM5">
        <v>2027</v>
      </c>
      <c r="BO5">
        <v>2004</v>
      </c>
      <c r="BP5">
        <v>2005</v>
      </c>
      <c r="BQ5">
        <v>2006</v>
      </c>
      <c r="BR5">
        <v>2007</v>
      </c>
      <c r="BS5">
        <v>2008</v>
      </c>
      <c r="BT5">
        <v>2009</v>
      </c>
      <c r="BU5" s="146">
        <v>2010</v>
      </c>
      <c r="BV5">
        <v>2011</v>
      </c>
      <c r="BW5">
        <v>2012</v>
      </c>
      <c r="BX5">
        <v>2013</v>
      </c>
      <c r="BY5">
        <v>2014</v>
      </c>
      <c r="BZ5">
        <v>2015</v>
      </c>
      <c r="CA5">
        <v>2016</v>
      </c>
      <c r="CB5">
        <v>2017</v>
      </c>
      <c r="CC5">
        <v>2018</v>
      </c>
      <c r="CD5">
        <v>2019</v>
      </c>
      <c r="CE5">
        <v>2020</v>
      </c>
      <c r="CF5">
        <v>2021</v>
      </c>
      <c r="CG5">
        <v>2022</v>
      </c>
      <c r="CH5">
        <v>2023</v>
      </c>
      <c r="CI5">
        <v>2024</v>
      </c>
      <c r="CJ5">
        <v>2025</v>
      </c>
      <c r="CK5">
        <v>2026</v>
      </c>
      <c r="CL5">
        <v>2027</v>
      </c>
    </row>
    <row r="6" spans="1:6" ht="12.75" customHeight="1">
      <c r="A6" t="s">
        <v>419</v>
      </c>
      <c r="B6" s="3"/>
      <c r="C6" s="3"/>
      <c r="D6" s="3"/>
      <c r="E6" s="18"/>
      <c r="F6" s="18"/>
    </row>
    <row r="7" spans="2:6" ht="12.75" customHeight="1">
      <c r="B7" s="202" t="s">
        <v>421</v>
      </c>
      <c r="C7" s="3"/>
      <c r="D7" s="3"/>
      <c r="E7" s="18"/>
      <c r="F7" s="18"/>
    </row>
    <row r="8" spans="2:6" ht="12.75" customHeight="1">
      <c r="B8" s="201" t="s">
        <v>420</v>
      </c>
      <c r="C8" s="3"/>
      <c r="D8" s="3"/>
      <c r="E8" s="18"/>
      <c r="F8" s="18"/>
    </row>
    <row r="9" spans="2:6" ht="12.75" customHeight="1">
      <c r="B9" s="3"/>
      <c r="C9" s="3"/>
      <c r="D9" s="3"/>
      <c r="E9" s="18"/>
      <c r="F9" s="18"/>
    </row>
    <row r="10" spans="2:10" ht="12.75">
      <c r="B10" s="4" t="s">
        <v>414</v>
      </c>
      <c r="C10" s="4"/>
      <c r="F10" s="146"/>
      <c r="G10" s="146"/>
      <c r="H10" s="146"/>
      <c r="I10" s="146"/>
      <c r="J10" s="146"/>
    </row>
    <row r="11" spans="2:3" ht="12.75">
      <c r="B11" s="4"/>
      <c r="C11" s="4"/>
    </row>
    <row r="12" spans="2:3" ht="12.75">
      <c r="B12" s="4"/>
      <c r="C12" t="s">
        <v>358</v>
      </c>
    </row>
    <row r="13" ht="12.75">
      <c r="B13" s="4"/>
    </row>
    <row r="14" spans="2:65" ht="12.75">
      <c r="B14" s="4"/>
      <c r="D14" t="s">
        <v>359</v>
      </c>
      <c r="L14" s="3" t="s">
        <v>64</v>
      </c>
      <c r="P14" s="160">
        <f>'Data &amp; Assumptions'!D13</f>
        <v>0.07</v>
      </c>
      <c r="Q14" s="160">
        <v>0.07</v>
      </c>
      <c r="R14" s="245">
        <v>0.07</v>
      </c>
      <c r="S14" s="160">
        <v>0.07</v>
      </c>
      <c r="T14" s="160">
        <v>0.11</v>
      </c>
      <c r="U14" s="245">
        <v>0.06</v>
      </c>
      <c r="V14" s="160">
        <f>U14</f>
        <v>0.06</v>
      </c>
      <c r="W14" s="160">
        <f>V14</f>
        <v>0.06</v>
      </c>
      <c r="X14" s="160">
        <f>W14</f>
        <v>0.06</v>
      </c>
      <c r="Y14" s="160">
        <f>X14-1%</f>
        <v>0.049999999999999996</v>
      </c>
      <c r="Z14" s="160">
        <f>Y14</f>
        <v>0.049999999999999996</v>
      </c>
      <c r="AA14" s="160">
        <f>Z14</f>
        <v>0.049999999999999996</v>
      </c>
      <c r="AB14" s="160">
        <f>AA14</f>
        <v>0.049999999999999996</v>
      </c>
      <c r="AC14" s="160">
        <f>AB14</f>
        <v>0.049999999999999996</v>
      </c>
      <c r="AD14" s="160">
        <f>AC14</f>
        <v>0.049999999999999996</v>
      </c>
      <c r="AE14" s="160">
        <f>AD14-0.5%</f>
        <v>0.045</v>
      </c>
      <c r="AF14" s="160">
        <f aca="true" t="shared" si="0" ref="AF14:AK15">AE14</f>
        <v>0.045</v>
      </c>
      <c r="AG14" s="160">
        <f t="shared" si="0"/>
        <v>0.045</v>
      </c>
      <c r="AH14" s="160">
        <f t="shared" si="0"/>
        <v>0.045</v>
      </c>
      <c r="AI14" s="160">
        <f t="shared" si="0"/>
        <v>0.045</v>
      </c>
      <c r="AJ14" s="160">
        <f t="shared" si="0"/>
        <v>0.045</v>
      </c>
      <c r="AK14" s="160">
        <f t="shared" si="0"/>
        <v>0.045</v>
      </c>
      <c r="AQ14" s="160">
        <f aca="true" t="shared" si="1" ref="AQ14:AZ16">P14</f>
        <v>0.07</v>
      </c>
      <c r="AR14" s="160">
        <f t="shared" si="1"/>
        <v>0.07</v>
      </c>
      <c r="AS14" s="160">
        <f t="shared" si="1"/>
        <v>0.07</v>
      </c>
      <c r="AT14" s="160">
        <f t="shared" si="1"/>
        <v>0.07</v>
      </c>
      <c r="AU14" s="160">
        <f t="shared" si="1"/>
        <v>0.11</v>
      </c>
      <c r="AV14" s="245">
        <f t="shared" si="1"/>
        <v>0.06</v>
      </c>
      <c r="AW14" s="160">
        <f t="shared" si="1"/>
        <v>0.06</v>
      </c>
      <c r="AX14" s="160">
        <f t="shared" si="1"/>
        <v>0.06</v>
      </c>
      <c r="AY14" s="160">
        <f t="shared" si="1"/>
        <v>0.06</v>
      </c>
      <c r="AZ14" s="160">
        <f t="shared" si="1"/>
        <v>0.049999999999999996</v>
      </c>
      <c r="BA14" s="160">
        <f aca="true" t="shared" si="2" ref="BA14:BJ16">Z14</f>
        <v>0.049999999999999996</v>
      </c>
      <c r="BB14" s="160">
        <f t="shared" si="2"/>
        <v>0.049999999999999996</v>
      </c>
      <c r="BC14" s="160">
        <f t="shared" si="2"/>
        <v>0.049999999999999996</v>
      </c>
      <c r="BD14" s="160">
        <f t="shared" si="2"/>
        <v>0.049999999999999996</v>
      </c>
      <c r="BE14" s="160">
        <f t="shared" si="2"/>
        <v>0.049999999999999996</v>
      </c>
      <c r="BF14" s="160">
        <f t="shared" si="2"/>
        <v>0.045</v>
      </c>
      <c r="BG14" s="160">
        <f t="shared" si="2"/>
        <v>0.045</v>
      </c>
      <c r="BH14" s="160">
        <f t="shared" si="2"/>
        <v>0.045</v>
      </c>
      <c r="BI14" s="160">
        <f t="shared" si="2"/>
        <v>0.045</v>
      </c>
      <c r="BJ14" s="160">
        <f t="shared" si="2"/>
        <v>0.045</v>
      </c>
      <c r="BK14" s="160">
        <f aca="true" t="shared" si="3" ref="BK14:BL16">AJ14</f>
        <v>0.045</v>
      </c>
      <c r="BL14" s="160">
        <f t="shared" si="3"/>
        <v>0.045</v>
      </c>
      <c r="BM14" s="160"/>
    </row>
    <row r="15" spans="2:65" ht="12.75">
      <c r="B15" s="4"/>
      <c r="D15" t="s">
        <v>362</v>
      </c>
      <c r="L15" s="3" t="s">
        <v>64</v>
      </c>
      <c r="P15" s="160">
        <f>'Data &amp; Assumptions'!D16</f>
        <v>0.014</v>
      </c>
      <c r="Q15" s="160">
        <f>P15</f>
        <v>0.014</v>
      </c>
      <c r="R15" s="245">
        <f>Q15</f>
        <v>0.014</v>
      </c>
      <c r="S15" s="160">
        <f>R15</f>
        <v>0.014</v>
      </c>
      <c r="T15" s="160">
        <f>S15</f>
        <v>0.014</v>
      </c>
      <c r="U15" s="245">
        <f>T15-0.1%</f>
        <v>0.013000000000000001</v>
      </c>
      <c r="V15" s="160">
        <f>U15</f>
        <v>0.013000000000000001</v>
      </c>
      <c r="W15" s="160">
        <f aca="true" t="shared" si="4" ref="W15:AD15">V15</f>
        <v>0.013000000000000001</v>
      </c>
      <c r="X15" s="160">
        <f t="shared" si="4"/>
        <v>0.013000000000000001</v>
      </c>
      <c r="Y15" s="160">
        <f t="shared" si="4"/>
        <v>0.013000000000000001</v>
      </c>
      <c r="Z15" s="160">
        <f t="shared" si="4"/>
        <v>0.013000000000000001</v>
      </c>
      <c r="AA15" s="160">
        <f t="shared" si="4"/>
        <v>0.013000000000000001</v>
      </c>
      <c r="AB15" s="160">
        <f t="shared" si="4"/>
        <v>0.013000000000000001</v>
      </c>
      <c r="AC15" s="160">
        <f t="shared" si="4"/>
        <v>0.013000000000000001</v>
      </c>
      <c r="AD15" s="160">
        <f t="shared" si="4"/>
        <v>0.013000000000000001</v>
      </c>
      <c r="AE15" s="160">
        <f>AD15-0.1%</f>
        <v>0.012</v>
      </c>
      <c r="AF15" s="160">
        <f t="shared" si="0"/>
        <v>0.012</v>
      </c>
      <c r="AG15" s="160">
        <f t="shared" si="0"/>
        <v>0.012</v>
      </c>
      <c r="AH15" s="160">
        <f t="shared" si="0"/>
        <v>0.012</v>
      </c>
      <c r="AI15" s="160">
        <f t="shared" si="0"/>
        <v>0.012</v>
      </c>
      <c r="AJ15" s="160">
        <f t="shared" si="0"/>
        <v>0.012</v>
      </c>
      <c r="AK15" s="160">
        <f t="shared" si="0"/>
        <v>0.012</v>
      </c>
      <c r="AQ15" s="160">
        <f t="shared" si="1"/>
        <v>0.014</v>
      </c>
      <c r="AR15" s="160">
        <f t="shared" si="1"/>
        <v>0.014</v>
      </c>
      <c r="AS15" s="160">
        <f t="shared" si="1"/>
        <v>0.014</v>
      </c>
      <c r="AT15" s="160">
        <f t="shared" si="1"/>
        <v>0.014</v>
      </c>
      <c r="AU15" s="160">
        <f t="shared" si="1"/>
        <v>0.014</v>
      </c>
      <c r="AV15" s="245">
        <f t="shared" si="1"/>
        <v>0.013000000000000001</v>
      </c>
      <c r="AW15" s="160">
        <f t="shared" si="1"/>
        <v>0.013000000000000001</v>
      </c>
      <c r="AX15" s="160">
        <f t="shared" si="1"/>
        <v>0.013000000000000001</v>
      </c>
      <c r="AY15" s="160">
        <f t="shared" si="1"/>
        <v>0.013000000000000001</v>
      </c>
      <c r="AZ15" s="160">
        <f t="shared" si="1"/>
        <v>0.013000000000000001</v>
      </c>
      <c r="BA15" s="160">
        <f t="shared" si="2"/>
        <v>0.013000000000000001</v>
      </c>
      <c r="BB15" s="160">
        <f t="shared" si="2"/>
        <v>0.013000000000000001</v>
      </c>
      <c r="BC15" s="160">
        <f t="shared" si="2"/>
        <v>0.013000000000000001</v>
      </c>
      <c r="BD15" s="160">
        <f t="shared" si="2"/>
        <v>0.013000000000000001</v>
      </c>
      <c r="BE15" s="160">
        <f t="shared" si="2"/>
        <v>0.013000000000000001</v>
      </c>
      <c r="BF15" s="160">
        <f t="shared" si="2"/>
        <v>0.012</v>
      </c>
      <c r="BG15" s="160">
        <f t="shared" si="2"/>
        <v>0.012</v>
      </c>
      <c r="BH15" s="160">
        <f t="shared" si="2"/>
        <v>0.012</v>
      </c>
      <c r="BI15" s="160">
        <f t="shared" si="2"/>
        <v>0.012</v>
      </c>
      <c r="BJ15" s="160">
        <f t="shared" si="2"/>
        <v>0.012</v>
      </c>
      <c r="BK15" s="160">
        <f t="shared" si="3"/>
        <v>0.012</v>
      </c>
      <c r="BL15" s="160">
        <f t="shared" si="3"/>
        <v>0.012</v>
      </c>
      <c r="BM15" s="160"/>
    </row>
    <row r="16" spans="2:65" ht="12.75">
      <c r="B16" s="4"/>
      <c r="D16" t="s">
        <v>363</v>
      </c>
      <c r="L16" s="3" t="s">
        <v>64</v>
      </c>
      <c r="P16" s="75">
        <f>(1+P14)/(1+P15)-1</f>
        <v>0.05522682445759375</v>
      </c>
      <c r="Q16" s="75">
        <f aca="true" t="shared" si="5" ref="Q16:AK16">(1+Q14)/(1+Q15)-1</f>
        <v>0.05522682445759375</v>
      </c>
      <c r="R16" s="246">
        <f t="shared" si="5"/>
        <v>0.05522682445759375</v>
      </c>
      <c r="S16" s="75">
        <f t="shared" si="5"/>
        <v>0.05522682445759375</v>
      </c>
      <c r="T16" s="75">
        <f>(1+T14)/(1+T15)-1</f>
        <v>0.09467455621301779</v>
      </c>
      <c r="U16" s="246">
        <f t="shared" si="5"/>
        <v>0.04639684106614039</v>
      </c>
      <c r="V16" s="75">
        <f t="shared" si="5"/>
        <v>0.04639684106614039</v>
      </c>
      <c r="W16" s="75">
        <f t="shared" si="5"/>
        <v>0.04639684106614039</v>
      </c>
      <c r="X16" s="75">
        <f t="shared" si="5"/>
        <v>0.04639684106614039</v>
      </c>
      <c r="Y16" s="75">
        <f t="shared" si="5"/>
        <v>0.036525172754195534</v>
      </c>
      <c r="Z16" s="75">
        <f t="shared" si="5"/>
        <v>0.036525172754195534</v>
      </c>
      <c r="AA16" s="75">
        <f t="shared" si="5"/>
        <v>0.036525172754195534</v>
      </c>
      <c r="AB16" s="75">
        <f t="shared" si="5"/>
        <v>0.036525172754195534</v>
      </c>
      <c r="AC16" s="75">
        <f t="shared" si="5"/>
        <v>0.036525172754195534</v>
      </c>
      <c r="AD16" s="75">
        <f t="shared" si="5"/>
        <v>0.036525172754195534</v>
      </c>
      <c r="AE16" s="75">
        <f t="shared" si="5"/>
        <v>0.032608695652173836</v>
      </c>
      <c r="AF16" s="75">
        <f t="shared" si="5"/>
        <v>0.032608695652173836</v>
      </c>
      <c r="AG16" s="75">
        <f t="shared" si="5"/>
        <v>0.032608695652173836</v>
      </c>
      <c r="AH16" s="75">
        <f t="shared" si="5"/>
        <v>0.032608695652173836</v>
      </c>
      <c r="AI16" s="75">
        <f t="shared" si="5"/>
        <v>0.032608695652173836</v>
      </c>
      <c r="AJ16" s="75">
        <f t="shared" si="5"/>
        <v>0.032608695652173836</v>
      </c>
      <c r="AK16" s="75">
        <f t="shared" si="5"/>
        <v>0.032608695652173836</v>
      </c>
      <c r="AQ16" s="160">
        <f t="shared" si="1"/>
        <v>0.05522682445759375</v>
      </c>
      <c r="AR16" s="160">
        <f t="shared" si="1"/>
        <v>0.05522682445759375</v>
      </c>
      <c r="AS16" s="160">
        <f t="shared" si="1"/>
        <v>0.05522682445759375</v>
      </c>
      <c r="AT16" s="160">
        <f t="shared" si="1"/>
        <v>0.05522682445759375</v>
      </c>
      <c r="AU16" s="160">
        <f t="shared" si="1"/>
        <v>0.09467455621301779</v>
      </c>
      <c r="AV16" s="245">
        <f t="shared" si="1"/>
        <v>0.04639684106614039</v>
      </c>
      <c r="AW16" s="160">
        <f t="shared" si="1"/>
        <v>0.04639684106614039</v>
      </c>
      <c r="AX16" s="160">
        <f t="shared" si="1"/>
        <v>0.04639684106614039</v>
      </c>
      <c r="AY16" s="160">
        <f t="shared" si="1"/>
        <v>0.04639684106614039</v>
      </c>
      <c r="AZ16" s="160">
        <f t="shared" si="1"/>
        <v>0.036525172754195534</v>
      </c>
      <c r="BA16" s="160">
        <f t="shared" si="2"/>
        <v>0.036525172754195534</v>
      </c>
      <c r="BB16" s="160">
        <f t="shared" si="2"/>
        <v>0.036525172754195534</v>
      </c>
      <c r="BC16" s="160">
        <f t="shared" si="2"/>
        <v>0.036525172754195534</v>
      </c>
      <c r="BD16" s="160">
        <f t="shared" si="2"/>
        <v>0.036525172754195534</v>
      </c>
      <c r="BE16" s="160">
        <f t="shared" si="2"/>
        <v>0.036525172754195534</v>
      </c>
      <c r="BF16" s="160">
        <f t="shared" si="2"/>
        <v>0.032608695652173836</v>
      </c>
      <c r="BG16" s="160">
        <f t="shared" si="2"/>
        <v>0.032608695652173836</v>
      </c>
      <c r="BH16" s="160">
        <f t="shared" si="2"/>
        <v>0.032608695652173836</v>
      </c>
      <c r="BI16" s="160">
        <f t="shared" si="2"/>
        <v>0.032608695652173836</v>
      </c>
      <c r="BJ16" s="160">
        <f t="shared" si="2"/>
        <v>0.032608695652173836</v>
      </c>
      <c r="BK16" s="160">
        <f t="shared" si="3"/>
        <v>0.032608695652173836</v>
      </c>
      <c r="BL16" s="160">
        <f t="shared" si="3"/>
        <v>0.032608695652173836</v>
      </c>
      <c r="BM16" s="160"/>
    </row>
    <row r="17" spans="2:65" ht="12.75">
      <c r="B17" s="4"/>
      <c r="D17" t="s">
        <v>235</v>
      </c>
      <c r="L17" s="3" t="s">
        <v>64</v>
      </c>
      <c r="P17" s="68">
        <f>'Data &amp; Assumptions'!D44/'Data &amp; Assumptions'!D43</f>
        <v>322222.2222222222</v>
      </c>
      <c r="AQ17" s="208">
        <f>P17</f>
        <v>322222.2222222222</v>
      </c>
      <c r="AR17" s="160"/>
      <c r="AS17" s="160"/>
      <c r="AT17" s="160"/>
      <c r="AU17" s="160"/>
      <c r="AV17" s="245"/>
      <c r="AW17" s="160"/>
      <c r="AX17" s="160"/>
      <c r="AY17" s="160"/>
      <c r="AZ17" s="160"/>
      <c r="BA17" s="160"/>
      <c r="BB17" s="160"/>
      <c r="BC17" s="160"/>
      <c r="BD17" s="160"/>
      <c r="BE17" s="160"/>
      <c r="BF17" s="160"/>
      <c r="BG17" s="160"/>
      <c r="BH17" s="160"/>
      <c r="BI17" s="160"/>
      <c r="BJ17" s="160"/>
      <c r="BK17" s="160"/>
      <c r="BL17" s="160"/>
      <c r="BM17" s="160"/>
    </row>
    <row r="18" ht="12.75">
      <c r="B18" s="4"/>
    </row>
    <row r="19" spans="2:3" ht="12.75">
      <c r="B19" s="4"/>
      <c r="C19" t="s">
        <v>76</v>
      </c>
    </row>
    <row r="20" ht="12.75">
      <c r="B20" s="4"/>
    </row>
    <row r="21" spans="4:73" s="68" customFormat="1" ht="12.75">
      <c r="D21" t="s">
        <v>214</v>
      </c>
      <c r="E21"/>
      <c r="L21" s="69" t="s">
        <v>64</v>
      </c>
      <c r="M21" s="69"/>
      <c r="P21" s="68">
        <f>'Data &amp; Assumptions'!D44</f>
        <v>145000</v>
      </c>
      <c r="Q21" s="68">
        <f>P21+Q22</f>
        <v>161481.66666666666</v>
      </c>
      <c r="R21" s="209">
        <f aca="true" t="shared" si="6" ref="R21:AK21">Q21+R22</f>
        <v>176430.53833333333</v>
      </c>
      <c r="S21" s="68">
        <f t="shared" si="6"/>
        <v>189989.164935</v>
      </c>
      <c r="T21" s="68">
        <f t="shared" si="6"/>
        <v>202286.83926271167</v>
      </c>
      <c r="U21" s="209">
        <f t="shared" si="6"/>
        <v>213440.82987794615</v>
      </c>
      <c r="V21" s="68">
        <f t="shared" si="6"/>
        <v>223557.49936596383</v>
      </c>
      <c r="W21" s="68">
        <f t="shared" si="6"/>
        <v>232733.31859159586</v>
      </c>
      <c r="X21" s="68">
        <f t="shared" si="6"/>
        <v>241055.7866292441</v>
      </c>
      <c r="Y21" s="68">
        <f t="shared" si="6"/>
        <v>248604.26513939106</v>
      </c>
      <c r="Z21" s="68">
        <f t="shared" si="6"/>
        <v>255450.73514809436</v>
      </c>
      <c r="AA21" s="68">
        <f t="shared" si="6"/>
        <v>261660.48344598824</v>
      </c>
      <c r="AB21" s="68">
        <f t="shared" si="6"/>
        <v>267292.72515217797</v>
      </c>
      <c r="AC21" s="68">
        <f t="shared" si="6"/>
        <v>272401.16837969207</v>
      </c>
      <c r="AD21" s="68">
        <f t="shared" si="6"/>
        <v>277034.5263870474</v>
      </c>
      <c r="AE21" s="68">
        <f t="shared" si="6"/>
        <v>281236.98209971865</v>
      </c>
      <c r="AF21" s="68">
        <f t="shared" si="6"/>
        <v>285048.6094311115</v>
      </c>
      <c r="AG21" s="68">
        <f t="shared" si="6"/>
        <v>288505.75542068476</v>
      </c>
      <c r="AH21" s="68">
        <f t="shared" si="6"/>
        <v>291641.38683322776</v>
      </c>
      <c r="AI21" s="68">
        <f t="shared" si="6"/>
        <v>294485.40452440426</v>
      </c>
      <c r="AJ21" s="68">
        <f t="shared" si="6"/>
        <v>297064.92857030133</v>
      </c>
      <c r="AK21" s="68">
        <f t="shared" si="6"/>
        <v>299404.55687992997</v>
      </c>
      <c r="AM21" s="204"/>
      <c r="AQ21" s="68">
        <f>P21</f>
        <v>145000</v>
      </c>
      <c r="AR21" s="68">
        <f>AQ21+AR22</f>
        <v>161481.66666666666</v>
      </c>
      <c r="AS21" s="68">
        <f>AR21+AS22</f>
        <v>172693.32041666665</v>
      </c>
      <c r="AT21" s="68">
        <f aca="true" t="shared" si="7" ref="AT21:BL21">AS21+AT22</f>
        <v>182862.29036791666</v>
      </c>
      <c r="AU21" s="68">
        <f t="shared" si="7"/>
        <v>192085.5461137004</v>
      </c>
      <c r="AV21" s="209">
        <f t="shared" si="7"/>
        <v>200451.03907512626</v>
      </c>
      <c r="AW21" s="68">
        <f t="shared" si="7"/>
        <v>208038.54119113952</v>
      </c>
      <c r="AX21" s="68">
        <f t="shared" si="7"/>
        <v>214920.40561036355</v>
      </c>
      <c r="AY21" s="68">
        <f t="shared" si="7"/>
        <v>221162.25663859973</v>
      </c>
      <c r="AZ21" s="68">
        <f t="shared" si="7"/>
        <v>226823.61552120995</v>
      </c>
      <c r="BA21" s="68">
        <f t="shared" si="7"/>
        <v>231958.46802773743</v>
      </c>
      <c r="BB21" s="68">
        <f t="shared" si="7"/>
        <v>236615.77925115783</v>
      </c>
      <c r="BC21" s="68">
        <f t="shared" si="7"/>
        <v>240839.96053080016</v>
      </c>
      <c r="BD21" s="68">
        <f t="shared" si="7"/>
        <v>244671.29295143575</v>
      </c>
      <c r="BE21" s="68">
        <f t="shared" si="7"/>
        <v>248146.31145695221</v>
      </c>
      <c r="BF21" s="68">
        <f t="shared" si="7"/>
        <v>251298.15324145567</v>
      </c>
      <c r="BG21" s="68">
        <f t="shared" si="7"/>
        <v>254156.8737400003</v>
      </c>
      <c r="BH21" s="68">
        <f t="shared" si="7"/>
        <v>256749.73323218027</v>
      </c>
      <c r="BI21" s="68">
        <f t="shared" si="7"/>
        <v>259101.4567915875</v>
      </c>
      <c r="BJ21" s="68">
        <f t="shared" si="7"/>
        <v>261234.47005996987</v>
      </c>
      <c r="BK21" s="68">
        <f t="shared" si="7"/>
        <v>263169.1130943927</v>
      </c>
      <c r="BL21" s="68">
        <f t="shared" si="7"/>
        <v>264923.83432661416</v>
      </c>
      <c r="BN21" s="204"/>
      <c r="BU21" s="209"/>
    </row>
    <row r="22" spans="4:73" s="68" customFormat="1" ht="12.75">
      <c r="D22" t="s">
        <v>242</v>
      </c>
      <c r="E22"/>
      <c r="L22" s="69" t="s">
        <v>64</v>
      </c>
      <c r="M22" s="69"/>
      <c r="P22" s="70">
        <f>(Q22/R22)*Q22</f>
        <v>18171.62807791253</v>
      </c>
      <c r="Q22" s="68">
        <f>'Data &amp; Assumptions'!$D$64*('Registry Upgrade, Khashaa Reg.'!$P$17-'Registry Upgrade, Khashaa Reg.'!P21)</f>
        <v>16481.666666666664</v>
      </c>
      <c r="R22" s="209">
        <f>'Data &amp; Assumptions'!$D$64*('Registry Upgrade, Khashaa Reg.'!$P$17-'Registry Upgrade, Khashaa Reg.'!Q21)</f>
        <v>14948.871666666664</v>
      </c>
      <c r="S22" s="68">
        <f>'Data &amp; Assumptions'!$D$64*('Registry Upgrade, Khashaa Reg.'!$P$17-'Registry Upgrade, Khashaa Reg.'!R21)</f>
        <v>13558.626601666663</v>
      </c>
      <c r="T22" s="68">
        <f>'Data &amp; Assumptions'!$D$64*('Registry Upgrade, Khashaa Reg.'!$P$17-'Registry Upgrade, Khashaa Reg.'!S21)</f>
        <v>12297.674327711662</v>
      </c>
      <c r="U22" s="209">
        <f>'Data &amp; Assumptions'!$D$64*('Registry Upgrade, Khashaa Reg.'!$P$17-'Registry Upgrade, Khashaa Reg.'!T21)</f>
        <v>11153.990615234477</v>
      </c>
      <c r="V22" s="68">
        <f>'Data &amp; Assumptions'!$D$64*('Registry Upgrade, Khashaa Reg.'!$P$17-'Registry Upgrade, Khashaa Reg.'!U21)</f>
        <v>10116.669488017671</v>
      </c>
      <c r="W22" s="68">
        <f>'Data &amp; Assumptions'!$D$64*('Registry Upgrade, Khashaa Reg.'!$P$17-'Registry Upgrade, Khashaa Reg.'!V21)</f>
        <v>9175.819225632027</v>
      </c>
      <c r="X22" s="68">
        <f>'Data &amp; Assumptions'!$D$64*('Registry Upgrade, Khashaa Reg.'!$P$17-'Registry Upgrade, Khashaa Reg.'!W21)</f>
        <v>8322.468037648248</v>
      </c>
      <c r="Y22" s="68">
        <f>'Data &amp; Assumptions'!$D$64*('Registry Upgrade, Khashaa Reg.'!$P$17-'Registry Upgrade, Khashaa Reg.'!X21)</f>
        <v>7548.478510146962</v>
      </c>
      <c r="Z22" s="68">
        <f>'Data &amp; Assumptions'!$D$64*('Registry Upgrade, Khashaa Reg.'!$P$17-'Registry Upgrade, Khashaa Reg.'!Y21)</f>
        <v>6846.470008703294</v>
      </c>
      <c r="AA22" s="68">
        <f>'Data &amp; Assumptions'!$D$64*('Registry Upgrade, Khashaa Reg.'!$P$17-'Registry Upgrade, Khashaa Reg.'!Z21)</f>
        <v>6209.748297893888</v>
      </c>
      <c r="AB22" s="68">
        <f>'Data &amp; Assumptions'!$D$64*('Registry Upgrade, Khashaa Reg.'!$P$17-'Registry Upgrade, Khashaa Reg.'!AA21)</f>
        <v>5632.241706189758</v>
      </c>
      <c r="AC22" s="68">
        <f>'Data &amp; Assumptions'!$D$64*('Registry Upgrade, Khashaa Reg.'!$P$17-'Registry Upgrade, Khashaa Reg.'!AB21)</f>
        <v>5108.443227514113</v>
      </c>
      <c r="AD22" s="68">
        <f>'Data &amp; Assumptions'!$D$64*('Registry Upgrade, Khashaa Reg.'!$P$17-'Registry Upgrade, Khashaa Reg.'!AC21)</f>
        <v>4633.358007355301</v>
      </c>
      <c r="AE22" s="68">
        <f>'Data &amp; Assumptions'!$D$64*('Registry Upgrade, Khashaa Reg.'!$P$17-'Registry Upgrade, Khashaa Reg.'!AD21)</f>
        <v>4202.455712671258</v>
      </c>
      <c r="AF22" s="68">
        <f>'Data &amp; Assumptions'!$D$64*('Registry Upgrade, Khashaa Reg.'!$P$17-'Registry Upgrade, Khashaa Reg.'!AE21)</f>
        <v>3811.6273313928295</v>
      </c>
      <c r="AG22" s="68">
        <f>'Data &amp; Assumptions'!$D$64*('Registry Upgrade, Khashaa Reg.'!$P$17-'Registry Upgrade, Khashaa Reg.'!AF21)</f>
        <v>3457.1459895732955</v>
      </c>
      <c r="AH22" s="68">
        <f>'Data &amp; Assumptions'!$D$64*('Registry Upgrade, Khashaa Reg.'!$P$17-'Registry Upgrade, Khashaa Reg.'!AG21)</f>
        <v>3135.6314125429813</v>
      </c>
      <c r="AI22" s="68">
        <f>'Data &amp; Assumptions'!$D$64*('Registry Upgrade, Khashaa Reg.'!$P$17-'Registry Upgrade, Khashaa Reg.'!AH21)</f>
        <v>2844.0176911764815</v>
      </c>
      <c r="AJ22" s="68">
        <f>'Data &amp; Assumptions'!$D$64*('Registry Upgrade, Khashaa Reg.'!$P$17-'Registry Upgrade, Khashaa Reg.'!AI21)</f>
        <v>2579.524045897067</v>
      </c>
      <c r="AK22" s="68">
        <f>'Data &amp; Assumptions'!$D$64*('Registry Upgrade, Khashaa Reg.'!$P$17-'Registry Upgrade, Khashaa Reg.'!AJ21)</f>
        <v>2339.6283096286397</v>
      </c>
      <c r="AM22" s="204"/>
      <c r="AQ22" s="68">
        <f>P22</f>
        <v>18171.62807791253</v>
      </c>
      <c r="AR22" s="209">
        <f>Q22</f>
        <v>16481.666666666664</v>
      </c>
      <c r="AS22" s="209">
        <f>'Data &amp; Assumptions'!$D$65*'Registry Upgrade, Khashaa Reg.'!R22</f>
        <v>11211.653749999998</v>
      </c>
      <c r="AT22" s="209">
        <f>'Data &amp; Assumptions'!$D$65*'Registry Upgrade, Khashaa Reg.'!S22</f>
        <v>10168.969951249997</v>
      </c>
      <c r="AU22" s="209">
        <f>'Data &amp; Assumptions'!$D$65*'Registry Upgrade, Khashaa Reg.'!T22</f>
        <v>9223.255745783747</v>
      </c>
      <c r="AV22" s="209">
        <f>'Data &amp; Assumptions'!$D$65*'Registry Upgrade, Khashaa Reg.'!U22</f>
        <v>8365.492961425858</v>
      </c>
      <c r="AW22" s="209">
        <f>'Data &amp; Assumptions'!$D$65*'Registry Upgrade, Khashaa Reg.'!V22</f>
        <v>7587.502116013253</v>
      </c>
      <c r="AX22" s="209">
        <f>'Data &amp; Assumptions'!$D$65*'Registry Upgrade, Khashaa Reg.'!W22</f>
        <v>6881.864419224021</v>
      </c>
      <c r="AY22" s="209">
        <f>'Data &amp; Assumptions'!$D$65*'Registry Upgrade, Khashaa Reg.'!X22</f>
        <v>6241.851028236186</v>
      </c>
      <c r="AZ22" s="209">
        <f>'Data &amp; Assumptions'!$D$65*'Registry Upgrade, Khashaa Reg.'!Y22</f>
        <v>5661.358882610222</v>
      </c>
      <c r="BA22" s="209">
        <f>'Data &amp; Assumptions'!$D$65*'Registry Upgrade, Khashaa Reg.'!Z22</f>
        <v>5134.852506527471</v>
      </c>
      <c r="BB22" s="209">
        <f>'Data &amp; Assumptions'!$D$65*'Registry Upgrade, Khashaa Reg.'!AA22</f>
        <v>4657.311223420416</v>
      </c>
      <c r="BC22" s="209">
        <f>'Data &amp; Assumptions'!$D$65*'Registry Upgrade, Khashaa Reg.'!AB22</f>
        <v>4224.181279642318</v>
      </c>
      <c r="BD22" s="209">
        <f>'Data &amp; Assumptions'!$D$65*'Registry Upgrade, Khashaa Reg.'!AC22</f>
        <v>3831.3324206355846</v>
      </c>
      <c r="BE22" s="209">
        <f>'Data &amp; Assumptions'!$D$65*'Registry Upgrade, Khashaa Reg.'!AD22</f>
        <v>3475.0185055164757</v>
      </c>
      <c r="BF22" s="209">
        <f>'Data &amp; Assumptions'!$D$65*'Registry Upgrade, Khashaa Reg.'!AE22</f>
        <v>3151.8417845034437</v>
      </c>
      <c r="BG22" s="209">
        <f>'Data &amp; Assumptions'!$D$65*'Registry Upgrade, Khashaa Reg.'!AF22</f>
        <v>2858.7204985446224</v>
      </c>
      <c r="BH22" s="209">
        <f>'Data &amp; Assumptions'!$D$65*'Registry Upgrade, Khashaa Reg.'!AG22</f>
        <v>2592.8594921799718</v>
      </c>
      <c r="BI22" s="209">
        <f>'Data &amp; Assumptions'!$D$65*'Registry Upgrade, Khashaa Reg.'!AH22</f>
        <v>2351.723559407236</v>
      </c>
      <c r="BJ22" s="209">
        <f>'Data &amp; Assumptions'!$D$65*'Registry Upgrade, Khashaa Reg.'!AI22</f>
        <v>2133.0132683823613</v>
      </c>
      <c r="BK22" s="209">
        <f>'Data &amp; Assumptions'!$D$65*'Registry Upgrade, Khashaa Reg.'!AJ22</f>
        <v>1934.6430344228002</v>
      </c>
      <c r="BL22" s="209">
        <f>'Data &amp; Assumptions'!$D$65*'Registry Upgrade, Khashaa Reg.'!AK22</f>
        <v>1754.7212322214798</v>
      </c>
      <c r="BM22" s="209"/>
      <c r="BN22" s="204"/>
      <c r="BU22" s="209"/>
    </row>
    <row r="23" spans="4:43" ht="12.75">
      <c r="D23" t="s">
        <v>61</v>
      </c>
      <c r="L23" s="64" t="s">
        <v>218</v>
      </c>
      <c r="M23" s="64"/>
      <c r="P23" s="65">
        <f>'Data &amp; Assumptions'!D60</f>
        <v>10.008591065292096</v>
      </c>
      <c r="S23" s="154"/>
      <c r="AQ23" s="68">
        <f>P23</f>
        <v>10.008591065292096</v>
      </c>
    </row>
    <row r="24" spans="4:43" ht="12.75">
      <c r="D24" t="s">
        <v>63</v>
      </c>
      <c r="L24" s="64" t="s">
        <v>154</v>
      </c>
      <c r="M24" s="64"/>
      <c r="P24" s="71">
        <v>5</v>
      </c>
      <c r="AQ24" s="68">
        <f>P24</f>
        <v>5</v>
      </c>
    </row>
    <row r="25" spans="4:43" ht="12.75">
      <c r="D25" t="s">
        <v>62</v>
      </c>
      <c r="L25" s="64" t="s">
        <v>154</v>
      </c>
      <c r="M25" s="64"/>
      <c r="P25" s="63">
        <f>'Data &amp; Assumptions'!D62</f>
        <v>90</v>
      </c>
      <c r="AQ25" s="68">
        <f>P25</f>
        <v>90</v>
      </c>
    </row>
    <row r="26" ht="12.75">
      <c r="B26" s="4"/>
    </row>
    <row r="27" ht="12.75">
      <c r="C27" t="s">
        <v>60</v>
      </c>
    </row>
    <row r="28" ht="12.75"/>
    <row r="29" spans="4:90" s="68" customFormat="1" ht="12.75">
      <c r="D29" t="s">
        <v>217</v>
      </c>
      <c r="E29"/>
      <c r="L29" s="69" t="s">
        <v>64</v>
      </c>
      <c r="M29" s="69"/>
      <c r="P29" s="68">
        <f>'Data &amp; Assumptions'!$D$45*'Registry Upgrade, Khashaa Reg.'!P21</f>
        <v>36975</v>
      </c>
      <c r="Q29" s="68">
        <f>P29+Q30</f>
        <v>41608.7651598677</v>
      </c>
      <c r="R29" s="209">
        <f aca="true" t="shared" si="8" ref="R29:AK29">Q29+R30</f>
        <v>45811.590159867694</v>
      </c>
      <c r="S29" s="68">
        <f t="shared" si="8"/>
        <v>52623.55243486769</v>
      </c>
      <c r="T29" s="68">
        <f t="shared" si="8"/>
        <v>74599.61968580644</v>
      </c>
      <c r="U29" s="209">
        <f t="shared" si="8"/>
        <v>95735.52663937291</v>
      </c>
      <c r="V29" s="68">
        <f t="shared" si="8"/>
        <v>116579.7942462577</v>
      </c>
      <c r="W29" s="68">
        <f t="shared" si="8"/>
        <v>137159.54496570223</v>
      </c>
      <c r="X29" s="68">
        <f t="shared" si="8"/>
        <v>139499.3788682384</v>
      </c>
      <c r="Y29" s="68">
        <f t="shared" si="8"/>
        <v>141621.6082178387</v>
      </c>
      <c r="Z29" s="68">
        <f t="shared" si="8"/>
        <v>143546.47023792617</v>
      </c>
      <c r="AA29" s="68">
        <f t="shared" si="8"/>
        <v>145292.3200901455</v>
      </c>
      <c r="AB29" s="68">
        <f t="shared" si="8"/>
        <v>146875.80590610846</v>
      </c>
      <c r="AC29" s="68">
        <f t="shared" si="8"/>
        <v>148312.02754118686</v>
      </c>
      <c r="AD29" s="68">
        <f t="shared" si="8"/>
        <v>149614.68056420295</v>
      </c>
      <c r="AE29" s="68">
        <f t="shared" si="8"/>
        <v>150796.18685607857</v>
      </c>
      <c r="AF29" s="68">
        <f t="shared" si="8"/>
        <v>151867.81306280973</v>
      </c>
      <c r="AG29" s="68">
        <f t="shared" si="8"/>
        <v>152839.7780323149</v>
      </c>
      <c r="AH29" s="68">
        <f t="shared" si="8"/>
        <v>153721.3502596561</v>
      </c>
      <c r="AI29" s="68">
        <f t="shared" si="8"/>
        <v>154520.93626985454</v>
      </c>
      <c r="AJ29" s="68">
        <f t="shared" si="8"/>
        <v>155246.16078110455</v>
      </c>
      <c r="AK29" s="68">
        <f t="shared" si="8"/>
        <v>155903.9394128083</v>
      </c>
      <c r="AM29" s="204"/>
      <c r="AQ29" s="68">
        <f>P29</f>
        <v>36975</v>
      </c>
      <c r="AR29" s="68">
        <f>AQ29+AR30</f>
        <v>41608.7651598677</v>
      </c>
      <c r="AS29" s="68">
        <f>AR29+AS30</f>
        <v>45811.590159867694</v>
      </c>
      <c r="AT29" s="68">
        <f aca="true" t="shared" si="9" ref="AT29:BL29">AS29+AT30</f>
        <v>48670.56186611769</v>
      </c>
      <c r="AU29" s="68">
        <f t="shared" si="9"/>
        <v>51263.649203686444</v>
      </c>
      <c r="AV29" s="209">
        <f t="shared" si="9"/>
        <v>53615.5794188613</v>
      </c>
      <c r="AW29" s="68">
        <f t="shared" si="9"/>
        <v>55748.780124024895</v>
      </c>
      <c r="AX29" s="68">
        <f t="shared" si="9"/>
        <v>57683.593163608275</v>
      </c>
      <c r="AY29" s="68">
        <f t="shared" si="9"/>
        <v>59438.4685905104</v>
      </c>
      <c r="AZ29" s="68">
        <f t="shared" si="9"/>
        <v>61030.14060271063</v>
      </c>
      <c r="BA29" s="68">
        <f t="shared" si="9"/>
        <v>62473.787117776235</v>
      </c>
      <c r="BB29" s="68">
        <f t="shared" si="9"/>
        <v>63783.17450694074</v>
      </c>
      <c r="BC29" s="68">
        <f t="shared" si="9"/>
        <v>64970.78886891295</v>
      </c>
      <c r="BD29" s="68">
        <f t="shared" si="9"/>
        <v>66047.95509522174</v>
      </c>
      <c r="BE29" s="68">
        <f t="shared" si="9"/>
        <v>67024.94486248381</v>
      </c>
      <c r="BF29" s="68">
        <f t="shared" si="9"/>
        <v>67911.07458139051</v>
      </c>
      <c r="BG29" s="68">
        <f t="shared" si="9"/>
        <v>68714.79423643889</v>
      </c>
      <c r="BH29" s="68">
        <f t="shared" si="9"/>
        <v>69443.76796356776</v>
      </c>
      <c r="BI29" s="68">
        <f t="shared" si="9"/>
        <v>70104.94713407365</v>
      </c>
      <c r="BJ29" s="68">
        <f t="shared" si="9"/>
        <v>70704.63664172249</v>
      </c>
      <c r="BK29" s="68">
        <f t="shared" si="9"/>
        <v>71248.55502515999</v>
      </c>
      <c r="BL29" s="68">
        <f t="shared" si="9"/>
        <v>71741.88899893781</v>
      </c>
      <c r="BN29" s="204"/>
      <c r="BP29" s="68">
        <f>P29-AQ29</f>
        <v>0</v>
      </c>
      <c r="BQ29" s="68">
        <f aca="true" t="shared" si="10" ref="BQ29:CL29">Q29-AR29</f>
        <v>0</v>
      </c>
      <c r="BR29" s="68">
        <f t="shared" si="10"/>
        <v>0</v>
      </c>
      <c r="BS29" s="68">
        <f t="shared" si="10"/>
        <v>3952.9905687499995</v>
      </c>
      <c r="BT29" s="68">
        <f t="shared" si="10"/>
        <v>23335.970482119992</v>
      </c>
      <c r="BU29" s="68">
        <f t="shared" si="10"/>
        <v>42119.94722051161</v>
      </c>
      <c r="BV29" s="68">
        <f t="shared" si="10"/>
        <v>60831.01412223281</v>
      </c>
      <c r="BW29" s="68">
        <f t="shared" si="10"/>
        <v>79475.95180209394</v>
      </c>
      <c r="BX29" s="68">
        <f t="shared" si="10"/>
        <v>80060.91027772799</v>
      </c>
      <c r="BY29" s="68">
        <f t="shared" si="10"/>
        <v>80591.46761512806</v>
      </c>
      <c r="BZ29" s="68">
        <f t="shared" si="10"/>
        <v>81072.68312014994</v>
      </c>
      <c r="CA29" s="68">
        <f t="shared" si="10"/>
        <v>81509.14558320478</v>
      </c>
      <c r="CB29" s="68">
        <f t="shared" si="10"/>
        <v>81905.01703719552</v>
      </c>
      <c r="CC29" s="68">
        <f t="shared" si="10"/>
        <v>82264.07244596512</v>
      </c>
      <c r="CD29" s="68">
        <f t="shared" si="10"/>
        <v>82589.73570171914</v>
      </c>
      <c r="CE29" s="68">
        <f t="shared" si="10"/>
        <v>82885.11227468806</v>
      </c>
      <c r="CF29" s="68">
        <f t="shared" si="10"/>
        <v>83153.01882637084</v>
      </c>
      <c r="CG29" s="68">
        <f t="shared" si="10"/>
        <v>83396.01006874714</v>
      </c>
      <c r="CH29" s="68">
        <f t="shared" si="10"/>
        <v>83616.40312558244</v>
      </c>
      <c r="CI29" s="68">
        <f t="shared" si="10"/>
        <v>83816.29962813205</v>
      </c>
      <c r="CJ29" s="68">
        <f t="shared" si="10"/>
        <v>83997.60575594456</v>
      </c>
      <c r="CK29" s="68">
        <f t="shared" si="10"/>
        <v>84162.0504138705</v>
      </c>
      <c r="CL29" s="68">
        <f t="shared" si="10"/>
        <v>0</v>
      </c>
    </row>
    <row r="30" spans="4:73" s="68" customFormat="1" ht="12.75">
      <c r="D30" t="s">
        <v>229</v>
      </c>
      <c r="E30"/>
      <c r="L30" s="69" t="s">
        <v>64</v>
      </c>
      <c r="M30" s="69"/>
      <c r="Q30" s="68">
        <f>'Data &amp; Assumptions'!$D$45*'Registry Upgrade, Khashaa Reg.'!P22</f>
        <v>4633.765159867695</v>
      </c>
      <c r="R30" s="209">
        <f>'Data &amp; Assumptions'!$D$45*'Registry Upgrade, Khashaa Reg.'!Q22</f>
        <v>4202.825</v>
      </c>
      <c r="S30" s="68">
        <f>'Data &amp; Assumptions'!$D$45*'Registry Upgrade, Khashaa Reg.'!R22+'Data &amp; Assumptions'!D36</f>
        <v>6811.962275</v>
      </c>
      <c r="T30" s="68">
        <f>'Data &amp; Assumptions'!$D$45*(1+'Data &amp; Assumptions'!$D$46)*'Registry Upgrade, Khashaa Reg.'!S22+'Data &amp; Assumptions'!D37</f>
        <v>21976.067250938748</v>
      </c>
      <c r="U30" s="209">
        <f>'Data &amp; Assumptions'!$D$45*'Registry Upgrade, Khashaa Reg.'!T22+'Data &amp; Assumptions'!D38</f>
        <v>21135.906953566475</v>
      </c>
      <c r="V30" s="68">
        <f>'Data &amp; Assumptions'!$D$45*'Registry Upgrade, Khashaa Reg.'!U22+'Data &amp; Assumptions'!D39</f>
        <v>20844.26760688479</v>
      </c>
      <c r="W30" s="68">
        <f>'Data &amp; Assumptions'!$D$45*'Registry Upgrade, Khashaa Reg.'!V22+'Data &amp; Assumptions'!D40</f>
        <v>20579.750719444506</v>
      </c>
      <c r="X30" s="68">
        <f>'Data &amp; Assumptions'!$D$45*'Registry Upgrade, Khashaa Reg.'!W22</f>
        <v>2339.833902536167</v>
      </c>
      <c r="Y30" s="68">
        <f>'Data &amp; Assumptions'!$D$45*'Registry Upgrade, Khashaa Reg.'!X22</f>
        <v>2122.2293496003035</v>
      </c>
      <c r="Z30" s="68">
        <f>'Data &amp; Assumptions'!$D$45*'Registry Upgrade, Khashaa Reg.'!Y22</f>
        <v>1924.8620200874755</v>
      </c>
      <c r="AA30" s="68">
        <f>'Data &amp; Assumptions'!$D$45*'Registry Upgrade, Khashaa Reg.'!Z22</f>
        <v>1745.8498522193402</v>
      </c>
      <c r="AB30" s="68">
        <f>'Data &amp; Assumptions'!$D$45*'Registry Upgrade, Khashaa Reg.'!AA22</f>
        <v>1583.4858159629414</v>
      </c>
      <c r="AC30" s="68">
        <f>'Data &amp; Assumptions'!$D$45*'Registry Upgrade, Khashaa Reg.'!AB22</f>
        <v>1436.2216350783883</v>
      </c>
      <c r="AD30" s="68">
        <f>'Data &amp; Assumptions'!$D$45*'Registry Upgrade, Khashaa Reg.'!AC22</f>
        <v>1302.6530230160988</v>
      </c>
      <c r="AE30" s="68">
        <f>'Data &amp; Assumptions'!$D$45*'Registry Upgrade, Khashaa Reg.'!AD22</f>
        <v>1181.5062918756018</v>
      </c>
      <c r="AF30" s="68">
        <f>'Data &amp; Assumptions'!$D$45*'Registry Upgrade, Khashaa Reg.'!AE22</f>
        <v>1071.626206731171</v>
      </c>
      <c r="AG30" s="68">
        <f>'Data &amp; Assumptions'!$D$45*'Registry Upgrade, Khashaa Reg.'!AF22</f>
        <v>971.9649695051716</v>
      </c>
      <c r="AH30" s="68">
        <f>'Data &amp; Assumptions'!$D$45*'Registry Upgrade, Khashaa Reg.'!AG22</f>
        <v>881.5722273411903</v>
      </c>
      <c r="AI30" s="68">
        <f>'Data &amp; Assumptions'!$D$45*'Registry Upgrade, Khashaa Reg.'!AH22</f>
        <v>799.5860101984603</v>
      </c>
      <c r="AJ30" s="68">
        <f>'Data &amp; Assumptions'!$D$45*'Registry Upgrade, Khashaa Reg.'!AI22</f>
        <v>725.2245112500028</v>
      </c>
      <c r="AK30" s="68">
        <f>'Data &amp; Assumptions'!$D$45*'Registry Upgrade, Khashaa Reg.'!AJ22</f>
        <v>657.7786317037521</v>
      </c>
      <c r="AM30" s="204"/>
      <c r="AR30" s="68">
        <f>'Data &amp; Assumptions'!$D$45*'Registry Upgrade, Khashaa Reg.'!AQ22</f>
        <v>4633.765159867695</v>
      </c>
      <c r="AS30" s="209">
        <f>'Data &amp; Assumptions'!$D$45*'Registry Upgrade, Khashaa Reg.'!AR22</f>
        <v>4202.825</v>
      </c>
      <c r="AT30" s="68">
        <f>'Data &amp; Assumptions'!$D$45*'Registry Upgrade, Khashaa Reg.'!AS22</f>
        <v>2858.9717062499994</v>
      </c>
      <c r="AU30" s="68">
        <f>'Data &amp; Assumptions'!$D$45*'Registry Upgrade, Khashaa Reg.'!AT22</f>
        <v>2593.0873375687493</v>
      </c>
      <c r="AV30" s="209">
        <f>'Data &amp; Assumptions'!$D$45*'Registry Upgrade, Khashaa Reg.'!AU22</f>
        <v>2351.930215174855</v>
      </c>
      <c r="AW30" s="68">
        <f>'Data &amp; Assumptions'!$D$45*'Registry Upgrade, Khashaa Reg.'!AV22</f>
        <v>2133.2007051635937</v>
      </c>
      <c r="AX30" s="68">
        <f>'Data &amp; Assumptions'!$D$45*'Registry Upgrade, Khashaa Reg.'!AW22</f>
        <v>1934.8130395833796</v>
      </c>
      <c r="AY30" s="68">
        <f>'Data &amp; Assumptions'!$D$45*'Registry Upgrade, Khashaa Reg.'!AX22</f>
        <v>1754.8754269021254</v>
      </c>
      <c r="AZ30" s="68">
        <f>'Data &amp; Assumptions'!$D$45*'Registry Upgrade, Khashaa Reg.'!AY22</f>
        <v>1591.6720122002273</v>
      </c>
      <c r="BA30" s="68">
        <f>'Data &amp; Assumptions'!$D$45*'Registry Upgrade, Khashaa Reg.'!AZ22</f>
        <v>1443.6465150656068</v>
      </c>
      <c r="BB30" s="68">
        <f>'Data &amp; Assumptions'!$D$45*'Registry Upgrade, Khashaa Reg.'!BA22</f>
        <v>1309.387389164505</v>
      </c>
      <c r="BC30" s="68">
        <f>'Data &amp; Assumptions'!$D$45*'Registry Upgrade, Khashaa Reg.'!BB22</f>
        <v>1187.614361972206</v>
      </c>
      <c r="BD30" s="68">
        <f>'Data &amp; Assumptions'!$D$45*'Registry Upgrade, Khashaa Reg.'!BC22</f>
        <v>1077.1662263087912</v>
      </c>
      <c r="BE30" s="68">
        <f>'Data &amp; Assumptions'!$D$45*'Registry Upgrade, Khashaa Reg.'!BD22</f>
        <v>976.9897672620741</v>
      </c>
      <c r="BF30" s="68">
        <f>'Data &amp; Assumptions'!$D$45*'Registry Upgrade, Khashaa Reg.'!BE22</f>
        <v>886.1297189067013</v>
      </c>
      <c r="BG30" s="68">
        <f>'Data &amp; Assumptions'!$D$45*'Registry Upgrade, Khashaa Reg.'!BF22</f>
        <v>803.7196550483782</v>
      </c>
      <c r="BH30" s="68">
        <f>'Data &amp; Assumptions'!$D$45*'Registry Upgrade, Khashaa Reg.'!BG22</f>
        <v>728.9737271288787</v>
      </c>
      <c r="BI30" s="68">
        <f>'Data &amp; Assumptions'!$D$45*'Registry Upgrade, Khashaa Reg.'!BH22</f>
        <v>661.1791705058928</v>
      </c>
      <c r="BJ30" s="68">
        <f>'Data &amp; Assumptions'!$D$45*'Registry Upgrade, Khashaa Reg.'!BI22</f>
        <v>599.6895076488452</v>
      </c>
      <c r="BK30" s="68">
        <f>'Data &amp; Assumptions'!$D$45*'Registry Upgrade, Khashaa Reg.'!BJ22</f>
        <v>543.9183834375021</v>
      </c>
      <c r="BL30" s="68">
        <f>'Data &amp; Assumptions'!$D$45*'Registry Upgrade, Khashaa Reg.'!BK22</f>
        <v>493.33397377781404</v>
      </c>
      <c r="BN30" s="204"/>
      <c r="BU30" s="209"/>
    </row>
    <row r="31" spans="4:16" ht="12.75">
      <c r="D31" t="s">
        <v>61</v>
      </c>
      <c r="L31" s="64" t="s">
        <v>218</v>
      </c>
      <c r="M31" s="64"/>
      <c r="P31" s="63">
        <f>'Data &amp; Assumptions'!D61</f>
        <v>100</v>
      </c>
    </row>
    <row r="32" spans="4:16" ht="12.75">
      <c r="D32" t="s">
        <v>63</v>
      </c>
      <c r="L32" s="64" t="s">
        <v>154</v>
      </c>
      <c r="M32" s="64"/>
      <c r="P32">
        <v>1.5</v>
      </c>
    </row>
    <row r="33" spans="4:16" ht="12.75">
      <c r="D33" t="s">
        <v>62</v>
      </c>
      <c r="L33" s="64" t="s">
        <v>154</v>
      </c>
      <c r="M33" s="64"/>
      <c r="P33">
        <v>5</v>
      </c>
    </row>
    <row r="34" ht="12.75"/>
    <row r="35" spans="3:21" s="146" customFormat="1" ht="12.75">
      <c r="C35" s="146" t="s">
        <v>448</v>
      </c>
      <c r="P35" s="147"/>
      <c r="Q35" s="147"/>
      <c r="R35" s="147"/>
      <c r="S35" s="147"/>
      <c r="T35" s="147"/>
      <c r="U35" s="147"/>
    </row>
    <row r="36" spans="4:64" ht="12.75" customHeight="1">
      <c r="D36" s="67" t="s">
        <v>233</v>
      </c>
      <c r="E36" s="67"/>
      <c r="L36" s="64" t="s">
        <v>184</v>
      </c>
      <c r="O36" s="63">
        <f>'Data tables'!AR112+500</f>
        <v>2520.042</v>
      </c>
      <c r="P36" s="63">
        <f>O36*(1+'Data &amp; Assumptions'!$D$78)</f>
        <v>2583.0430499999998</v>
      </c>
      <c r="Q36" s="63">
        <f>P36*(1+'Data &amp; Assumptions'!$D$78)</f>
        <v>2647.6191262499997</v>
      </c>
      <c r="R36" s="63">
        <f>Q36*(1+'Data &amp; Assumptions'!$D$78)</f>
        <v>2713.8096044062495</v>
      </c>
      <c r="S36" s="63">
        <f>R36*(1+'Data &amp; Assumptions'!$D$78)</f>
        <v>2781.6548445164053</v>
      </c>
      <c r="T36" s="63">
        <f>S36*(1+'Data &amp; Assumptions'!$D$78)</f>
        <v>2851.1962156293152</v>
      </c>
      <c r="U36" s="63">
        <f>T36*(1+'Data &amp; Assumptions'!$D$78)</f>
        <v>2922.4761210200477</v>
      </c>
      <c r="V36" s="63">
        <f>U36*(1+'Data &amp; Assumptions'!$D$78)</f>
        <v>2995.538024045549</v>
      </c>
      <c r="W36" s="63">
        <f>V36*(1+'Data &amp; Assumptions'!$D$78)</f>
        <v>3070.4264746466874</v>
      </c>
      <c r="X36" s="63">
        <f>W36*(1+'Data &amp; Assumptions'!$D$78)</f>
        <v>3147.1871365128545</v>
      </c>
      <c r="Y36" s="63">
        <f>X36*(1+'Data &amp; Assumptions'!$D$78)</f>
        <v>3225.8668149256755</v>
      </c>
      <c r="Z36" s="63">
        <f>Y36*(1+'Data &amp; Assumptions'!$D$78)</f>
        <v>3306.513485298817</v>
      </c>
      <c r="AA36" s="63">
        <f>Z36*(1+'Data &amp; Assumptions'!$D$78)</f>
        <v>3389.176322431287</v>
      </c>
      <c r="AB36" s="63">
        <f>AA36*(1+'Data &amp; Assumptions'!$D$78)</f>
        <v>3473.905730492069</v>
      </c>
      <c r="AC36" s="63">
        <f>AB36*(1+'Data &amp; Assumptions'!$D$78)</f>
        <v>3560.7533737543704</v>
      </c>
      <c r="AD36" s="63">
        <f>AC36*(1+'Data &amp; Assumptions'!$D$78)</f>
        <v>3649.7722080982294</v>
      </c>
      <c r="AE36" s="63">
        <f>AD36*(1+'Data &amp; Assumptions'!$D$78)</f>
        <v>3741.016513300685</v>
      </c>
      <c r="AF36" s="63">
        <f>AE36*(1+'Data &amp; Assumptions'!$D$78)</f>
        <v>3834.5419261332017</v>
      </c>
      <c r="AG36" s="63">
        <f>AF36*(1+'Data &amp; Assumptions'!$D$78)</f>
        <v>3930.4054742865314</v>
      </c>
      <c r="AH36" s="63">
        <f>AG36*(1+'Data &amp; Assumptions'!$D$78)</f>
        <v>4028.6656111436946</v>
      </c>
      <c r="AI36" s="63">
        <f>AH36*(1+'Data &amp; Assumptions'!$D$78)</f>
        <v>4129.382251422287</v>
      </c>
      <c r="AJ36" s="63">
        <f>AI36*(1+'Data &amp; Assumptions'!$D$78)</f>
        <v>4232.616807707844</v>
      </c>
      <c r="AK36" s="63">
        <f>AJ36*(1+'Data &amp; Assumptions'!$D$78)</f>
        <v>4338.432227900539</v>
      </c>
      <c r="AP36" s="63">
        <f>O36</f>
        <v>2520.042</v>
      </c>
      <c r="AQ36" s="63">
        <f aca="true" t="shared" si="11" ref="AQ36:AS44">P36</f>
        <v>2583.0430499999998</v>
      </c>
      <c r="AR36" s="63">
        <f t="shared" si="11"/>
        <v>2647.6191262499997</v>
      </c>
      <c r="AS36" s="63">
        <f>R36</f>
        <v>2713.8096044062495</v>
      </c>
      <c r="AT36" s="147">
        <f>AS36*(1+'Data &amp; Assumptions'!$D$78*'Data &amp; Assumptions'!$D$79)</f>
        <v>2778.2625825108976</v>
      </c>
      <c r="AU36" s="147">
        <f>AT36*(1+'Data &amp; Assumptions'!$D$78*'Data &amp; Assumptions'!$D$79)</f>
        <v>2844.2463188455313</v>
      </c>
      <c r="AV36" s="147">
        <f>AU36*(1+'Data &amp; Assumptions'!$D$78*'Data &amp; Assumptions'!$D$79)</f>
        <v>2911.7971689181127</v>
      </c>
      <c r="AW36" s="147">
        <f>AV36*(1+'Data &amp; Assumptions'!$D$78*'Data &amp; Assumptions'!$D$79)</f>
        <v>2980.9523516799177</v>
      </c>
      <c r="AX36" s="147">
        <f>AW36*(1+'Data &amp; Assumptions'!$D$78*'Data &amp; Assumptions'!$D$79)</f>
        <v>3051.7499700323156</v>
      </c>
      <c r="AY36" s="147">
        <f>AX36*(1+'Data &amp; Assumptions'!$D$78*'Data &amp; Assumptions'!$D$79)</f>
        <v>3124.229031820583</v>
      </c>
      <c r="AZ36" s="147">
        <f>AY36*(1+'Data &amp; Assumptions'!$D$78*'Data &amp; Assumptions'!$D$79)</f>
        <v>3198.4294713263216</v>
      </c>
      <c r="BA36" s="147">
        <f>AZ36*(1+'Data &amp; Assumptions'!$D$78*'Data &amp; Assumptions'!$D$79)</f>
        <v>3274.3921712703213</v>
      </c>
      <c r="BB36" s="147">
        <f>BA36*(1+'Data &amp; Assumptions'!$D$78*'Data &amp; Assumptions'!$D$79)</f>
        <v>3352.1589853379915</v>
      </c>
      <c r="BC36" s="147">
        <f>BB36*(1+'Data &amp; Assumptions'!$D$78*'Data &amp; Assumptions'!$D$79)</f>
        <v>3431.7727612397684</v>
      </c>
      <c r="BD36" s="147">
        <f>BC36*(1+'Data &amp; Assumptions'!$D$78*'Data &amp; Assumptions'!$D$79)</f>
        <v>3513.2773643192127</v>
      </c>
      <c r="BE36" s="147">
        <f>BD36*(1+'Data &amp; Assumptions'!$D$78*'Data &amp; Assumptions'!$D$79)</f>
        <v>3596.7177017217937</v>
      </c>
      <c r="BF36" s="147">
        <f>BE36*(1+'Data &amp; Assumptions'!$D$78*'Data &amp; Assumptions'!$D$79)</f>
        <v>3682.139747137686</v>
      </c>
      <c r="BG36" s="147">
        <f>BF36*(1+'Data &amp; Assumptions'!$D$78*'Data &amp; Assumptions'!$D$79)</f>
        <v>3769.590566132206</v>
      </c>
      <c r="BH36" s="147">
        <f>BG36*(1+'Data &amp; Assumptions'!$D$78*'Data &amp; Assumptions'!$D$79)</f>
        <v>3859.1183420778457</v>
      </c>
      <c r="BI36" s="147">
        <f>BH36*(1+'Data &amp; Assumptions'!$D$78*'Data &amp; Assumptions'!$D$79)</f>
        <v>3950.772402702194</v>
      </c>
      <c r="BJ36" s="147">
        <f>BI36*(1+'Data &amp; Assumptions'!$D$78*'Data &amp; Assumptions'!$D$79)</f>
        <v>4044.603247266371</v>
      </c>
      <c r="BK36" s="147">
        <f>BJ36*(1+'Data &amp; Assumptions'!$D$78*'Data &amp; Assumptions'!$D$79)</f>
        <v>4140.662574388947</v>
      </c>
      <c r="BL36" s="147">
        <f>BK36*(1+'Data &amp; Assumptions'!$D$78*'Data &amp; Assumptions'!$D$79)</f>
        <v>4239.003310530685</v>
      </c>
    </row>
    <row r="37" spans="4:66" s="146" customFormat="1" ht="12.75" customHeight="1">
      <c r="D37" s="231" t="s">
        <v>73</v>
      </c>
      <c r="E37" s="231"/>
      <c r="L37" s="187" t="s">
        <v>184</v>
      </c>
      <c r="O37" s="147">
        <f>'Data tables'!AB76*'Data &amp; Assumptions'!$D$12</f>
        <v>1383.593928980527</v>
      </c>
      <c r="P37" s="147">
        <f>O37*(1+'Data &amp; Assumptions'!$D$82)</f>
        <v>1404.3478379152348</v>
      </c>
      <c r="Q37" s="147">
        <f>P37*(1+'Data &amp; Assumptions'!$D$82)</f>
        <v>1425.4130554839633</v>
      </c>
      <c r="R37" s="147">
        <f>Q37*(1+'Data &amp; Assumptions'!$D$82)</f>
        <v>1446.7942513162225</v>
      </c>
      <c r="S37" s="147">
        <f>R37*(1+'Data &amp; Assumptions'!$D$82)</f>
        <v>1468.4961650859657</v>
      </c>
      <c r="T37" s="147">
        <f>S37*(1+'Data &amp; Assumptions'!$D$82)</f>
        <v>1490.523607562255</v>
      </c>
      <c r="U37" s="147">
        <f>T37*(1+'Data &amp; Assumptions'!$D$82)</f>
        <v>1512.8814616756886</v>
      </c>
      <c r="V37" s="147">
        <f>U37*(1+'Data &amp; Assumptions'!$D$82)</f>
        <v>1535.5746836008238</v>
      </c>
      <c r="W37" s="147">
        <f>V37*(1+'Data &amp; Assumptions'!$D$82)</f>
        <v>1558.608303854836</v>
      </c>
      <c r="X37" s="147">
        <f>W37*(1+'Data &amp; Assumptions'!$D$82)</f>
        <v>1581.9874284126586</v>
      </c>
      <c r="Y37" s="147">
        <f>X37*(1+'Data &amp; Assumptions'!$D$82)</f>
        <v>1605.7172398388484</v>
      </c>
      <c r="Z37" s="147">
        <f>Y37*(1+'Data &amp; Assumptions'!$D$82)</f>
        <v>1629.802998436431</v>
      </c>
      <c r="AA37" s="147">
        <f>Z37*(1+'Data &amp; Assumptions'!$D$82)</f>
        <v>1654.2500434129772</v>
      </c>
      <c r="AB37" s="147">
        <f>AA37*(1+'Data &amp; Assumptions'!$D$82)</f>
        <v>1679.0637940641718</v>
      </c>
      <c r="AC37" s="147">
        <f>AB37*(1+'Data &amp; Assumptions'!$D$82)</f>
        <v>1704.2497509751342</v>
      </c>
      <c r="AD37" s="147">
        <f>AC37*(1+'Data &amp; Assumptions'!$D$82)</f>
        <v>1729.813497239761</v>
      </c>
      <c r="AE37" s="147">
        <f>AD37*(1+'Data &amp; Assumptions'!$D$82)</f>
        <v>1755.7606996983573</v>
      </c>
      <c r="AF37" s="147">
        <f>AE37*(1+'Data &amp; Assumptions'!$D$82)</f>
        <v>1782.0971101938323</v>
      </c>
      <c r="AG37" s="147">
        <f>AF37*(1+'Data &amp; Assumptions'!$D$82)</f>
        <v>1808.8285668467397</v>
      </c>
      <c r="AH37" s="147">
        <f>AG37*(1+'Data &amp; Assumptions'!$D$82)</f>
        <v>1835.9609953494407</v>
      </c>
      <c r="AI37" s="147">
        <f>AH37*(1+'Data &amp; Assumptions'!$D$82)</f>
        <v>1863.5004102796822</v>
      </c>
      <c r="AJ37" s="147">
        <f>AI37*(1+'Data &amp; Assumptions'!$D$82)</f>
        <v>1891.4529164338774</v>
      </c>
      <c r="AK37" s="147">
        <f>AJ37*(1+'Data &amp; Assumptions'!$D$82)</f>
        <v>1919.8247101803854</v>
      </c>
      <c r="AM37" s="203"/>
      <c r="AP37" s="147">
        <f aca="true" t="shared" si="12" ref="AP37:AP44">O37</f>
        <v>1383.593928980527</v>
      </c>
      <c r="AQ37" s="147">
        <f t="shared" si="11"/>
        <v>1404.3478379152348</v>
      </c>
      <c r="AR37" s="147">
        <f t="shared" si="11"/>
        <v>1425.4130554839633</v>
      </c>
      <c r="AS37" s="147">
        <f t="shared" si="11"/>
        <v>1446.7942513162225</v>
      </c>
      <c r="AT37" s="147">
        <f>AS37*(1+'Data &amp; Assumptions'!$D$82*'Data &amp; Assumptions'!$D$83)</f>
        <v>1467.4110693974787</v>
      </c>
      <c r="AU37" s="147">
        <f>AT37*(1+'Data &amp; Assumptions'!$D$82*'Data &amp; Assumptions'!$D$83)</f>
        <v>1488.321677136393</v>
      </c>
      <c r="AV37" s="147">
        <f>AU37*(1+'Data &amp; Assumptions'!$D$82*'Data &amp; Assumptions'!$D$83)</f>
        <v>1509.5302610355868</v>
      </c>
      <c r="AW37" s="147">
        <f>AV37*(1+'Data &amp; Assumptions'!$D$82*'Data &amp; Assumptions'!$D$83)</f>
        <v>1531.0410672553442</v>
      </c>
      <c r="AX37" s="147">
        <f>AW37*(1+'Data &amp; Assumptions'!$D$82*'Data &amp; Assumptions'!$D$83)</f>
        <v>1552.858402463733</v>
      </c>
      <c r="AY37" s="147">
        <f>AX37*(1+'Data &amp; Assumptions'!$D$82*'Data &amp; Assumptions'!$D$83)</f>
        <v>1574.9866346988413</v>
      </c>
      <c r="AZ37" s="147">
        <f>AY37*(1+'Data &amp; Assumptions'!$D$82*'Data &amp; Assumptions'!$D$83)</f>
        <v>1597.4301942432999</v>
      </c>
      <c r="BA37" s="147">
        <f>AZ37*(1+'Data &amp; Assumptions'!$D$82*'Data &amp; Assumptions'!$D$83)</f>
        <v>1620.1935745112671</v>
      </c>
      <c r="BB37" s="147">
        <f>BA37*(1+'Data &amp; Assumptions'!$D$82*'Data &amp; Assumptions'!$D$83)</f>
        <v>1643.2813329480527</v>
      </c>
      <c r="BC37" s="147">
        <f>BB37*(1+'Data &amp; Assumptions'!$D$82*'Data &amp; Assumptions'!$D$83)</f>
        <v>1666.6980919425628</v>
      </c>
      <c r="BD37" s="147">
        <f>BC37*(1+'Data &amp; Assumptions'!$D$82*'Data &amp; Assumptions'!$D$83)</f>
        <v>1690.4485397527444</v>
      </c>
      <c r="BE37" s="147">
        <f>BD37*(1+'Data &amp; Assumptions'!$D$82*'Data &amp; Assumptions'!$D$83)</f>
        <v>1714.5374314442213</v>
      </c>
      <c r="BF37" s="147">
        <f>BE37*(1+'Data &amp; Assumptions'!$D$82*'Data &amp; Assumptions'!$D$83)</f>
        <v>1738.9695898423015</v>
      </c>
      <c r="BG37" s="147">
        <f>BF37*(1+'Data &amp; Assumptions'!$D$82*'Data &amp; Assumptions'!$D$83)</f>
        <v>1763.7499064975545</v>
      </c>
      <c r="BH37" s="147">
        <f>BG37*(1+'Data &amp; Assumptions'!$D$82*'Data &amp; Assumptions'!$D$83)</f>
        <v>1788.883342665145</v>
      </c>
      <c r="BI37" s="147">
        <f>BH37*(1+'Data &amp; Assumptions'!$D$82*'Data &amp; Assumptions'!$D$83)</f>
        <v>1814.3749302981234</v>
      </c>
      <c r="BJ37" s="147">
        <f>BI37*(1+'Data &amp; Assumptions'!$D$82*'Data &amp; Assumptions'!$D$83)</f>
        <v>1840.2297730548719</v>
      </c>
      <c r="BK37" s="147">
        <f>BJ37*(1+'Data &amp; Assumptions'!$D$82*'Data &amp; Assumptions'!$D$83)</f>
        <v>1866.453047320904</v>
      </c>
      <c r="BL37" s="147">
        <f>BK37*(1+'Data &amp; Assumptions'!$D$82*'Data &amp; Assumptions'!$D$83)</f>
        <v>1893.0500032452271</v>
      </c>
      <c r="BN37" s="203"/>
    </row>
    <row r="38" spans="4:64" ht="12.75" customHeight="1">
      <c r="D38" s="67" t="s">
        <v>72</v>
      </c>
      <c r="E38" s="67"/>
      <c r="L38" s="64" t="s">
        <v>184</v>
      </c>
      <c r="O38" s="147">
        <f>'Data tables'!AB75*'Data &amp; Assumptions'!$D$12</f>
        <v>1877.9639175257735</v>
      </c>
      <c r="P38" s="63">
        <f>O38*(1+'Data &amp; Assumptions'!$D$82)</f>
        <v>1906.13337628866</v>
      </c>
      <c r="Q38" s="63">
        <f>P38*(1+'Data &amp; Assumptions'!$D$82)</f>
        <v>1934.7253769329898</v>
      </c>
      <c r="R38" s="63">
        <f>Q38*(1+'Data &amp; Assumptions'!$D$82)</f>
        <v>1963.7462575869845</v>
      </c>
      <c r="S38" s="63">
        <f>R38*(1+'Data &amp; Assumptions'!$D$82)</f>
        <v>1993.202451450789</v>
      </c>
      <c r="T38" s="63">
        <f>S38*(1+'Data &amp; Assumptions'!$D$82)</f>
        <v>2023.1004882225507</v>
      </c>
      <c r="U38" s="63">
        <f>T38*(1+'Data &amp; Assumptions'!$D$82)</f>
        <v>2053.4469955458885</v>
      </c>
      <c r="V38" s="63">
        <f>U38*(1+'Data &amp; Assumptions'!$D$82)</f>
        <v>2084.2487004790764</v>
      </c>
      <c r="W38" s="63">
        <f>V38*(1+'Data &amp; Assumptions'!$D$82)</f>
        <v>2115.512430986262</v>
      </c>
      <c r="X38" s="63">
        <f>W38*(1+'Data &amp; Assumptions'!$D$82)</f>
        <v>2147.245117451056</v>
      </c>
      <c r="Y38" s="63">
        <f>X38*(1+'Data &amp; Assumptions'!$D$82)</f>
        <v>2179.453794212822</v>
      </c>
      <c r="Z38" s="63">
        <f>Y38*(1+'Data &amp; Assumptions'!$D$82)</f>
        <v>2212.145601126014</v>
      </c>
      <c r="AA38" s="63">
        <f>Z38*(1+'Data &amp; Assumptions'!$D$82)</f>
        <v>2245.327785142904</v>
      </c>
      <c r="AB38" s="63">
        <f>AA38*(1+'Data &amp; Assumptions'!$D$82)</f>
        <v>2279.007701920047</v>
      </c>
      <c r="AC38" s="63">
        <f>AB38*(1+'Data &amp; Assumptions'!$D$82)</f>
        <v>2313.1928174488476</v>
      </c>
      <c r="AD38" s="63">
        <f>AC38*(1+'Data &amp; Assumptions'!$D$82)</f>
        <v>2347.8907097105803</v>
      </c>
      <c r="AE38" s="63">
        <f>AD38*(1+'Data &amp; Assumptions'!$D$82)</f>
        <v>2383.1090703562386</v>
      </c>
      <c r="AF38" s="63">
        <f>AE38*(1+'Data &amp; Assumptions'!$D$82)</f>
        <v>2418.855706411582</v>
      </c>
      <c r="AG38" s="63">
        <f>AF38*(1+'Data &amp; Assumptions'!$D$82)</f>
        <v>2455.1385420077554</v>
      </c>
      <c r="AH38" s="63">
        <f>AG38*(1+'Data &amp; Assumptions'!$D$82)</f>
        <v>2491.9656201378716</v>
      </c>
      <c r="AI38" s="63">
        <f>AH38*(1+'Data &amp; Assumptions'!$D$82)</f>
        <v>2529.3451044399394</v>
      </c>
      <c r="AJ38" s="63">
        <f>AI38*(1+'Data &amp; Assumptions'!$D$82)</f>
        <v>2567.2852810065383</v>
      </c>
      <c r="AK38" s="63">
        <f>AJ38*(1+'Data &amp; Assumptions'!$D$82)</f>
        <v>2605.794560221636</v>
      </c>
      <c r="AP38" s="63">
        <f t="shared" si="12"/>
        <v>1877.9639175257735</v>
      </c>
      <c r="AQ38" s="63">
        <f t="shared" si="11"/>
        <v>1906.13337628866</v>
      </c>
      <c r="AR38" s="63">
        <f t="shared" si="11"/>
        <v>1934.7253769329898</v>
      </c>
      <c r="AS38" s="63">
        <f t="shared" si="11"/>
        <v>1963.7462575869845</v>
      </c>
      <c r="AT38" s="147">
        <f>AS38*(1+'Data &amp; Assumptions'!$D$82*'Data &amp; Assumptions'!$D$83)</f>
        <v>1991.7296417575992</v>
      </c>
      <c r="AU38" s="147">
        <f>AT38*(1+'Data &amp; Assumptions'!$D$82*'Data &amp; Assumptions'!$D$83)</f>
        <v>2020.111789152645</v>
      </c>
      <c r="AV38" s="147">
        <f>AU38*(1+'Data &amp; Assumptions'!$D$82*'Data &amp; Assumptions'!$D$83)</f>
        <v>2048.8983821480706</v>
      </c>
      <c r="AW38" s="147">
        <f>AV38*(1+'Data &amp; Assumptions'!$D$82*'Data &amp; Assumptions'!$D$83)</f>
        <v>2078.095184093681</v>
      </c>
      <c r="AX38" s="147">
        <f>AW38*(1+'Data &amp; Assumptions'!$D$82*'Data &amp; Assumptions'!$D$83)</f>
        <v>2107.708040467016</v>
      </c>
      <c r="AY38" s="147">
        <f>AX38*(1+'Data &amp; Assumptions'!$D$82*'Data &amp; Assumptions'!$D$83)</f>
        <v>2137.742880043671</v>
      </c>
      <c r="AZ38" s="147">
        <f>AY38*(1+'Data &amp; Assumptions'!$D$82*'Data &amp; Assumptions'!$D$83)</f>
        <v>2168.2057160842937</v>
      </c>
      <c r="BA38" s="147">
        <f>AZ38*(1+'Data &amp; Assumptions'!$D$82*'Data &amp; Assumptions'!$D$83)</f>
        <v>2199.102647538495</v>
      </c>
      <c r="BB38" s="147">
        <f>BA38*(1+'Data &amp; Assumptions'!$D$82*'Data &amp; Assumptions'!$D$83)</f>
        <v>2230.439860265919</v>
      </c>
      <c r="BC38" s="147">
        <f>BB38*(1+'Data &amp; Assumptions'!$D$82*'Data &amp; Assumptions'!$D$83)</f>
        <v>2262.2236282747085</v>
      </c>
      <c r="BD38" s="147">
        <f>BC38*(1+'Data &amp; Assumptions'!$D$82*'Data &amp; Assumptions'!$D$83)</f>
        <v>2294.4603149776235</v>
      </c>
      <c r="BE38" s="147">
        <f>BD38*(1+'Data &amp; Assumptions'!$D$82*'Data &amp; Assumptions'!$D$83)</f>
        <v>2327.156374466055</v>
      </c>
      <c r="BF38" s="147">
        <f>BE38*(1+'Data &amp; Assumptions'!$D$82*'Data &amp; Assumptions'!$D$83)</f>
        <v>2360.3183528021964</v>
      </c>
      <c r="BG38" s="147">
        <f>BF38*(1+'Data &amp; Assumptions'!$D$82*'Data &amp; Assumptions'!$D$83)</f>
        <v>2393.952889329628</v>
      </c>
      <c r="BH38" s="147">
        <f>BG38*(1+'Data &amp; Assumptions'!$D$82*'Data &amp; Assumptions'!$D$83)</f>
        <v>2428.0667180025753</v>
      </c>
      <c r="BI38" s="147">
        <f>BH38*(1+'Data &amp; Assumptions'!$D$82*'Data &amp; Assumptions'!$D$83)</f>
        <v>2462.666668734112</v>
      </c>
      <c r="BJ38" s="147">
        <f>BI38*(1+'Data &amp; Assumptions'!$D$82*'Data &amp; Assumptions'!$D$83)</f>
        <v>2497.7596687635732</v>
      </c>
      <c r="BK38" s="147">
        <f>BJ38*(1+'Data &amp; Assumptions'!$D$82*'Data &amp; Assumptions'!$D$83)</f>
        <v>2533.3527440434545</v>
      </c>
      <c r="BL38" s="147">
        <f>BK38*(1+'Data &amp; Assumptions'!$D$82*'Data &amp; Assumptions'!$D$83)</f>
        <v>2569.453020646074</v>
      </c>
    </row>
    <row r="39" spans="4:64" ht="12.75" customHeight="1">
      <c r="D39" s="67" t="s">
        <v>85</v>
      </c>
      <c r="E39" s="67"/>
      <c r="L39" s="64" t="s">
        <v>184</v>
      </c>
      <c r="O39" s="147">
        <f>'Data tables'!AB81*'Data &amp; Assumptions'!$D$12</f>
        <v>1460.6386025200457</v>
      </c>
      <c r="P39" s="63">
        <f>O39*(1+'Data &amp; Assumptions'!$D$82)</f>
        <v>1482.5481815578462</v>
      </c>
      <c r="Q39" s="63">
        <f>P39*(1+'Data &amp; Assumptions'!$D$82)</f>
        <v>1504.7864042812137</v>
      </c>
      <c r="R39" s="63">
        <f>Q39*(1+'Data &amp; Assumptions'!$D$82)</f>
        <v>1527.3582003454317</v>
      </c>
      <c r="S39" s="63">
        <f>R39*(1+'Data &amp; Assumptions'!$D$82)</f>
        <v>1550.268573350613</v>
      </c>
      <c r="T39" s="63">
        <f>S39*(1+'Data &amp; Assumptions'!$D$82)</f>
        <v>1573.522601950872</v>
      </c>
      <c r="U39" s="63">
        <f>T39*(1+'Data &amp; Assumptions'!$D$82)</f>
        <v>1597.125440980135</v>
      </c>
      <c r="V39" s="63">
        <f>U39*(1+'Data &amp; Assumptions'!$D$82)</f>
        <v>1621.0823225948368</v>
      </c>
      <c r="W39" s="63">
        <f>V39*(1+'Data &amp; Assumptions'!$D$82)</f>
        <v>1645.3985574337592</v>
      </c>
      <c r="X39" s="63">
        <f>W39*(1+'Data &amp; Assumptions'!$D$82)</f>
        <v>1670.0795357952654</v>
      </c>
      <c r="Y39" s="63">
        <f>X39*(1+'Data &amp; Assumptions'!$D$82)</f>
        <v>1695.1307288321943</v>
      </c>
      <c r="Z39" s="63">
        <f>Y39*(1+'Data &amp; Assumptions'!$D$82)</f>
        <v>1720.557689764677</v>
      </c>
      <c r="AA39" s="63">
        <f>Z39*(1+'Data &amp; Assumptions'!$D$82)</f>
        <v>1746.366055111147</v>
      </c>
      <c r="AB39" s="63">
        <f>AA39*(1+'Data &amp; Assumptions'!$D$82)</f>
        <v>1772.5615459378141</v>
      </c>
      <c r="AC39" s="63">
        <f>AB39*(1+'Data &amp; Assumptions'!$D$82)</f>
        <v>1799.1499691268812</v>
      </c>
      <c r="AD39" s="63">
        <f>AC39*(1+'Data &amp; Assumptions'!$D$82)</f>
        <v>1826.137218663784</v>
      </c>
      <c r="AE39" s="63">
        <f>AD39*(1+'Data &amp; Assumptions'!$D$82)</f>
        <v>1853.5292769437406</v>
      </c>
      <c r="AF39" s="63">
        <f>AE39*(1+'Data &amp; Assumptions'!$D$82)</f>
        <v>1881.3322160978964</v>
      </c>
      <c r="AG39" s="63">
        <f>AF39*(1+'Data &amp; Assumptions'!$D$82)</f>
        <v>1909.5521993393647</v>
      </c>
      <c r="AH39" s="63">
        <f>AG39*(1+'Data &amp; Assumptions'!$D$82)</f>
        <v>1938.195482329455</v>
      </c>
      <c r="AI39" s="63">
        <f>AH39*(1+'Data &amp; Assumptions'!$D$82)</f>
        <v>1967.2684145643966</v>
      </c>
      <c r="AJ39" s="63">
        <f>AI39*(1+'Data &amp; Assumptions'!$D$82)</f>
        <v>1996.7774407828624</v>
      </c>
      <c r="AK39" s="63">
        <f>AJ39*(1+'Data &amp; Assumptions'!$D$82)</f>
        <v>2026.7291023946052</v>
      </c>
      <c r="AP39" s="63">
        <f t="shared" si="12"/>
        <v>1460.6386025200457</v>
      </c>
      <c r="AQ39" s="63">
        <f t="shared" si="11"/>
        <v>1482.5481815578462</v>
      </c>
      <c r="AR39" s="63">
        <f t="shared" si="11"/>
        <v>1504.7864042812137</v>
      </c>
      <c r="AS39" s="63">
        <f t="shared" si="11"/>
        <v>1527.3582003454317</v>
      </c>
      <c r="AT39" s="147">
        <f>AS39*(1+'Data &amp; Assumptions'!$D$82*'Data &amp; Assumptions'!$D$83)</f>
        <v>1549.1230547003543</v>
      </c>
      <c r="AU39" s="147">
        <f>AT39*(1+'Data &amp; Assumptions'!$D$82*'Data &amp; Assumptions'!$D$83)</f>
        <v>1571.1980582298345</v>
      </c>
      <c r="AV39" s="147">
        <f>AU39*(1+'Data &amp; Assumptions'!$D$82*'Data &amp; Assumptions'!$D$83)</f>
        <v>1593.5876305596098</v>
      </c>
      <c r="AW39" s="147">
        <f>AV39*(1+'Data &amp; Assumptions'!$D$82*'Data &amp; Assumptions'!$D$83)</f>
        <v>1616.2962542950845</v>
      </c>
      <c r="AX39" s="147">
        <f>AW39*(1+'Data &amp; Assumptions'!$D$82*'Data &amp; Assumptions'!$D$83)</f>
        <v>1639.3284759187895</v>
      </c>
      <c r="AY39" s="147">
        <f>AX39*(1+'Data &amp; Assumptions'!$D$82*'Data &amp; Assumptions'!$D$83)</f>
        <v>1662.6889067006325</v>
      </c>
      <c r="AZ39" s="147">
        <f>AY39*(1+'Data &amp; Assumptions'!$D$82*'Data &amp; Assumptions'!$D$83)</f>
        <v>1686.3822236211167</v>
      </c>
      <c r="BA39" s="147">
        <f>AZ39*(1+'Data &amp; Assumptions'!$D$82*'Data &amp; Assumptions'!$D$83)</f>
        <v>1710.4131703077178</v>
      </c>
      <c r="BB39" s="147">
        <f>BA39*(1+'Data &amp; Assumptions'!$D$82*'Data &amp; Assumptions'!$D$83)</f>
        <v>1734.786557984603</v>
      </c>
      <c r="BC39" s="147">
        <f>BB39*(1+'Data &amp; Assumptions'!$D$82*'Data &amp; Assumptions'!$D$83)</f>
        <v>1759.5072664358838</v>
      </c>
      <c r="BD39" s="147">
        <f>BC39*(1+'Data &amp; Assumptions'!$D$82*'Data &amp; Assumptions'!$D$83)</f>
        <v>1784.5802449825953</v>
      </c>
      <c r="BE39" s="147">
        <f>BD39*(1+'Data &amp; Assumptions'!$D$82*'Data &amp; Assumptions'!$D$83)</f>
        <v>1810.0105134735975</v>
      </c>
      <c r="BF39" s="147">
        <f>BE39*(1+'Data &amp; Assumptions'!$D$82*'Data &amp; Assumptions'!$D$83)</f>
        <v>1835.8031632905963</v>
      </c>
      <c r="BG39" s="147">
        <f>BF39*(1+'Data &amp; Assumptions'!$D$82*'Data &amp; Assumptions'!$D$83)</f>
        <v>1861.9633583674874</v>
      </c>
      <c r="BH39" s="147">
        <f>BG39*(1+'Data &amp; Assumptions'!$D$82*'Data &amp; Assumptions'!$D$83)</f>
        <v>1888.4963362242243</v>
      </c>
      <c r="BI39" s="147">
        <f>BH39*(1+'Data &amp; Assumptions'!$D$82*'Data &amp; Assumptions'!$D$83)</f>
        <v>1915.4074090154197</v>
      </c>
      <c r="BJ39" s="147">
        <f>BI39*(1+'Data &amp; Assumptions'!$D$82*'Data &amp; Assumptions'!$D$83)</f>
        <v>1942.7019645938897</v>
      </c>
      <c r="BK39" s="147">
        <f>BJ39*(1+'Data &amp; Assumptions'!$D$82*'Data &amp; Assumptions'!$D$83)</f>
        <v>1970.3854675893529</v>
      </c>
      <c r="BL39" s="147">
        <f>BK39*(1+'Data &amp; Assumptions'!$D$82*'Data &amp; Assumptions'!$D$83)</f>
        <v>1998.4634605025012</v>
      </c>
    </row>
    <row r="40" spans="4:64" ht="12.75" customHeight="1">
      <c r="D40" s="67" t="s">
        <v>81</v>
      </c>
      <c r="E40" s="67"/>
      <c r="L40" s="64" t="s">
        <v>184</v>
      </c>
      <c r="O40" s="147">
        <f>'Data tables'!AB88*'Data &amp; Assumptions'!$D$12</f>
        <v>1107.5171821305842</v>
      </c>
      <c r="P40" s="63">
        <f>O40*(1+'Data &amp; Assumptions'!$D$82)</f>
        <v>1124.1299398625429</v>
      </c>
      <c r="Q40" s="63">
        <f>P40*(1+'Data &amp; Assumptions'!$D$82)</f>
        <v>1140.991888960481</v>
      </c>
      <c r="R40" s="63">
        <f>Q40*(1+'Data &amp; Assumptions'!$D$82)</f>
        <v>1158.1067672948882</v>
      </c>
      <c r="S40" s="63">
        <f>R40*(1+'Data &amp; Assumptions'!$D$82)</f>
        <v>1175.4783688043115</v>
      </c>
      <c r="T40" s="63">
        <f>S40*(1+'Data &amp; Assumptions'!$D$82)</f>
        <v>1193.110544336376</v>
      </c>
      <c r="U40" s="63">
        <f>T40*(1+'Data &amp; Assumptions'!$D$82)</f>
        <v>1211.0072025014215</v>
      </c>
      <c r="V40" s="63">
        <f>U40*(1+'Data &amp; Assumptions'!$D$82)</f>
        <v>1229.1723105389426</v>
      </c>
      <c r="W40" s="63">
        <f>V40*(1+'Data &amp; Assumptions'!$D$82)</f>
        <v>1247.6098951970266</v>
      </c>
      <c r="X40" s="63">
        <f>W40*(1+'Data &amp; Assumptions'!$D$82)</f>
        <v>1266.3240436249819</v>
      </c>
      <c r="Y40" s="63">
        <f>X40*(1+'Data &amp; Assumptions'!$D$82)</f>
        <v>1285.3189042793565</v>
      </c>
      <c r="Z40" s="63">
        <f>Y40*(1+'Data &amp; Assumptions'!$D$82)</f>
        <v>1304.5986878435467</v>
      </c>
      <c r="AA40" s="63">
        <f>Z40*(1+'Data &amp; Assumptions'!$D$82)</f>
        <v>1324.1676681611998</v>
      </c>
      <c r="AB40" s="63">
        <f>AA40*(1+'Data &amp; Assumptions'!$D$82)</f>
        <v>1344.0301831836177</v>
      </c>
      <c r="AC40" s="63">
        <f>AB40*(1+'Data &amp; Assumptions'!$D$82)</f>
        <v>1364.1906359313718</v>
      </c>
      <c r="AD40" s="63">
        <f>AC40*(1+'Data &amp; Assumptions'!$D$82)</f>
        <v>1384.6534954703422</v>
      </c>
      <c r="AE40" s="63">
        <f>AD40*(1+'Data &amp; Assumptions'!$D$82)</f>
        <v>1405.4232979023973</v>
      </c>
      <c r="AF40" s="63">
        <f>AE40*(1+'Data &amp; Assumptions'!$D$82)</f>
        <v>1426.504647370933</v>
      </c>
      <c r="AG40" s="63">
        <f>AF40*(1+'Data &amp; Assumptions'!$D$82)</f>
        <v>1447.902217081497</v>
      </c>
      <c r="AH40" s="63">
        <f>AG40*(1+'Data &amp; Assumptions'!$D$82)</f>
        <v>1469.6207503377193</v>
      </c>
      <c r="AI40" s="63">
        <f>AH40*(1+'Data &amp; Assumptions'!$D$82)</f>
        <v>1491.665061592785</v>
      </c>
      <c r="AJ40" s="63">
        <f>AI40*(1+'Data &amp; Assumptions'!$D$82)</f>
        <v>1514.0400375166766</v>
      </c>
      <c r="AK40" s="63">
        <f>AJ40*(1+'Data &amp; Assumptions'!$D$82)</f>
        <v>1536.7506380794266</v>
      </c>
      <c r="AP40" s="63">
        <f t="shared" si="12"/>
        <v>1107.5171821305842</v>
      </c>
      <c r="AQ40" s="63">
        <f t="shared" si="11"/>
        <v>1124.1299398625429</v>
      </c>
      <c r="AR40" s="63">
        <f t="shared" si="11"/>
        <v>1140.991888960481</v>
      </c>
      <c r="AS40" s="63">
        <f t="shared" si="11"/>
        <v>1158.1067672948882</v>
      </c>
      <c r="AT40" s="147">
        <f>AS40*(1+'Data &amp; Assumptions'!$D$82*'Data &amp; Assumptions'!$D$83)</f>
        <v>1174.6097887288404</v>
      </c>
      <c r="AU40" s="147">
        <f>AT40*(1+'Data &amp; Assumptions'!$D$82*'Data &amp; Assumptions'!$D$83)</f>
        <v>1191.3479782182264</v>
      </c>
      <c r="AV40" s="147">
        <f>AU40*(1+'Data &amp; Assumptions'!$D$82*'Data &amp; Assumptions'!$D$83)</f>
        <v>1208.3246869078364</v>
      </c>
      <c r="AW40" s="147">
        <f>AV40*(1+'Data &amp; Assumptions'!$D$82*'Data &amp; Assumptions'!$D$83)</f>
        <v>1225.5433136962731</v>
      </c>
      <c r="AX40" s="147">
        <f>AW40*(1+'Data &amp; Assumptions'!$D$82*'Data &amp; Assumptions'!$D$83)</f>
        <v>1243.0073059164451</v>
      </c>
      <c r="AY40" s="147">
        <f>AX40*(1+'Data &amp; Assumptions'!$D$82*'Data &amp; Assumptions'!$D$83)</f>
        <v>1260.7201600257547</v>
      </c>
      <c r="AZ40" s="147">
        <f>AY40*(1+'Data &amp; Assumptions'!$D$82*'Data &amp; Assumptions'!$D$83)</f>
        <v>1278.6854223061218</v>
      </c>
      <c r="BA40" s="147">
        <f>AZ40*(1+'Data &amp; Assumptions'!$D$82*'Data &amp; Assumptions'!$D$83)</f>
        <v>1296.9066895739843</v>
      </c>
      <c r="BB40" s="147">
        <f>BA40*(1+'Data &amp; Assumptions'!$D$82*'Data &amp; Assumptions'!$D$83)</f>
        <v>1315.3876099004137</v>
      </c>
      <c r="BC40" s="147">
        <f>BB40*(1+'Data &amp; Assumptions'!$D$82*'Data &amp; Assumptions'!$D$83)</f>
        <v>1334.1318833414948</v>
      </c>
      <c r="BD40" s="147">
        <f>BC40*(1+'Data &amp; Assumptions'!$D$82*'Data &amp; Assumptions'!$D$83)</f>
        <v>1353.1432626791113</v>
      </c>
      <c r="BE40" s="147">
        <f>BD40*(1+'Data &amp; Assumptions'!$D$82*'Data &amp; Assumptions'!$D$83)</f>
        <v>1372.4255541722887</v>
      </c>
      <c r="BF40" s="147">
        <f>BE40*(1+'Data &amp; Assumptions'!$D$82*'Data &amp; Assumptions'!$D$83)</f>
        <v>1391.982618319244</v>
      </c>
      <c r="BG40" s="147">
        <f>BF40*(1+'Data &amp; Assumptions'!$D$82*'Data &amp; Assumptions'!$D$83)</f>
        <v>1411.8183706302934</v>
      </c>
      <c r="BH40" s="147">
        <f>BG40*(1+'Data &amp; Assumptions'!$D$82*'Data &amp; Assumptions'!$D$83)</f>
        <v>1431.9367824117753</v>
      </c>
      <c r="BI40" s="147">
        <f>BH40*(1+'Data &amp; Assumptions'!$D$82*'Data &amp; Assumptions'!$D$83)</f>
        <v>1452.3418815611433</v>
      </c>
      <c r="BJ40" s="147">
        <f>BI40*(1+'Data &amp; Assumptions'!$D$82*'Data &amp; Assumptions'!$D$83)</f>
        <v>1473.0377533733897</v>
      </c>
      <c r="BK40" s="147">
        <f>BJ40*(1+'Data &amp; Assumptions'!$D$82*'Data &amp; Assumptions'!$D$83)</f>
        <v>1494.0285413589606</v>
      </c>
      <c r="BL40" s="147">
        <f>BK40*(1+'Data &amp; Assumptions'!$D$82*'Data &amp; Assumptions'!$D$83)</f>
        <v>1515.318448073326</v>
      </c>
    </row>
    <row r="41" spans="4:64" ht="12.75" customHeight="1">
      <c r="D41" s="67" t="s">
        <v>82</v>
      </c>
      <c r="E41" s="67"/>
      <c r="L41" s="64" t="s">
        <v>184</v>
      </c>
      <c r="O41" s="147">
        <f>'Data tables'!AB83*'Data &amp; Assumptions'!$D$12</f>
        <v>770.446735395189</v>
      </c>
      <c r="P41" s="63">
        <f>O41*(1+'Data &amp; Assumptions'!$D$82)</f>
        <v>782.0034364261168</v>
      </c>
      <c r="Q41" s="63">
        <f>P41*(1+'Data &amp; Assumptions'!$D$82)</f>
        <v>793.7334879725084</v>
      </c>
      <c r="R41" s="63">
        <f>Q41*(1+'Data &amp; Assumptions'!$D$82)</f>
        <v>805.639490292096</v>
      </c>
      <c r="S41" s="63">
        <f>R41*(1+'Data &amp; Assumptions'!$D$82)</f>
        <v>817.7240826464773</v>
      </c>
      <c r="T41" s="63">
        <f>S41*(1+'Data &amp; Assumptions'!$D$82)</f>
        <v>829.9899438861744</v>
      </c>
      <c r="U41" s="63">
        <f>T41*(1+'Data &amp; Assumptions'!$D$82)</f>
        <v>842.4397930444669</v>
      </c>
      <c r="V41" s="63">
        <f>U41*(1+'Data &amp; Assumptions'!$D$82)</f>
        <v>855.0763899401338</v>
      </c>
      <c r="W41" s="63">
        <f>V41*(1+'Data &amp; Assumptions'!$D$82)</f>
        <v>867.9025357892358</v>
      </c>
      <c r="X41" s="63">
        <f>W41*(1+'Data &amp; Assumptions'!$D$82)</f>
        <v>880.9210738260742</v>
      </c>
      <c r="Y41" s="63">
        <f>X41*(1+'Data &amp; Assumptions'!$D$82)</f>
        <v>894.1348899334653</v>
      </c>
      <c r="Z41" s="63">
        <f>Y41*(1+'Data &amp; Assumptions'!$D$82)</f>
        <v>907.5469132824671</v>
      </c>
      <c r="AA41" s="63">
        <f>Z41*(1+'Data &amp; Assumptions'!$D$82)</f>
        <v>921.160116981704</v>
      </c>
      <c r="AB41" s="63">
        <f>AA41*(1+'Data &amp; Assumptions'!$D$82)</f>
        <v>934.9775187364295</v>
      </c>
      <c r="AC41" s="63">
        <f>AB41*(1+'Data &amp; Assumptions'!$D$82)</f>
        <v>949.0021815174758</v>
      </c>
      <c r="AD41" s="63">
        <f>AC41*(1+'Data &amp; Assumptions'!$D$82)</f>
        <v>963.2372142402379</v>
      </c>
      <c r="AE41" s="63">
        <f>AD41*(1+'Data &amp; Assumptions'!$D$82)</f>
        <v>977.6857724538414</v>
      </c>
      <c r="AF41" s="63">
        <f>AE41*(1+'Data &amp; Assumptions'!$D$82)</f>
        <v>992.3510590406489</v>
      </c>
      <c r="AG41" s="63">
        <f>AF41*(1+'Data &amp; Assumptions'!$D$82)</f>
        <v>1007.2363249262586</v>
      </c>
      <c r="AH41" s="63">
        <f>AG41*(1+'Data &amp; Assumptions'!$D$82)</f>
        <v>1022.3448698001524</v>
      </c>
      <c r="AI41" s="63">
        <f>AH41*(1+'Data &amp; Assumptions'!$D$82)</f>
        <v>1037.6800428471547</v>
      </c>
      <c r="AJ41" s="63">
        <f>AI41*(1+'Data &amp; Assumptions'!$D$82)</f>
        <v>1053.2452434898619</v>
      </c>
      <c r="AK41" s="63">
        <f>AJ41*(1+'Data &amp; Assumptions'!$D$82)</f>
        <v>1069.0439221422098</v>
      </c>
      <c r="AP41" s="63">
        <f t="shared" si="12"/>
        <v>770.446735395189</v>
      </c>
      <c r="AQ41" s="63">
        <f t="shared" si="11"/>
        <v>782.0034364261168</v>
      </c>
      <c r="AR41" s="63">
        <f t="shared" si="11"/>
        <v>793.7334879725084</v>
      </c>
      <c r="AS41" s="63">
        <f t="shared" si="11"/>
        <v>805.639490292096</v>
      </c>
      <c r="AT41" s="147">
        <f>AS41*(1+'Data &amp; Assumptions'!$D$82*'Data &amp; Assumptions'!$D$83)</f>
        <v>817.1198530287584</v>
      </c>
      <c r="AU41" s="147">
        <f>AT41*(1+'Data &amp; Assumptions'!$D$82*'Data &amp; Assumptions'!$D$83)</f>
        <v>828.7638109344183</v>
      </c>
      <c r="AV41" s="147">
        <f>AU41*(1+'Data &amp; Assumptions'!$D$82*'Data &amp; Assumptions'!$D$83)</f>
        <v>840.5736952402339</v>
      </c>
      <c r="AW41" s="147">
        <f>AV41*(1+'Data &amp; Assumptions'!$D$82*'Data &amp; Assumptions'!$D$83)</f>
        <v>852.5518703974072</v>
      </c>
      <c r="AX41" s="147">
        <f>AW41*(1+'Data &amp; Assumptions'!$D$82*'Data &amp; Assumptions'!$D$83)</f>
        <v>864.7007345505704</v>
      </c>
      <c r="AY41" s="147">
        <f>AX41*(1+'Data &amp; Assumptions'!$D$82*'Data &amp; Assumptions'!$D$83)</f>
        <v>877.0227200179161</v>
      </c>
      <c r="AZ41" s="147">
        <f>AY41*(1+'Data &amp; Assumptions'!$D$82*'Data &amp; Assumptions'!$D$83)</f>
        <v>889.5202937781714</v>
      </c>
      <c r="BA41" s="147">
        <f>AZ41*(1+'Data &amp; Assumptions'!$D$82*'Data &amp; Assumptions'!$D$83)</f>
        <v>902.1959579645105</v>
      </c>
      <c r="BB41" s="147">
        <f>BA41*(1+'Data &amp; Assumptions'!$D$82*'Data &amp; Assumptions'!$D$83)</f>
        <v>915.0522503655048</v>
      </c>
      <c r="BC41" s="147">
        <f>BB41*(1+'Data &amp; Assumptions'!$D$82*'Data &amp; Assumptions'!$D$83)</f>
        <v>928.0917449332134</v>
      </c>
      <c r="BD41" s="147">
        <f>BC41*(1+'Data &amp; Assumptions'!$D$82*'Data &amp; Assumptions'!$D$83)</f>
        <v>941.3170522985117</v>
      </c>
      <c r="BE41" s="147">
        <f>BD41*(1+'Data &amp; Assumptions'!$D$82*'Data &amp; Assumptions'!$D$83)</f>
        <v>954.7308202937656</v>
      </c>
      <c r="BF41" s="147">
        <f>BE41*(1+'Data &amp; Assumptions'!$D$82*'Data &amp; Assumptions'!$D$83)</f>
        <v>968.3357344829519</v>
      </c>
      <c r="BG41" s="147">
        <f>BF41*(1+'Data &amp; Assumptions'!$D$82*'Data &amp; Assumptions'!$D$83)</f>
        <v>982.1345186993341</v>
      </c>
      <c r="BH41" s="147">
        <f>BG41*(1+'Data &amp; Assumptions'!$D$82*'Data &amp; Assumptions'!$D$83)</f>
        <v>996.1299355907997</v>
      </c>
      <c r="BI41" s="147">
        <f>BH41*(1+'Data &amp; Assumptions'!$D$82*'Data &amp; Assumptions'!$D$83)</f>
        <v>1010.3247871729687</v>
      </c>
      <c r="BJ41" s="147">
        <f>BI41*(1+'Data &amp; Assumptions'!$D$82*'Data &amp; Assumptions'!$D$83)</f>
        <v>1024.7219153901835</v>
      </c>
      <c r="BK41" s="147">
        <f>BJ41*(1+'Data &amp; Assumptions'!$D$82*'Data &amp; Assumptions'!$D$83)</f>
        <v>1039.3242026844937</v>
      </c>
      <c r="BL41" s="147">
        <f>BK41*(1+'Data &amp; Assumptions'!$D$82*'Data &amp; Assumptions'!$D$83)</f>
        <v>1054.1345725727479</v>
      </c>
    </row>
    <row r="42" spans="4:64" ht="12.75" customHeight="1">
      <c r="D42" s="67" t="s">
        <v>189</v>
      </c>
      <c r="E42" s="67"/>
      <c r="L42" s="64" t="s">
        <v>184</v>
      </c>
      <c r="O42" s="147">
        <f>'Data tables'!AB96*'Data &amp; Assumptions'!$D$12</f>
        <v>1573.6374570446737</v>
      </c>
      <c r="P42" s="63">
        <f>O42*(1+'Data &amp; Assumptions'!$D$82)</f>
        <v>1597.2420189003437</v>
      </c>
      <c r="Q42" s="63">
        <f>P42*(1+'Data &amp; Assumptions'!$D$82)</f>
        <v>1621.2006491838488</v>
      </c>
      <c r="R42" s="63">
        <f>Q42*(1+'Data &amp; Assumptions'!$D$82)</f>
        <v>1645.5186589216064</v>
      </c>
      <c r="S42" s="63">
        <f>R42*(1+'Data &amp; Assumptions'!$D$82)</f>
        <v>1670.2014388054304</v>
      </c>
      <c r="T42" s="63">
        <f>S42*(1+'Data &amp; Assumptions'!$D$82)</f>
        <v>1695.2544603875117</v>
      </c>
      <c r="U42" s="63">
        <f>T42*(1+'Data &amp; Assumptions'!$D$82)</f>
        <v>1720.6832772933242</v>
      </c>
      <c r="V42" s="63">
        <f>U42*(1+'Data &amp; Assumptions'!$D$82)</f>
        <v>1746.493526452724</v>
      </c>
      <c r="W42" s="63">
        <f>V42*(1+'Data &amp; Assumptions'!$D$82)</f>
        <v>1772.6909293495146</v>
      </c>
      <c r="X42" s="63">
        <f>W42*(1+'Data &amp; Assumptions'!$D$82)</f>
        <v>1799.281293289757</v>
      </c>
      <c r="Y42" s="63">
        <f>X42*(1+'Data &amp; Assumptions'!$D$82)</f>
        <v>1826.2705126891033</v>
      </c>
      <c r="Z42" s="63">
        <f>Y42*(1+'Data &amp; Assumptions'!$D$82)</f>
        <v>1853.6645703794397</v>
      </c>
      <c r="AA42" s="63">
        <f>Z42*(1+'Data &amp; Assumptions'!$D$82)</f>
        <v>1881.4695389351311</v>
      </c>
      <c r="AB42" s="63">
        <f>AA42*(1+'Data &amp; Assumptions'!$D$82)</f>
        <v>1909.691582019158</v>
      </c>
      <c r="AC42" s="63">
        <f>AB42*(1+'Data &amp; Assumptions'!$D$82)</f>
        <v>1938.3369557494452</v>
      </c>
      <c r="AD42" s="63">
        <f>AC42*(1+'Data &amp; Assumptions'!$D$82)</f>
        <v>1967.4120100856867</v>
      </c>
      <c r="AE42" s="63">
        <f>AD42*(1+'Data &amp; Assumptions'!$D$82)</f>
        <v>1996.9231902369718</v>
      </c>
      <c r="AF42" s="63">
        <f>AE42*(1+'Data &amp; Assumptions'!$D$82)</f>
        <v>2026.8770380905262</v>
      </c>
      <c r="AG42" s="63">
        <f>AF42*(1+'Data &amp; Assumptions'!$D$82)</f>
        <v>2057.280193661884</v>
      </c>
      <c r="AH42" s="63">
        <f>AG42*(1+'Data &amp; Assumptions'!$D$82)</f>
        <v>2088.139396566812</v>
      </c>
      <c r="AI42" s="63">
        <f>AH42*(1+'Data &amp; Assumptions'!$D$82)</f>
        <v>2119.4614875153143</v>
      </c>
      <c r="AJ42" s="63">
        <f>AI42*(1+'Data &amp; Assumptions'!$D$82)</f>
        <v>2151.253409828044</v>
      </c>
      <c r="AK42" s="63">
        <f>AJ42*(1+'Data &amp; Assumptions'!$D$82)</f>
        <v>2183.5222109754645</v>
      </c>
      <c r="AP42" s="63">
        <f t="shared" si="12"/>
        <v>1573.6374570446737</v>
      </c>
      <c r="AQ42" s="63">
        <f t="shared" si="11"/>
        <v>1597.2420189003437</v>
      </c>
      <c r="AR42" s="63">
        <f t="shared" si="11"/>
        <v>1621.2006491838488</v>
      </c>
      <c r="AS42" s="63">
        <f t="shared" si="11"/>
        <v>1645.5186589216064</v>
      </c>
      <c r="AT42" s="147">
        <f>AS42*(1+'Data &amp; Assumptions'!$D$82*'Data &amp; Assumptions'!$D$83)</f>
        <v>1668.9672998112394</v>
      </c>
      <c r="AU42" s="147">
        <f>AT42*(1+'Data &amp; Assumptions'!$D$82*'Data &amp; Assumptions'!$D$83)</f>
        <v>1692.7500838335498</v>
      </c>
      <c r="AV42" s="147">
        <f>AU42*(1+'Data &amp; Assumptions'!$D$82*'Data &amp; Assumptions'!$D$83)</f>
        <v>1716.871772528178</v>
      </c>
      <c r="AW42" s="147">
        <f>AV42*(1+'Data &amp; Assumptions'!$D$82*'Data &amp; Assumptions'!$D$83)</f>
        <v>1741.3371952867049</v>
      </c>
      <c r="AX42" s="147">
        <f>AW42*(1+'Data &amp; Assumptions'!$D$82*'Data &amp; Assumptions'!$D$83)</f>
        <v>1766.1512503195406</v>
      </c>
      <c r="AY42" s="147">
        <f>AX42*(1+'Data &amp; Assumptions'!$D$82*'Data &amp; Assumptions'!$D$83)</f>
        <v>1791.3189056365943</v>
      </c>
      <c r="AZ42" s="147">
        <f>AY42*(1+'Data &amp; Assumptions'!$D$82*'Data &amp; Assumptions'!$D$83)</f>
        <v>1816.8452000419159</v>
      </c>
      <c r="BA42" s="147">
        <f>AZ42*(1+'Data &amp; Assumptions'!$D$82*'Data &amp; Assumptions'!$D$83)</f>
        <v>1842.7352441425132</v>
      </c>
      <c r="BB42" s="147">
        <f>BA42*(1+'Data &amp; Assumptions'!$D$82*'Data &amp; Assumptions'!$D$83)</f>
        <v>1868.9942213715442</v>
      </c>
      <c r="BC42" s="147">
        <f>BB42*(1+'Data &amp; Assumptions'!$D$82*'Data &amp; Assumptions'!$D$83)</f>
        <v>1895.6273890260888</v>
      </c>
      <c r="BD42" s="147">
        <f>BC42*(1+'Data &amp; Assumptions'!$D$82*'Data &amp; Assumptions'!$D$83)</f>
        <v>1922.6400793197108</v>
      </c>
      <c r="BE42" s="147">
        <f>BD42*(1+'Data &amp; Assumptions'!$D$82*'Data &amp; Assumptions'!$D$83)</f>
        <v>1950.037700450017</v>
      </c>
      <c r="BF42" s="147">
        <f>BE42*(1+'Data &amp; Assumptions'!$D$82*'Data &amp; Assumptions'!$D$83)</f>
        <v>1977.82573768143</v>
      </c>
      <c r="BG42" s="147">
        <f>BF42*(1+'Data &amp; Assumptions'!$D$82*'Data &amp; Assumptions'!$D$83)</f>
        <v>2006.0097544433904</v>
      </c>
      <c r="BH42" s="147">
        <f>BG42*(1+'Data &amp; Assumptions'!$D$82*'Data &amp; Assumptions'!$D$83)</f>
        <v>2034.5953934442089</v>
      </c>
      <c r="BI42" s="147">
        <f>BH42*(1+'Data &amp; Assumptions'!$D$82*'Data &amp; Assumptions'!$D$83)</f>
        <v>2063.588377800789</v>
      </c>
      <c r="BJ42" s="147">
        <f>BI42*(1+'Data &amp; Assumptions'!$D$82*'Data &amp; Assumptions'!$D$83)</f>
        <v>2092.9945121844507</v>
      </c>
      <c r="BK42" s="147">
        <f>BJ42*(1+'Data &amp; Assumptions'!$D$82*'Data &amp; Assumptions'!$D$83)</f>
        <v>2122.8196839830794</v>
      </c>
      <c r="BL42" s="147">
        <f>BK42*(1+'Data &amp; Assumptions'!$D$82*'Data &amp; Assumptions'!$D$83)</f>
        <v>2153.0698644798385</v>
      </c>
    </row>
    <row r="43" spans="4:64" ht="12.75" customHeight="1">
      <c r="D43" s="67" t="s">
        <v>84</v>
      </c>
      <c r="E43" s="67"/>
      <c r="L43" s="64" t="s">
        <v>184</v>
      </c>
      <c r="O43" s="147">
        <f>'Data tables'!AB69*'Data &amp; Assumptions'!$D$12</f>
        <v>1046.5234822451316</v>
      </c>
      <c r="P43" s="63">
        <f>O43*(1+'Data &amp; Assumptions'!$D$82)</f>
        <v>1062.2213344788086</v>
      </c>
      <c r="Q43" s="63">
        <f>P43*(1+'Data &amp; Assumptions'!$D$82)</f>
        <v>1078.1546544959906</v>
      </c>
      <c r="R43" s="63">
        <f>Q43*(1+'Data &amp; Assumptions'!$D$82)</f>
        <v>1094.3269743134304</v>
      </c>
      <c r="S43" s="63">
        <f>R43*(1+'Data &amp; Assumptions'!$D$82)</f>
        <v>1110.7418789281317</v>
      </c>
      <c r="T43" s="63">
        <f>S43*(1+'Data &amp; Assumptions'!$D$82)</f>
        <v>1127.4030071120535</v>
      </c>
      <c r="U43" s="63">
        <f>T43*(1+'Data &amp; Assumptions'!$D$82)</f>
        <v>1144.314052218734</v>
      </c>
      <c r="V43" s="63">
        <f>U43*(1+'Data &amp; Assumptions'!$D$82)</f>
        <v>1161.478763002015</v>
      </c>
      <c r="W43" s="63">
        <f>V43*(1+'Data &amp; Assumptions'!$D$82)</f>
        <v>1178.9009444470453</v>
      </c>
      <c r="X43" s="63">
        <f>W43*(1+'Data &amp; Assumptions'!$D$82)</f>
        <v>1196.584458613751</v>
      </c>
      <c r="Y43" s="63">
        <f>X43*(1+'Data &amp; Assumptions'!$D$82)</f>
        <v>1214.5332254929572</v>
      </c>
      <c r="Z43" s="63">
        <f>Y43*(1+'Data &amp; Assumptions'!$D$82)</f>
        <v>1232.7512238753513</v>
      </c>
      <c r="AA43" s="63">
        <f>Z43*(1+'Data &amp; Assumptions'!$D$82)</f>
        <v>1251.2424922334815</v>
      </c>
      <c r="AB43" s="63">
        <f>AA43*(1+'Data &amp; Assumptions'!$D$82)</f>
        <v>1270.0111296169837</v>
      </c>
      <c r="AC43" s="63">
        <f>AB43*(1+'Data &amp; Assumptions'!$D$82)</f>
        <v>1289.0612965612384</v>
      </c>
      <c r="AD43" s="63">
        <f>AC43*(1+'Data &amp; Assumptions'!$D$82)</f>
        <v>1308.3972160096569</v>
      </c>
      <c r="AE43" s="63">
        <f>AD43*(1+'Data &amp; Assumptions'!$D$82)</f>
        <v>1328.0231742498015</v>
      </c>
      <c r="AF43" s="63">
        <f>AE43*(1+'Data &amp; Assumptions'!$D$82)</f>
        <v>1347.9435218635483</v>
      </c>
      <c r="AG43" s="63">
        <f>AF43*(1+'Data &amp; Assumptions'!$D$82)</f>
        <v>1368.1626746915015</v>
      </c>
      <c r="AH43" s="63">
        <f>AG43*(1+'Data &amp; Assumptions'!$D$82)</f>
        <v>1388.685114811874</v>
      </c>
      <c r="AI43" s="63">
        <f>AH43*(1+'Data &amp; Assumptions'!$D$82)</f>
        <v>1409.515391534052</v>
      </c>
      <c r="AJ43" s="63">
        <f>AI43*(1+'Data &amp; Assumptions'!$D$82)</f>
        <v>1430.6581224070626</v>
      </c>
      <c r="AK43" s="63">
        <f>AJ43*(1+'Data &amp; Assumptions'!$D$82)</f>
        <v>1452.1179942431684</v>
      </c>
      <c r="AP43" s="63">
        <f t="shared" si="12"/>
        <v>1046.5234822451316</v>
      </c>
      <c r="AQ43" s="63">
        <f t="shared" si="11"/>
        <v>1062.2213344788086</v>
      </c>
      <c r="AR43" s="63">
        <f t="shared" si="11"/>
        <v>1078.1546544959906</v>
      </c>
      <c r="AS43" s="63">
        <f t="shared" si="11"/>
        <v>1094.3269743134304</v>
      </c>
      <c r="AT43" s="147">
        <f>AS43*(1+'Data &amp; Assumptions'!$D$82*'Data &amp; Assumptions'!$D$83)</f>
        <v>1109.921133697397</v>
      </c>
      <c r="AU43" s="147">
        <f>AT43*(1+'Data &amp; Assumptions'!$D$82*'Data &amp; Assumptions'!$D$83)</f>
        <v>1125.737509852585</v>
      </c>
      <c r="AV43" s="147">
        <f>AU43*(1+'Data &amp; Assumptions'!$D$82*'Data &amp; Assumptions'!$D$83)</f>
        <v>1141.7792693679844</v>
      </c>
      <c r="AW43" s="147">
        <f>AV43*(1+'Data &amp; Assumptions'!$D$82*'Data &amp; Assumptions'!$D$83)</f>
        <v>1158.0496239564782</v>
      </c>
      <c r="AX43" s="147">
        <f>AW43*(1+'Data &amp; Assumptions'!$D$82*'Data &amp; Assumptions'!$D$83)</f>
        <v>1174.551831097858</v>
      </c>
      <c r="AY43" s="147">
        <f>AX43*(1+'Data &amp; Assumptions'!$D$82*'Data &amp; Assumptions'!$D$83)</f>
        <v>1191.2891946910026</v>
      </c>
      <c r="AZ43" s="147">
        <f>AY43*(1+'Data &amp; Assumptions'!$D$82*'Data &amp; Assumptions'!$D$83)</f>
        <v>1208.2650657153495</v>
      </c>
      <c r="BA43" s="147">
        <f>AZ43*(1+'Data &amp; Assumptions'!$D$82*'Data &amp; Assumptions'!$D$83)</f>
        <v>1225.4828429017932</v>
      </c>
      <c r="BB43" s="147">
        <f>BA43*(1+'Data &amp; Assumptions'!$D$82*'Data &amp; Assumptions'!$D$83)</f>
        <v>1242.945973413144</v>
      </c>
      <c r="BC43" s="147">
        <f>BB43*(1+'Data &amp; Assumptions'!$D$82*'Data &amp; Assumptions'!$D$83)</f>
        <v>1260.6579535342814</v>
      </c>
      <c r="BD43" s="147">
        <f>BC43*(1+'Data &amp; Assumptions'!$D$82*'Data &amp; Assumptions'!$D$83)</f>
        <v>1278.622329372145</v>
      </c>
      <c r="BE43" s="147">
        <f>BD43*(1+'Data &amp; Assumptions'!$D$82*'Data &amp; Assumptions'!$D$83)</f>
        <v>1296.8426975656982</v>
      </c>
      <c r="BF43" s="147">
        <f>BE43*(1+'Data &amp; Assumptions'!$D$82*'Data &amp; Assumptions'!$D$83)</f>
        <v>1315.3227060060096</v>
      </c>
      <c r="BG43" s="147">
        <f>BF43*(1+'Data &amp; Assumptions'!$D$82*'Data &amp; Assumptions'!$D$83)</f>
        <v>1334.0660545665953</v>
      </c>
      <c r="BH43" s="147">
        <f>BG43*(1+'Data &amp; Assumptions'!$D$82*'Data &amp; Assumptions'!$D$83)</f>
        <v>1353.0764958441694</v>
      </c>
      <c r="BI43" s="147">
        <f>BH43*(1+'Data &amp; Assumptions'!$D$82*'Data &amp; Assumptions'!$D$83)</f>
        <v>1372.3578359099488</v>
      </c>
      <c r="BJ43" s="147">
        <f>BI43*(1+'Data &amp; Assumptions'!$D$82*'Data &amp; Assumptions'!$D$83)</f>
        <v>1391.9139350716657</v>
      </c>
      <c r="BK43" s="147">
        <f>BJ43*(1+'Data &amp; Assumptions'!$D$82*'Data &amp; Assumptions'!$D$83)</f>
        <v>1411.748708646437</v>
      </c>
      <c r="BL43" s="147">
        <f>BK43*(1+'Data &amp; Assumptions'!$D$82*'Data &amp; Assumptions'!$D$83)</f>
        <v>1431.866127744649</v>
      </c>
    </row>
    <row r="44" spans="4:64" ht="12.75" customHeight="1">
      <c r="D44" s="67" t="s">
        <v>190</v>
      </c>
      <c r="E44" s="67"/>
      <c r="L44" s="64" t="s">
        <v>184</v>
      </c>
      <c r="O44" s="147">
        <f>'Data tables'!AB87*'Data &amp; Assumptions'!$D$12</f>
        <v>1011.2113402061856</v>
      </c>
      <c r="P44" s="63">
        <f>O44*(1+'Data &amp; Assumptions'!$D$82)</f>
        <v>1026.3795103092782</v>
      </c>
      <c r="Q44" s="63">
        <f>P44*(1+'Data &amp; Assumptions'!$D$82)</f>
        <v>1041.7752029639173</v>
      </c>
      <c r="R44" s="63">
        <f>Q44*(1+'Data &amp; Assumptions'!$D$82)</f>
        <v>1057.401831008376</v>
      </c>
      <c r="S44" s="63">
        <f>R44*(1+'Data &amp; Assumptions'!$D$82)</f>
        <v>1073.2628584735014</v>
      </c>
      <c r="T44" s="63">
        <f>S44*(1+'Data &amp; Assumptions'!$D$82)</f>
        <v>1089.3618013506039</v>
      </c>
      <c r="U44" s="63">
        <f>T44*(1+'Data &amp; Assumptions'!$D$82)</f>
        <v>1105.7022283708627</v>
      </c>
      <c r="V44" s="63">
        <f>U44*(1+'Data &amp; Assumptions'!$D$82)</f>
        <v>1122.2877617964255</v>
      </c>
      <c r="W44" s="63">
        <f>V44*(1+'Data &amp; Assumptions'!$D$82)</f>
        <v>1139.1220782233718</v>
      </c>
      <c r="X44" s="63">
        <f>W44*(1+'Data &amp; Assumptions'!$D$82)</f>
        <v>1156.2089093967222</v>
      </c>
      <c r="Y44" s="63">
        <f>X44*(1+'Data &amp; Assumptions'!$D$82)</f>
        <v>1173.552043037673</v>
      </c>
      <c r="Z44" s="63">
        <f>Y44*(1+'Data &amp; Assumptions'!$D$82)</f>
        <v>1191.155323683238</v>
      </c>
      <c r="AA44" s="63">
        <f>Z44*(1+'Data &amp; Assumptions'!$D$82)</f>
        <v>1209.0226535384866</v>
      </c>
      <c r="AB44" s="63">
        <f>AA44*(1+'Data &amp; Assumptions'!$D$82)</f>
        <v>1227.1579933415637</v>
      </c>
      <c r="AC44" s="63">
        <f>AB44*(1+'Data &amp; Assumptions'!$D$82)</f>
        <v>1245.565363241687</v>
      </c>
      <c r="AD44" s="63">
        <f>AC44*(1+'Data &amp; Assumptions'!$D$82)</f>
        <v>1264.2488436903122</v>
      </c>
      <c r="AE44" s="63">
        <f>AD44*(1+'Data &amp; Assumptions'!$D$82)</f>
        <v>1283.2125763456668</v>
      </c>
      <c r="AF44" s="63">
        <f>AE44*(1+'Data &amp; Assumptions'!$D$82)</f>
        <v>1302.4607649908517</v>
      </c>
      <c r="AG44" s="63">
        <f>AF44*(1+'Data &amp; Assumptions'!$D$82)</f>
        <v>1321.9976764657142</v>
      </c>
      <c r="AH44" s="63">
        <f>AG44*(1+'Data &amp; Assumptions'!$D$82)</f>
        <v>1341.8276416126998</v>
      </c>
      <c r="AI44" s="63">
        <f>AH44*(1+'Data &amp; Assumptions'!$D$82)</f>
        <v>1361.9550562368902</v>
      </c>
      <c r="AJ44" s="63">
        <f>AI44*(1+'Data &amp; Assumptions'!$D$82)</f>
        <v>1382.3843820804434</v>
      </c>
      <c r="AK44" s="63">
        <f>AJ44*(1+'Data &amp; Assumptions'!$D$82)</f>
        <v>1403.12014781165</v>
      </c>
      <c r="AP44" s="63">
        <f t="shared" si="12"/>
        <v>1011.2113402061856</v>
      </c>
      <c r="AQ44" s="63">
        <f t="shared" si="11"/>
        <v>1026.3795103092782</v>
      </c>
      <c r="AR44" s="63">
        <f t="shared" si="11"/>
        <v>1041.7752029639173</v>
      </c>
      <c r="AS44" s="63">
        <f t="shared" si="11"/>
        <v>1057.401831008376</v>
      </c>
      <c r="AT44" s="147">
        <f>AS44*(1+'Data &amp; Assumptions'!$D$82*'Data &amp; Assumptions'!$D$83)</f>
        <v>1072.4698071002454</v>
      </c>
      <c r="AU44" s="147">
        <f>AT44*(1+'Data &amp; Assumptions'!$D$82*'Data &amp; Assumptions'!$D$83)</f>
        <v>1087.7525018514239</v>
      </c>
      <c r="AV44" s="147">
        <f>AU44*(1+'Data &amp; Assumptions'!$D$82*'Data &amp; Assumptions'!$D$83)</f>
        <v>1103.2529750028068</v>
      </c>
      <c r="AW44" s="147">
        <f>AV44*(1+'Data &amp; Assumptions'!$D$82*'Data &amp; Assumptions'!$D$83)</f>
        <v>1118.9743298965968</v>
      </c>
      <c r="AX44" s="147">
        <f>AW44*(1+'Data &amp; Assumptions'!$D$82*'Data &amp; Assumptions'!$D$83)</f>
        <v>1134.9197140976235</v>
      </c>
      <c r="AY44" s="147">
        <f>AX44*(1+'Data &amp; Assumptions'!$D$82*'Data &amp; Assumptions'!$D$83)</f>
        <v>1151.0923200235147</v>
      </c>
      <c r="AZ44" s="147">
        <f>AY44*(1+'Data &amp; Assumptions'!$D$82*'Data &amp; Assumptions'!$D$83)</f>
        <v>1167.4953855838498</v>
      </c>
      <c r="BA44" s="147">
        <f>AZ44*(1+'Data &amp; Assumptions'!$D$82*'Data &amp; Assumptions'!$D$83)</f>
        <v>1184.1321948284199</v>
      </c>
      <c r="BB44" s="147">
        <f>BA44*(1+'Data &amp; Assumptions'!$D$82*'Data &amp; Assumptions'!$D$83)</f>
        <v>1201.006078604725</v>
      </c>
      <c r="BC44" s="147">
        <f>BB44*(1+'Data &amp; Assumptions'!$D$82*'Data &amp; Assumptions'!$D$83)</f>
        <v>1218.1204152248424</v>
      </c>
      <c r="BD44" s="147">
        <f>BC44*(1+'Data &amp; Assumptions'!$D$82*'Data &amp; Assumptions'!$D$83)</f>
        <v>1235.4786311417965</v>
      </c>
      <c r="BE44" s="147">
        <f>BD44*(1+'Data &amp; Assumptions'!$D$82*'Data &amp; Assumptions'!$D$83)</f>
        <v>1253.0842016355673</v>
      </c>
      <c r="BF44" s="147">
        <f>BE44*(1+'Data &amp; Assumptions'!$D$82*'Data &amp; Assumptions'!$D$83)</f>
        <v>1270.9406515088742</v>
      </c>
      <c r="BG44" s="147">
        <f>BF44*(1+'Data &amp; Assumptions'!$D$82*'Data &amp; Assumptions'!$D$83)</f>
        <v>1289.051555792876</v>
      </c>
      <c r="BH44" s="147">
        <f>BG44*(1+'Data &amp; Assumptions'!$D$82*'Data &amp; Assumptions'!$D$83)</f>
        <v>1307.4205404629245</v>
      </c>
      <c r="BI44" s="147">
        <f>BH44*(1+'Data &amp; Assumptions'!$D$82*'Data &amp; Assumptions'!$D$83)</f>
        <v>1326.0512831645212</v>
      </c>
      <c r="BJ44" s="147">
        <f>BI44*(1+'Data &amp; Assumptions'!$D$82*'Data &amp; Assumptions'!$D$83)</f>
        <v>1344.9475139496158</v>
      </c>
      <c r="BK44" s="147">
        <f>BJ44*(1+'Data &amp; Assumptions'!$D$82*'Data &amp; Assumptions'!$D$83)</f>
        <v>1364.113016023398</v>
      </c>
      <c r="BL44" s="147">
        <f>BK44*(1+'Data &amp; Assumptions'!$D$82*'Data &amp; Assumptions'!$D$83)</f>
        <v>1383.5516265017316</v>
      </c>
    </row>
    <row r="45" spans="15:17" ht="12.75">
      <c r="O45" s="146"/>
      <c r="Q45" s="63"/>
    </row>
    <row r="46" ht="12.75">
      <c r="C46" t="s">
        <v>246</v>
      </c>
    </row>
    <row r="47" spans="4:40" ht="12.75">
      <c r="D47" t="s">
        <v>230</v>
      </c>
      <c r="L47" s="64" t="s">
        <v>64</v>
      </c>
      <c r="M47" s="66">
        <f>'Data &amp; Assumptions'!$D$76</f>
        <v>0.018</v>
      </c>
      <c r="AN47" s="66">
        <f>'Data &amp; Assumptions'!$D$76</f>
        <v>0.018</v>
      </c>
    </row>
    <row r="48" spans="4:64" ht="12.75">
      <c r="D48" s="67" t="s">
        <v>233</v>
      </c>
      <c r="E48" s="67"/>
      <c r="L48" s="64" t="s">
        <v>184</v>
      </c>
      <c r="M48" s="66"/>
      <c r="O48" s="63">
        <f aca="true" t="shared" si="13" ref="O48:AK48">O36*$M$47</f>
        <v>45.360755999999995</v>
      </c>
      <c r="P48" s="63">
        <f>P36*$M$47</f>
        <v>46.49477489999999</v>
      </c>
      <c r="Q48" s="63">
        <f t="shared" si="13"/>
        <v>47.65714427249999</v>
      </c>
      <c r="R48" s="147">
        <f>R36*$M$47</f>
        <v>48.848572879312485</v>
      </c>
      <c r="S48" s="63">
        <f t="shared" si="13"/>
        <v>50.06978720129529</v>
      </c>
      <c r="T48" s="63">
        <f t="shared" si="13"/>
        <v>51.32153188132767</v>
      </c>
      <c r="U48" s="147">
        <f t="shared" si="13"/>
        <v>52.60457017836085</v>
      </c>
      <c r="V48" s="63">
        <f t="shared" si="13"/>
        <v>53.91968443281988</v>
      </c>
      <c r="W48" s="63">
        <f t="shared" si="13"/>
        <v>55.26767654364037</v>
      </c>
      <c r="X48" s="63">
        <f t="shared" si="13"/>
        <v>56.649368457231375</v>
      </c>
      <c r="Y48" s="63">
        <f t="shared" si="13"/>
        <v>58.06560266866215</v>
      </c>
      <c r="Z48" s="63">
        <f t="shared" si="13"/>
        <v>59.5172427353787</v>
      </c>
      <c r="AA48" s="63">
        <f t="shared" si="13"/>
        <v>61.005173803763164</v>
      </c>
      <c r="AB48" s="63">
        <f t="shared" si="13"/>
        <v>62.530303148857236</v>
      </c>
      <c r="AC48" s="63">
        <f t="shared" si="13"/>
        <v>64.09356072757866</v>
      </c>
      <c r="AD48" s="63">
        <f t="shared" si="13"/>
        <v>65.69589974576813</v>
      </c>
      <c r="AE48" s="63">
        <f t="shared" si="13"/>
        <v>67.33829723941233</v>
      </c>
      <c r="AF48" s="63">
        <f t="shared" si="13"/>
        <v>69.02175467039763</v>
      </c>
      <c r="AG48" s="63">
        <f t="shared" si="13"/>
        <v>70.74729853715756</v>
      </c>
      <c r="AH48" s="63">
        <f t="shared" si="13"/>
        <v>72.51598100058649</v>
      </c>
      <c r="AI48" s="63">
        <f t="shared" si="13"/>
        <v>74.32888052560115</v>
      </c>
      <c r="AJ48" s="63">
        <f t="shared" si="13"/>
        <v>76.18710253874119</v>
      </c>
      <c r="AK48" s="63">
        <f t="shared" si="13"/>
        <v>78.0917801022097</v>
      </c>
      <c r="AP48" s="63">
        <f>AP36*$AN$47</f>
        <v>45.360755999999995</v>
      </c>
      <c r="AQ48" s="63">
        <f aca="true" t="shared" si="14" ref="AQ48:BL48">AQ36*$AN$47</f>
        <v>46.49477489999999</v>
      </c>
      <c r="AR48" s="63">
        <f t="shared" si="14"/>
        <v>47.65714427249999</v>
      </c>
      <c r="AS48" s="63">
        <f t="shared" si="14"/>
        <v>48.848572879312485</v>
      </c>
      <c r="AT48" s="63">
        <f t="shared" si="14"/>
        <v>50.00872648519615</v>
      </c>
      <c r="AU48" s="63">
        <f t="shared" si="14"/>
        <v>51.19643373921956</v>
      </c>
      <c r="AV48" s="147">
        <f t="shared" si="14"/>
        <v>52.412349040526024</v>
      </c>
      <c r="AW48" s="63">
        <f t="shared" si="14"/>
        <v>53.657142330238514</v>
      </c>
      <c r="AX48" s="63">
        <f t="shared" si="14"/>
        <v>54.931499460581676</v>
      </c>
      <c r="AY48" s="63">
        <f t="shared" si="14"/>
        <v>56.23612257277048</v>
      </c>
      <c r="AZ48" s="63">
        <f t="shared" si="14"/>
        <v>57.571730483873786</v>
      </c>
      <c r="BA48" s="63">
        <f t="shared" si="14"/>
        <v>58.93905908286578</v>
      </c>
      <c r="BB48" s="63">
        <f t="shared" si="14"/>
        <v>60.33886173608384</v>
      </c>
      <c r="BC48" s="63">
        <f t="shared" si="14"/>
        <v>61.771909702315824</v>
      </c>
      <c r="BD48" s="63">
        <f t="shared" si="14"/>
        <v>63.238992557745824</v>
      </c>
      <c r="BE48" s="63">
        <f t="shared" si="14"/>
        <v>64.74091863099228</v>
      </c>
      <c r="BF48" s="63">
        <f t="shared" si="14"/>
        <v>66.27851544847834</v>
      </c>
      <c r="BG48" s="63">
        <f t="shared" si="14"/>
        <v>67.8526301903797</v>
      </c>
      <c r="BH48" s="63">
        <f t="shared" si="14"/>
        <v>69.46413015740121</v>
      </c>
      <c r="BI48" s="63">
        <f t="shared" si="14"/>
        <v>71.11390324863949</v>
      </c>
      <c r="BJ48" s="63">
        <f t="shared" si="14"/>
        <v>72.80285845079467</v>
      </c>
      <c r="BK48" s="63">
        <f t="shared" si="14"/>
        <v>74.53192633900105</v>
      </c>
      <c r="BL48" s="63">
        <f t="shared" si="14"/>
        <v>76.30205958955231</v>
      </c>
    </row>
    <row r="49" spans="4:64" ht="12.75">
      <c r="D49" s="67" t="s">
        <v>73</v>
      </c>
      <c r="E49" s="67"/>
      <c r="L49" s="64" t="s">
        <v>184</v>
      </c>
      <c r="M49" s="66"/>
      <c r="O49" s="63">
        <f aca="true" t="shared" si="15" ref="O49:AK49">O37*$M$47</f>
        <v>24.904690721649484</v>
      </c>
      <c r="P49" s="63">
        <f t="shared" si="15"/>
        <v>25.278261082474224</v>
      </c>
      <c r="Q49" s="63">
        <f t="shared" si="15"/>
        <v>25.657434998711338</v>
      </c>
      <c r="R49" s="147">
        <f t="shared" si="15"/>
        <v>26.042296523692002</v>
      </c>
      <c r="S49" s="63">
        <f t="shared" si="15"/>
        <v>26.432930971547382</v>
      </c>
      <c r="T49" s="63">
        <f t="shared" si="15"/>
        <v>26.82942493612059</v>
      </c>
      <c r="U49" s="147">
        <f t="shared" si="15"/>
        <v>27.231866310162392</v>
      </c>
      <c r="V49" s="63">
        <f t="shared" si="15"/>
        <v>27.64034430481483</v>
      </c>
      <c r="W49" s="63">
        <f t="shared" si="15"/>
        <v>28.054949469387047</v>
      </c>
      <c r="X49" s="63">
        <f t="shared" si="15"/>
        <v>28.475773711427852</v>
      </c>
      <c r="Y49" s="63">
        <f t="shared" si="15"/>
        <v>28.90291031709927</v>
      </c>
      <c r="Z49" s="63">
        <f t="shared" si="15"/>
        <v>29.336453971855754</v>
      </c>
      <c r="AA49" s="63">
        <f t="shared" si="15"/>
        <v>29.776500781433587</v>
      </c>
      <c r="AB49" s="63">
        <f t="shared" si="15"/>
        <v>30.22314829315509</v>
      </c>
      <c r="AC49" s="63">
        <f t="shared" si="15"/>
        <v>30.676495517552414</v>
      </c>
      <c r="AD49" s="63">
        <f t="shared" si="15"/>
        <v>31.136642950315697</v>
      </c>
      <c r="AE49" s="63">
        <f t="shared" si="15"/>
        <v>31.60369259457043</v>
      </c>
      <c r="AF49" s="63">
        <f t="shared" si="15"/>
        <v>32.07774798348898</v>
      </c>
      <c r="AG49" s="63">
        <f t="shared" si="15"/>
        <v>32.558914203241315</v>
      </c>
      <c r="AH49" s="63">
        <f t="shared" si="15"/>
        <v>33.04729791628993</v>
      </c>
      <c r="AI49" s="63">
        <f t="shared" si="15"/>
        <v>33.54300738503428</v>
      </c>
      <c r="AJ49" s="63">
        <f t="shared" si="15"/>
        <v>34.04615249580979</v>
      </c>
      <c r="AK49" s="63">
        <f t="shared" si="15"/>
        <v>34.55684478324694</v>
      </c>
      <c r="AP49" s="63">
        <f aca="true" t="shared" si="16" ref="AP49:BL49">AP37*$AN$47</f>
        <v>24.904690721649484</v>
      </c>
      <c r="AQ49" s="63">
        <f t="shared" si="16"/>
        <v>25.278261082474224</v>
      </c>
      <c r="AR49" s="63">
        <f t="shared" si="16"/>
        <v>25.657434998711338</v>
      </c>
      <c r="AS49" s="63">
        <f t="shared" si="16"/>
        <v>26.042296523692002</v>
      </c>
      <c r="AT49" s="63">
        <f t="shared" si="16"/>
        <v>26.413399249154615</v>
      </c>
      <c r="AU49" s="63">
        <f t="shared" si="16"/>
        <v>26.789790188455072</v>
      </c>
      <c r="AV49" s="147">
        <f t="shared" si="16"/>
        <v>27.17154469864056</v>
      </c>
      <c r="AW49" s="63">
        <f t="shared" si="16"/>
        <v>27.558739210596194</v>
      </c>
      <c r="AX49" s="63">
        <f t="shared" si="16"/>
        <v>27.951451244347194</v>
      </c>
      <c r="AY49" s="63">
        <f t="shared" si="16"/>
        <v>28.34975942457914</v>
      </c>
      <c r="AZ49" s="63">
        <f t="shared" si="16"/>
        <v>28.753743496379396</v>
      </c>
      <c r="BA49" s="63">
        <f t="shared" si="16"/>
        <v>29.163484341202807</v>
      </c>
      <c r="BB49" s="63">
        <f t="shared" si="16"/>
        <v>29.579063993064945</v>
      </c>
      <c r="BC49" s="63">
        <f t="shared" si="16"/>
        <v>30.000565654966127</v>
      </c>
      <c r="BD49" s="63">
        <f t="shared" si="16"/>
        <v>30.4280737155494</v>
      </c>
      <c r="BE49" s="63">
        <f t="shared" si="16"/>
        <v>30.86167376599598</v>
      </c>
      <c r="BF49" s="63">
        <f t="shared" si="16"/>
        <v>31.301452617161424</v>
      </c>
      <c r="BG49" s="63">
        <f t="shared" si="16"/>
        <v>31.74749831695598</v>
      </c>
      <c r="BH49" s="63">
        <f t="shared" si="16"/>
        <v>32.19990016797261</v>
      </c>
      <c r="BI49" s="63">
        <f t="shared" si="16"/>
        <v>32.65874874536622</v>
      </c>
      <c r="BJ49" s="63">
        <f t="shared" si="16"/>
        <v>33.12413591498769</v>
      </c>
      <c r="BK49" s="63">
        <f t="shared" si="16"/>
        <v>33.59615485177627</v>
      </c>
      <c r="BL49" s="63">
        <f t="shared" si="16"/>
        <v>34.07490005841409</v>
      </c>
    </row>
    <row r="50" spans="4:64" ht="12.75">
      <c r="D50" s="67" t="s">
        <v>72</v>
      </c>
      <c r="E50" s="67"/>
      <c r="L50" s="64" t="s">
        <v>184</v>
      </c>
      <c r="M50" s="66"/>
      <c r="O50" s="63">
        <f aca="true" t="shared" si="17" ref="O50:AK50">O38*$M$47</f>
        <v>33.80335051546392</v>
      </c>
      <c r="P50" s="63">
        <f>P38*$M$47</f>
        <v>34.31040077319588</v>
      </c>
      <c r="Q50" s="63">
        <f t="shared" si="17"/>
        <v>34.825056784793816</v>
      </c>
      <c r="R50" s="147">
        <f t="shared" si="17"/>
        <v>35.34743263656572</v>
      </c>
      <c r="S50" s="63">
        <f t="shared" si="17"/>
        <v>35.8776441261142</v>
      </c>
      <c r="T50" s="63">
        <f t="shared" si="17"/>
        <v>36.41580878800591</v>
      </c>
      <c r="U50" s="147">
        <f t="shared" si="17"/>
        <v>36.96204591982599</v>
      </c>
      <c r="V50" s="63">
        <f t="shared" si="17"/>
        <v>37.51647660862337</v>
      </c>
      <c r="W50" s="63">
        <f t="shared" si="17"/>
        <v>38.079223757752715</v>
      </c>
      <c r="X50" s="63">
        <f t="shared" si="17"/>
        <v>38.65041211411901</v>
      </c>
      <c r="Y50" s="63">
        <f t="shared" si="17"/>
        <v>39.23016829583079</v>
      </c>
      <c r="Z50" s="63">
        <f t="shared" si="17"/>
        <v>39.818620820268244</v>
      </c>
      <c r="AA50" s="63">
        <f t="shared" si="17"/>
        <v>40.41590013257227</v>
      </c>
      <c r="AB50" s="63">
        <f t="shared" si="17"/>
        <v>41.02213863456085</v>
      </c>
      <c r="AC50" s="63">
        <f t="shared" si="17"/>
        <v>41.63747071407925</v>
      </c>
      <c r="AD50" s="63">
        <f t="shared" si="17"/>
        <v>42.26203277479044</v>
      </c>
      <c r="AE50" s="63">
        <f t="shared" si="17"/>
        <v>42.89596326641229</v>
      </c>
      <c r="AF50" s="63">
        <f t="shared" si="17"/>
        <v>43.53940271540847</v>
      </c>
      <c r="AG50" s="63">
        <f t="shared" si="17"/>
        <v>44.19249375613959</v>
      </c>
      <c r="AH50" s="63">
        <f t="shared" si="17"/>
        <v>44.855381162481684</v>
      </c>
      <c r="AI50" s="63">
        <f t="shared" si="17"/>
        <v>45.528211879918906</v>
      </c>
      <c r="AJ50" s="63">
        <f t="shared" si="17"/>
        <v>46.211135058117684</v>
      </c>
      <c r="AK50" s="63">
        <f t="shared" si="17"/>
        <v>46.90430208398944</v>
      </c>
      <c r="AP50" s="63">
        <f aca="true" t="shared" si="18" ref="AP50:BL50">AP38*$AN$47</f>
        <v>33.80335051546392</v>
      </c>
      <c r="AQ50" s="63">
        <f t="shared" si="18"/>
        <v>34.31040077319588</v>
      </c>
      <c r="AR50" s="63">
        <f t="shared" si="18"/>
        <v>34.825056784793816</v>
      </c>
      <c r="AS50" s="63">
        <f t="shared" si="18"/>
        <v>35.34743263656572</v>
      </c>
      <c r="AT50" s="63">
        <f t="shared" si="18"/>
        <v>35.851133551636785</v>
      </c>
      <c r="AU50" s="63">
        <f t="shared" si="18"/>
        <v>36.36201220474761</v>
      </c>
      <c r="AV50" s="147">
        <f t="shared" si="18"/>
        <v>36.88017087866527</v>
      </c>
      <c r="AW50" s="63">
        <f t="shared" si="18"/>
        <v>37.405713313686256</v>
      </c>
      <c r="AX50" s="63">
        <f t="shared" si="18"/>
        <v>37.938744728406284</v>
      </c>
      <c r="AY50" s="63">
        <f t="shared" si="18"/>
        <v>38.47937184078607</v>
      </c>
      <c r="AZ50" s="63">
        <f t="shared" si="18"/>
        <v>39.027702889517286</v>
      </c>
      <c r="BA50" s="63">
        <f t="shared" si="18"/>
        <v>39.58384765569291</v>
      </c>
      <c r="BB50" s="63">
        <f t="shared" si="18"/>
        <v>40.14791748478654</v>
      </c>
      <c r="BC50" s="63">
        <f t="shared" si="18"/>
        <v>40.72002530894475</v>
      </c>
      <c r="BD50" s="63">
        <f t="shared" si="18"/>
        <v>41.30028566959722</v>
      </c>
      <c r="BE50" s="63">
        <f t="shared" si="18"/>
        <v>41.88881474038898</v>
      </c>
      <c r="BF50" s="63">
        <f t="shared" si="18"/>
        <v>42.48573035043953</v>
      </c>
      <c r="BG50" s="63">
        <f t="shared" si="18"/>
        <v>43.091152007933296</v>
      </c>
      <c r="BH50" s="63">
        <f t="shared" si="18"/>
        <v>43.70520092404635</v>
      </c>
      <c r="BI50" s="63">
        <f t="shared" si="18"/>
        <v>44.32800003721402</v>
      </c>
      <c r="BJ50" s="63">
        <f t="shared" si="18"/>
        <v>44.959674037744314</v>
      </c>
      <c r="BK50" s="63">
        <f t="shared" si="18"/>
        <v>45.60034939278218</v>
      </c>
      <c r="BL50" s="63">
        <f t="shared" si="18"/>
        <v>46.25015437162933</v>
      </c>
    </row>
    <row r="51" spans="4:64" ht="12.75">
      <c r="D51" s="67" t="s">
        <v>85</v>
      </c>
      <c r="E51" s="67"/>
      <c r="L51" s="64" t="s">
        <v>184</v>
      </c>
      <c r="M51" s="66"/>
      <c r="O51" s="63">
        <f aca="true" t="shared" si="19" ref="O51:AK51">O39*$M$47</f>
        <v>26.29149484536082</v>
      </c>
      <c r="P51" s="63">
        <f t="shared" si="19"/>
        <v>26.68586726804123</v>
      </c>
      <c r="Q51" s="63">
        <f t="shared" si="19"/>
        <v>27.086155277061845</v>
      </c>
      <c r="R51" s="147">
        <f t="shared" si="19"/>
        <v>27.49244760621777</v>
      </c>
      <c r="S51" s="63">
        <f t="shared" si="19"/>
        <v>27.904834320311032</v>
      </c>
      <c r="T51" s="63">
        <f t="shared" si="19"/>
        <v>28.323406835115694</v>
      </c>
      <c r="U51" s="147">
        <f t="shared" si="19"/>
        <v>28.74825793764243</v>
      </c>
      <c r="V51" s="63">
        <f t="shared" si="19"/>
        <v>29.17948180670706</v>
      </c>
      <c r="W51" s="63">
        <f t="shared" si="19"/>
        <v>29.61717403380766</v>
      </c>
      <c r="X51" s="63">
        <f t="shared" si="19"/>
        <v>30.061431644314776</v>
      </c>
      <c r="Y51" s="63">
        <f t="shared" si="19"/>
        <v>30.512353118979497</v>
      </c>
      <c r="Z51" s="63">
        <f t="shared" si="19"/>
        <v>30.970038415764183</v>
      </c>
      <c r="AA51" s="63">
        <f t="shared" si="19"/>
        <v>31.434588992000645</v>
      </c>
      <c r="AB51" s="63">
        <f t="shared" si="19"/>
        <v>31.906107826880653</v>
      </c>
      <c r="AC51" s="63">
        <f t="shared" si="19"/>
        <v>32.38469944428386</v>
      </c>
      <c r="AD51" s="63">
        <f t="shared" si="19"/>
        <v>32.87046993594811</v>
      </c>
      <c r="AE51" s="63">
        <f t="shared" si="19"/>
        <v>33.36352698498733</v>
      </c>
      <c r="AF51" s="63">
        <f t="shared" si="19"/>
        <v>33.863979889762135</v>
      </c>
      <c r="AG51" s="63">
        <f t="shared" si="19"/>
        <v>34.37193958810856</v>
      </c>
      <c r="AH51" s="63">
        <f t="shared" si="19"/>
        <v>34.88751868193019</v>
      </c>
      <c r="AI51" s="63">
        <f t="shared" si="19"/>
        <v>35.41083146215914</v>
      </c>
      <c r="AJ51" s="63">
        <f t="shared" si="19"/>
        <v>35.94199393409152</v>
      </c>
      <c r="AK51" s="63">
        <f t="shared" si="19"/>
        <v>36.48112384310289</v>
      </c>
      <c r="AP51" s="63">
        <f aca="true" t="shared" si="20" ref="AP51:BL51">AP39*$AN$47</f>
        <v>26.29149484536082</v>
      </c>
      <c r="AQ51" s="63">
        <f t="shared" si="20"/>
        <v>26.68586726804123</v>
      </c>
      <c r="AR51" s="63">
        <f t="shared" si="20"/>
        <v>27.086155277061845</v>
      </c>
      <c r="AS51" s="63">
        <f t="shared" si="20"/>
        <v>27.49244760621777</v>
      </c>
      <c r="AT51" s="63">
        <f t="shared" si="20"/>
        <v>27.884214984606373</v>
      </c>
      <c r="AU51" s="63">
        <f t="shared" si="20"/>
        <v>28.28156504813702</v>
      </c>
      <c r="AV51" s="147">
        <f t="shared" si="20"/>
        <v>28.684577350072974</v>
      </c>
      <c r="AW51" s="63">
        <f t="shared" si="20"/>
        <v>29.093332577311518</v>
      </c>
      <c r="AX51" s="63">
        <f t="shared" si="20"/>
        <v>29.50791256653821</v>
      </c>
      <c r="AY51" s="63">
        <f t="shared" si="20"/>
        <v>29.928400320611384</v>
      </c>
      <c r="AZ51" s="63">
        <f t="shared" si="20"/>
        <v>30.354880025180098</v>
      </c>
      <c r="BA51" s="63">
        <f t="shared" si="20"/>
        <v>30.787437065538917</v>
      </c>
      <c r="BB51" s="63">
        <f t="shared" si="20"/>
        <v>31.22615804372285</v>
      </c>
      <c r="BC51" s="63">
        <f t="shared" si="20"/>
        <v>31.671130795845908</v>
      </c>
      <c r="BD51" s="63">
        <f t="shared" si="20"/>
        <v>32.122444409686715</v>
      </c>
      <c r="BE51" s="63">
        <f t="shared" si="20"/>
        <v>32.58018924252475</v>
      </c>
      <c r="BF51" s="63">
        <f t="shared" si="20"/>
        <v>33.044456939230734</v>
      </c>
      <c r="BG51" s="63">
        <f t="shared" si="20"/>
        <v>33.51534045061477</v>
      </c>
      <c r="BH51" s="63">
        <f t="shared" si="20"/>
        <v>33.992934052036034</v>
      </c>
      <c r="BI51" s="63">
        <f t="shared" si="20"/>
        <v>34.477333362277555</v>
      </c>
      <c r="BJ51" s="63">
        <f t="shared" si="20"/>
        <v>34.96863536269001</v>
      </c>
      <c r="BK51" s="63">
        <f t="shared" si="20"/>
        <v>35.46693841660835</v>
      </c>
      <c r="BL51" s="63">
        <f t="shared" si="20"/>
        <v>35.97234228904502</v>
      </c>
    </row>
    <row r="52" spans="4:64" ht="12.75">
      <c r="D52" s="67" t="s">
        <v>81</v>
      </c>
      <c r="E52" s="67"/>
      <c r="L52" s="64" t="s">
        <v>184</v>
      </c>
      <c r="M52" s="66"/>
      <c r="O52" s="63">
        <f aca="true" t="shared" si="21" ref="O52:AK52">O40*$M$47</f>
        <v>19.935309278350513</v>
      </c>
      <c r="P52" s="63">
        <f t="shared" si="21"/>
        <v>20.23433891752577</v>
      </c>
      <c r="Q52" s="63">
        <f t="shared" si="21"/>
        <v>20.537854001288657</v>
      </c>
      <c r="R52" s="147">
        <f t="shared" si="21"/>
        <v>20.845921811307985</v>
      </c>
      <c r="S52" s="63">
        <f t="shared" si="21"/>
        <v>21.158610638477604</v>
      </c>
      <c r="T52" s="63">
        <f t="shared" si="21"/>
        <v>21.475989798054766</v>
      </c>
      <c r="U52" s="147">
        <f t="shared" si="21"/>
        <v>21.798129645025586</v>
      </c>
      <c r="V52" s="63">
        <f t="shared" si="21"/>
        <v>22.125101589700964</v>
      </c>
      <c r="W52" s="63">
        <f t="shared" si="21"/>
        <v>22.456978113546477</v>
      </c>
      <c r="X52" s="63">
        <f t="shared" si="21"/>
        <v>22.793832785249673</v>
      </c>
      <c r="Y52" s="63">
        <f t="shared" si="21"/>
        <v>23.135740277028415</v>
      </c>
      <c r="Z52" s="63">
        <f t="shared" si="21"/>
        <v>23.48277638118384</v>
      </c>
      <c r="AA52" s="63">
        <f t="shared" si="21"/>
        <v>23.835018026901594</v>
      </c>
      <c r="AB52" s="63">
        <f t="shared" si="21"/>
        <v>24.192543297305118</v>
      </c>
      <c r="AC52" s="63">
        <f t="shared" si="21"/>
        <v>24.55543144676469</v>
      </c>
      <c r="AD52" s="63">
        <f t="shared" si="21"/>
        <v>24.92376291846616</v>
      </c>
      <c r="AE52" s="63">
        <f t="shared" si="21"/>
        <v>25.29761936224315</v>
      </c>
      <c r="AF52" s="63">
        <f t="shared" si="21"/>
        <v>25.677083652676792</v>
      </c>
      <c r="AG52" s="63">
        <f t="shared" si="21"/>
        <v>26.062239907466942</v>
      </c>
      <c r="AH52" s="63">
        <f t="shared" si="21"/>
        <v>26.453173506078944</v>
      </c>
      <c r="AI52" s="63">
        <f t="shared" si="21"/>
        <v>26.849971108670125</v>
      </c>
      <c r="AJ52" s="63">
        <f t="shared" si="21"/>
        <v>27.25272067530018</v>
      </c>
      <c r="AK52" s="63">
        <f t="shared" si="21"/>
        <v>27.661511485429678</v>
      </c>
      <c r="AP52" s="63">
        <f aca="true" t="shared" si="22" ref="AP52:BL52">AP40*$AN$47</f>
        <v>19.935309278350513</v>
      </c>
      <c r="AQ52" s="63">
        <f t="shared" si="22"/>
        <v>20.23433891752577</v>
      </c>
      <c r="AR52" s="63">
        <f t="shared" si="22"/>
        <v>20.537854001288657</v>
      </c>
      <c r="AS52" s="63">
        <f t="shared" si="22"/>
        <v>20.845921811307985</v>
      </c>
      <c r="AT52" s="63">
        <f t="shared" si="22"/>
        <v>21.142976197119125</v>
      </c>
      <c r="AU52" s="63">
        <f t="shared" si="22"/>
        <v>21.444263607928075</v>
      </c>
      <c r="AV52" s="147">
        <f t="shared" si="22"/>
        <v>21.749844364341055</v>
      </c>
      <c r="AW52" s="63">
        <f t="shared" si="22"/>
        <v>22.059779646532913</v>
      </c>
      <c r="AX52" s="63">
        <f t="shared" si="22"/>
        <v>22.37413150649601</v>
      </c>
      <c r="AY52" s="63">
        <f t="shared" si="22"/>
        <v>22.692962880463583</v>
      </c>
      <c r="AZ52" s="63">
        <f t="shared" si="22"/>
        <v>23.01633760151019</v>
      </c>
      <c r="BA52" s="63">
        <f t="shared" si="22"/>
        <v>23.344320412331715</v>
      </c>
      <c r="BB52" s="63">
        <f t="shared" si="22"/>
        <v>23.676976978207446</v>
      </c>
      <c r="BC52" s="63">
        <f t="shared" si="22"/>
        <v>24.014373900146904</v>
      </c>
      <c r="BD52" s="63">
        <f t="shared" si="22"/>
        <v>24.356578728224</v>
      </c>
      <c r="BE52" s="63">
        <f t="shared" si="22"/>
        <v>24.703659975101193</v>
      </c>
      <c r="BF52" s="63">
        <f t="shared" si="22"/>
        <v>25.05568712974639</v>
      </c>
      <c r="BG52" s="63">
        <f t="shared" si="22"/>
        <v>25.41273067134528</v>
      </c>
      <c r="BH52" s="63">
        <f t="shared" si="22"/>
        <v>25.774862083411954</v>
      </c>
      <c r="BI52" s="63">
        <f t="shared" si="22"/>
        <v>26.14215386810058</v>
      </c>
      <c r="BJ52" s="63">
        <f t="shared" si="22"/>
        <v>26.514679560721014</v>
      </c>
      <c r="BK52" s="63">
        <f t="shared" si="22"/>
        <v>26.89251374446129</v>
      </c>
      <c r="BL52" s="63">
        <f t="shared" si="22"/>
        <v>27.275732065319865</v>
      </c>
    </row>
    <row r="53" spans="4:64" ht="12.75">
      <c r="D53" s="67" t="s">
        <v>82</v>
      </c>
      <c r="E53" s="67"/>
      <c r="L53" s="64" t="s">
        <v>184</v>
      </c>
      <c r="M53" s="66"/>
      <c r="O53" s="63">
        <f aca="true" t="shared" si="23" ref="O53:AK53">O41*$M$47</f>
        <v>13.8680412371134</v>
      </c>
      <c r="P53" s="63">
        <f t="shared" si="23"/>
        <v>14.076061855670101</v>
      </c>
      <c r="Q53" s="63">
        <f t="shared" si="23"/>
        <v>14.287202783505151</v>
      </c>
      <c r="R53" s="147">
        <f t="shared" si="23"/>
        <v>14.501510825257727</v>
      </c>
      <c r="S53" s="63">
        <f t="shared" si="23"/>
        <v>14.71903348763659</v>
      </c>
      <c r="T53" s="63">
        <f t="shared" si="23"/>
        <v>14.939818989951139</v>
      </c>
      <c r="U53" s="147">
        <f t="shared" si="23"/>
        <v>15.163916274800403</v>
      </c>
      <c r="V53" s="63">
        <f t="shared" si="23"/>
        <v>15.391375018922407</v>
      </c>
      <c r="W53" s="63">
        <f t="shared" si="23"/>
        <v>15.622245644206243</v>
      </c>
      <c r="X53" s="63">
        <f t="shared" si="23"/>
        <v>15.856579328869335</v>
      </c>
      <c r="Y53" s="63">
        <f t="shared" si="23"/>
        <v>16.094428018802375</v>
      </c>
      <c r="Z53" s="63">
        <f t="shared" si="23"/>
        <v>16.335844439084408</v>
      </c>
      <c r="AA53" s="63">
        <f t="shared" si="23"/>
        <v>16.58088210567067</v>
      </c>
      <c r="AB53" s="63">
        <f t="shared" si="23"/>
        <v>16.82959533725573</v>
      </c>
      <c r="AC53" s="63">
        <f t="shared" si="23"/>
        <v>17.082039267314563</v>
      </c>
      <c r="AD53" s="63">
        <f t="shared" si="23"/>
        <v>17.33826985632428</v>
      </c>
      <c r="AE53" s="63">
        <f t="shared" si="23"/>
        <v>17.598343904169145</v>
      </c>
      <c r="AF53" s="63">
        <f t="shared" si="23"/>
        <v>17.86231906273168</v>
      </c>
      <c r="AG53" s="63">
        <f t="shared" si="23"/>
        <v>18.130253848672652</v>
      </c>
      <c r="AH53" s="63">
        <f t="shared" si="23"/>
        <v>18.40220765640274</v>
      </c>
      <c r="AI53" s="63">
        <f t="shared" si="23"/>
        <v>18.678240771248785</v>
      </c>
      <c r="AJ53" s="63">
        <f t="shared" si="23"/>
        <v>18.958414382817512</v>
      </c>
      <c r="AK53" s="63">
        <f t="shared" si="23"/>
        <v>19.242790598559775</v>
      </c>
      <c r="AP53" s="63">
        <f aca="true" t="shared" si="24" ref="AP53:BL53">AP41*$AN$47</f>
        <v>13.8680412371134</v>
      </c>
      <c r="AQ53" s="63">
        <f t="shared" si="24"/>
        <v>14.076061855670101</v>
      </c>
      <c r="AR53" s="63">
        <f t="shared" si="24"/>
        <v>14.287202783505151</v>
      </c>
      <c r="AS53" s="63">
        <f t="shared" si="24"/>
        <v>14.501510825257727</v>
      </c>
      <c r="AT53" s="63">
        <f t="shared" si="24"/>
        <v>14.708157354517649</v>
      </c>
      <c r="AU53" s="63">
        <f t="shared" si="24"/>
        <v>14.917748596819528</v>
      </c>
      <c r="AV53" s="147">
        <f t="shared" si="24"/>
        <v>15.130326514324208</v>
      </c>
      <c r="AW53" s="63">
        <f t="shared" si="24"/>
        <v>15.345933667153329</v>
      </c>
      <c r="AX53" s="63">
        <f t="shared" si="24"/>
        <v>15.564613221910266</v>
      </c>
      <c r="AY53" s="63">
        <f t="shared" si="24"/>
        <v>15.786408960322488</v>
      </c>
      <c r="AZ53" s="63">
        <f t="shared" si="24"/>
        <v>16.011365288007084</v>
      </c>
      <c r="BA53" s="63">
        <f t="shared" si="24"/>
        <v>16.239527243361188</v>
      </c>
      <c r="BB53" s="63">
        <f t="shared" si="24"/>
        <v>16.470940506579087</v>
      </c>
      <c r="BC53" s="63">
        <f t="shared" si="24"/>
        <v>16.705651408797838</v>
      </c>
      <c r="BD53" s="63">
        <f t="shared" si="24"/>
        <v>16.94370694137321</v>
      </c>
      <c r="BE53" s="63">
        <f t="shared" si="24"/>
        <v>17.18515476528778</v>
      </c>
      <c r="BF53" s="63">
        <f t="shared" si="24"/>
        <v>17.430043220693133</v>
      </c>
      <c r="BG53" s="63">
        <f t="shared" si="24"/>
        <v>17.678421336588013</v>
      </c>
      <c r="BH53" s="63">
        <f t="shared" si="24"/>
        <v>17.930338840634395</v>
      </c>
      <c r="BI53" s="63">
        <f t="shared" si="24"/>
        <v>18.185846169113436</v>
      </c>
      <c r="BJ53" s="63">
        <f t="shared" si="24"/>
        <v>18.444994477023304</v>
      </c>
      <c r="BK53" s="63">
        <f t="shared" si="24"/>
        <v>18.707835648320884</v>
      </c>
      <c r="BL53" s="63">
        <f t="shared" si="24"/>
        <v>18.97442230630946</v>
      </c>
    </row>
    <row r="54" spans="4:64" ht="12.75">
      <c r="D54" s="67" t="s">
        <v>189</v>
      </c>
      <c r="E54" s="67"/>
      <c r="L54" s="64" t="s">
        <v>184</v>
      </c>
      <c r="M54" s="66"/>
      <c r="O54" s="63">
        <f aca="true" t="shared" si="25" ref="O54:AK54">O42*$M$47</f>
        <v>28.325474226804126</v>
      </c>
      <c r="P54" s="63">
        <f t="shared" si="25"/>
        <v>28.750356340206185</v>
      </c>
      <c r="Q54" s="63">
        <f t="shared" si="25"/>
        <v>29.181611685309274</v>
      </c>
      <c r="R54" s="147">
        <f t="shared" si="25"/>
        <v>29.61933586058891</v>
      </c>
      <c r="S54" s="63">
        <f t="shared" si="25"/>
        <v>30.063625898497744</v>
      </c>
      <c r="T54" s="63">
        <f t="shared" si="25"/>
        <v>30.514580286975207</v>
      </c>
      <c r="U54" s="147">
        <f t="shared" si="25"/>
        <v>30.972298991279832</v>
      </c>
      <c r="V54" s="63">
        <f t="shared" si="25"/>
        <v>31.436883476149028</v>
      </c>
      <c r="W54" s="63">
        <f t="shared" si="25"/>
        <v>31.90843672829126</v>
      </c>
      <c r="X54" s="63">
        <f t="shared" si="25"/>
        <v>32.387063279215624</v>
      </c>
      <c r="Y54" s="63">
        <f t="shared" si="25"/>
        <v>32.87286922840386</v>
      </c>
      <c r="Z54" s="63">
        <f t="shared" si="25"/>
        <v>33.36596226682991</v>
      </c>
      <c r="AA54" s="63">
        <f t="shared" si="25"/>
        <v>33.86645170083236</v>
      </c>
      <c r="AB54" s="63">
        <f t="shared" si="25"/>
        <v>34.37444847634484</v>
      </c>
      <c r="AC54" s="63">
        <f t="shared" si="25"/>
        <v>34.89006520349001</v>
      </c>
      <c r="AD54" s="63">
        <f t="shared" si="25"/>
        <v>35.41341618154236</v>
      </c>
      <c r="AE54" s="63">
        <f t="shared" si="25"/>
        <v>35.94461742426549</v>
      </c>
      <c r="AF54" s="63">
        <f t="shared" si="25"/>
        <v>36.48378668562947</v>
      </c>
      <c r="AG54" s="63">
        <f t="shared" si="25"/>
        <v>37.031043485913905</v>
      </c>
      <c r="AH54" s="63">
        <f t="shared" si="25"/>
        <v>37.586509138202615</v>
      </c>
      <c r="AI54" s="63">
        <f t="shared" si="25"/>
        <v>38.15030677527565</v>
      </c>
      <c r="AJ54" s="63">
        <f t="shared" si="25"/>
        <v>38.722561376904785</v>
      </c>
      <c r="AK54" s="63">
        <f t="shared" si="25"/>
        <v>39.303399797558356</v>
      </c>
      <c r="AP54" s="63">
        <f aca="true" t="shared" si="26" ref="AP54:BL54">AP42*$AN$47</f>
        <v>28.325474226804126</v>
      </c>
      <c r="AQ54" s="63">
        <f t="shared" si="26"/>
        <v>28.750356340206185</v>
      </c>
      <c r="AR54" s="63">
        <f t="shared" si="26"/>
        <v>29.181611685309274</v>
      </c>
      <c r="AS54" s="63">
        <f t="shared" si="26"/>
        <v>29.61933586058891</v>
      </c>
      <c r="AT54" s="63">
        <f t="shared" si="26"/>
        <v>30.041411396602307</v>
      </c>
      <c r="AU54" s="63">
        <f t="shared" si="26"/>
        <v>30.469501509003894</v>
      </c>
      <c r="AV54" s="147">
        <f t="shared" si="26"/>
        <v>30.903691905507202</v>
      </c>
      <c r="AW54" s="63">
        <f t="shared" si="26"/>
        <v>31.344069515160687</v>
      </c>
      <c r="AX54" s="63">
        <f t="shared" si="26"/>
        <v>31.790722505751727</v>
      </c>
      <c r="AY54" s="63">
        <f t="shared" si="26"/>
        <v>32.24374030145869</v>
      </c>
      <c r="AZ54" s="63">
        <f t="shared" si="26"/>
        <v>32.70321360075448</v>
      </c>
      <c r="BA54" s="63">
        <f t="shared" si="26"/>
        <v>33.16923439456524</v>
      </c>
      <c r="BB54" s="63">
        <f t="shared" si="26"/>
        <v>33.64189598468779</v>
      </c>
      <c r="BC54" s="63">
        <f t="shared" si="26"/>
        <v>34.1212930024696</v>
      </c>
      <c r="BD54" s="63">
        <f t="shared" si="26"/>
        <v>34.60752142775479</v>
      </c>
      <c r="BE54" s="63">
        <f t="shared" si="26"/>
        <v>35.1006786081003</v>
      </c>
      <c r="BF54" s="63">
        <f t="shared" si="26"/>
        <v>35.600863278265734</v>
      </c>
      <c r="BG54" s="63">
        <f t="shared" si="26"/>
        <v>36.10817557998102</v>
      </c>
      <c r="BH54" s="63">
        <f t="shared" si="26"/>
        <v>36.62271708199576</v>
      </c>
      <c r="BI54" s="63">
        <f t="shared" si="26"/>
        <v>37.1445908004142</v>
      </c>
      <c r="BJ54" s="63">
        <f t="shared" si="26"/>
        <v>37.67390121932011</v>
      </c>
      <c r="BK54" s="63">
        <f t="shared" si="26"/>
        <v>38.210754311695425</v>
      </c>
      <c r="BL54" s="63">
        <f t="shared" si="26"/>
        <v>38.75525756063709</v>
      </c>
    </row>
    <row r="55" spans="4:64" ht="12.75">
      <c r="D55" s="67" t="s">
        <v>84</v>
      </c>
      <c r="E55" s="67"/>
      <c r="L55" s="64" t="s">
        <v>184</v>
      </c>
      <c r="M55" s="66"/>
      <c r="O55" s="63">
        <f aca="true" t="shared" si="27" ref="O55:AK55">O43*$M$47</f>
        <v>18.837422680412367</v>
      </c>
      <c r="P55" s="63">
        <f t="shared" si="27"/>
        <v>19.119984020618553</v>
      </c>
      <c r="Q55" s="63">
        <f t="shared" si="27"/>
        <v>19.406783780927828</v>
      </c>
      <c r="R55" s="147">
        <f t="shared" si="27"/>
        <v>19.697885537641746</v>
      </c>
      <c r="S55" s="63">
        <f t="shared" si="27"/>
        <v>19.993353820706368</v>
      </c>
      <c r="T55" s="63">
        <f t="shared" si="27"/>
        <v>20.29325412801696</v>
      </c>
      <c r="U55" s="147">
        <f t="shared" si="27"/>
        <v>20.597652939937213</v>
      </c>
      <c r="V55" s="63">
        <f t="shared" si="27"/>
        <v>20.90661773403627</v>
      </c>
      <c r="W55" s="63">
        <f t="shared" si="27"/>
        <v>21.220217000046812</v>
      </c>
      <c r="X55" s="63">
        <f t="shared" si="27"/>
        <v>21.538520255047516</v>
      </c>
      <c r="Y55" s="63">
        <f t="shared" si="27"/>
        <v>21.861598058873227</v>
      </c>
      <c r="Z55" s="63">
        <f t="shared" si="27"/>
        <v>22.189522029756322</v>
      </c>
      <c r="AA55" s="63">
        <f t="shared" si="27"/>
        <v>22.522364860202664</v>
      </c>
      <c r="AB55" s="63">
        <f t="shared" si="27"/>
        <v>22.860200333105706</v>
      </c>
      <c r="AC55" s="63">
        <f t="shared" si="27"/>
        <v>23.203103338102288</v>
      </c>
      <c r="AD55" s="63">
        <f t="shared" si="27"/>
        <v>23.55114988817382</v>
      </c>
      <c r="AE55" s="63">
        <f t="shared" si="27"/>
        <v>23.904417136496427</v>
      </c>
      <c r="AF55" s="63">
        <f t="shared" si="27"/>
        <v>24.262983393543866</v>
      </c>
      <c r="AG55" s="63">
        <f t="shared" si="27"/>
        <v>24.626928144447024</v>
      </c>
      <c r="AH55" s="63">
        <f t="shared" si="27"/>
        <v>24.99633206661373</v>
      </c>
      <c r="AI55" s="63">
        <f t="shared" si="27"/>
        <v>25.371277047612935</v>
      </c>
      <c r="AJ55" s="63">
        <f t="shared" si="27"/>
        <v>25.751846203327126</v>
      </c>
      <c r="AK55" s="63">
        <f t="shared" si="27"/>
        <v>26.138123896377028</v>
      </c>
      <c r="AP55" s="63">
        <f aca="true" t="shared" si="28" ref="AP55:BL55">AP43*$AN$47</f>
        <v>18.837422680412367</v>
      </c>
      <c r="AQ55" s="63">
        <f t="shared" si="28"/>
        <v>19.119984020618553</v>
      </c>
      <c r="AR55" s="63">
        <f t="shared" si="28"/>
        <v>19.406783780927828</v>
      </c>
      <c r="AS55" s="63">
        <f t="shared" si="28"/>
        <v>19.697885537641746</v>
      </c>
      <c r="AT55" s="63">
        <f t="shared" si="28"/>
        <v>19.978580406553142</v>
      </c>
      <c r="AU55" s="63">
        <f t="shared" si="28"/>
        <v>20.26327517734653</v>
      </c>
      <c r="AV55" s="147">
        <f t="shared" si="28"/>
        <v>20.55202684862372</v>
      </c>
      <c r="AW55" s="63">
        <f t="shared" si="28"/>
        <v>20.844893231216606</v>
      </c>
      <c r="AX55" s="63">
        <f t="shared" si="28"/>
        <v>21.14193295976144</v>
      </c>
      <c r="AY55" s="63">
        <f t="shared" si="28"/>
        <v>21.443205504438048</v>
      </c>
      <c r="AZ55" s="63">
        <f t="shared" si="28"/>
        <v>21.74877118287629</v>
      </c>
      <c r="BA55" s="63">
        <f t="shared" si="28"/>
        <v>22.058691172232276</v>
      </c>
      <c r="BB55" s="63">
        <f t="shared" si="28"/>
        <v>22.37302752143659</v>
      </c>
      <c r="BC55" s="63">
        <f t="shared" si="28"/>
        <v>22.691843163617065</v>
      </c>
      <c r="BD55" s="63">
        <f t="shared" si="28"/>
        <v>23.01520192869861</v>
      </c>
      <c r="BE55" s="63">
        <f t="shared" si="28"/>
        <v>23.343168556182565</v>
      </c>
      <c r="BF55" s="63">
        <f t="shared" si="28"/>
        <v>23.67580870810817</v>
      </c>
      <c r="BG55" s="63">
        <f t="shared" si="28"/>
        <v>24.013188982198713</v>
      </c>
      <c r="BH55" s="63">
        <f t="shared" si="28"/>
        <v>24.355376925195046</v>
      </c>
      <c r="BI55" s="63">
        <f t="shared" si="28"/>
        <v>24.702441046379075</v>
      </c>
      <c r="BJ55" s="63">
        <f t="shared" si="28"/>
        <v>25.05445083128998</v>
      </c>
      <c r="BK55" s="63">
        <f t="shared" si="28"/>
        <v>25.411476755635867</v>
      </c>
      <c r="BL55" s="63">
        <f t="shared" si="28"/>
        <v>25.77359029940368</v>
      </c>
    </row>
    <row r="56" spans="4:64" ht="12.75">
      <c r="D56" s="67" t="s">
        <v>190</v>
      </c>
      <c r="E56" s="67"/>
      <c r="L56" s="64" t="s">
        <v>184</v>
      </c>
      <c r="M56" s="66"/>
      <c r="O56" s="63">
        <f aca="true" t="shared" si="29" ref="O56:AK56">O44*$M$47</f>
        <v>18.20180412371134</v>
      </c>
      <c r="P56" s="63">
        <f t="shared" si="29"/>
        <v>18.474831185567005</v>
      </c>
      <c r="Q56" s="63">
        <f t="shared" si="29"/>
        <v>18.751953653350512</v>
      </c>
      <c r="R56" s="147">
        <f t="shared" si="29"/>
        <v>19.033232958150766</v>
      </c>
      <c r="S56" s="63">
        <f>S44*$M$47</f>
        <v>19.318731452523025</v>
      </c>
      <c r="T56" s="63">
        <f t="shared" si="29"/>
        <v>19.608512424310867</v>
      </c>
      <c r="U56" s="147">
        <f t="shared" si="29"/>
        <v>19.902640110675527</v>
      </c>
      <c r="V56" s="63">
        <f t="shared" si="29"/>
        <v>20.201179712335655</v>
      </c>
      <c r="W56" s="63">
        <f t="shared" si="29"/>
        <v>20.50419740802069</v>
      </c>
      <c r="X56" s="63">
        <f t="shared" si="29"/>
        <v>20.811760369141</v>
      </c>
      <c r="Y56" s="63">
        <f t="shared" si="29"/>
        <v>21.123936774678114</v>
      </c>
      <c r="Z56" s="63">
        <f t="shared" si="29"/>
        <v>21.440795826298285</v>
      </c>
      <c r="AA56" s="63">
        <f t="shared" si="29"/>
        <v>21.762407763692757</v>
      </c>
      <c r="AB56" s="63">
        <f t="shared" si="29"/>
        <v>22.088843880148147</v>
      </c>
      <c r="AC56" s="63">
        <f t="shared" si="29"/>
        <v>22.420176538350365</v>
      </c>
      <c r="AD56" s="63">
        <f t="shared" si="29"/>
        <v>22.75647918642562</v>
      </c>
      <c r="AE56" s="63">
        <f t="shared" si="29"/>
        <v>23.097826374222</v>
      </c>
      <c r="AF56" s="63">
        <f t="shared" si="29"/>
        <v>23.44429376983533</v>
      </c>
      <c r="AG56" s="63">
        <f t="shared" si="29"/>
        <v>23.795958176382854</v>
      </c>
      <c r="AH56" s="63">
        <f t="shared" si="29"/>
        <v>24.152897549028594</v>
      </c>
      <c r="AI56" s="63">
        <f t="shared" si="29"/>
        <v>24.515191012264022</v>
      </c>
      <c r="AJ56" s="63">
        <f t="shared" si="29"/>
        <v>24.88291887744798</v>
      </c>
      <c r="AK56" s="63">
        <f t="shared" si="29"/>
        <v>25.256162660609697</v>
      </c>
      <c r="AP56" s="63">
        <f aca="true" t="shared" si="30" ref="AP56:BL56">AP44*$AN$47</f>
        <v>18.20180412371134</v>
      </c>
      <c r="AQ56" s="63">
        <f t="shared" si="30"/>
        <v>18.474831185567005</v>
      </c>
      <c r="AR56" s="63">
        <f t="shared" si="30"/>
        <v>18.751953653350512</v>
      </c>
      <c r="AS56" s="63">
        <f t="shared" si="30"/>
        <v>19.033232958150766</v>
      </c>
      <c r="AT56" s="63">
        <f t="shared" si="30"/>
        <v>19.304456527804415</v>
      </c>
      <c r="AU56" s="63">
        <f t="shared" si="30"/>
        <v>19.579545033325626</v>
      </c>
      <c r="AV56" s="147">
        <f t="shared" si="30"/>
        <v>19.85855355005052</v>
      </c>
      <c r="AW56" s="63">
        <f t="shared" si="30"/>
        <v>20.14153793813874</v>
      </c>
      <c r="AX56" s="63">
        <f t="shared" si="30"/>
        <v>20.42855485375722</v>
      </c>
      <c r="AY56" s="63">
        <f t="shared" si="30"/>
        <v>20.719661760423264</v>
      </c>
      <c r="AZ56" s="63">
        <f t="shared" si="30"/>
        <v>21.014916940509295</v>
      </c>
      <c r="BA56" s="63">
        <f t="shared" si="30"/>
        <v>21.314379506911557</v>
      </c>
      <c r="BB56" s="63">
        <f t="shared" si="30"/>
        <v>21.618109414885048</v>
      </c>
      <c r="BC56" s="63">
        <f t="shared" si="30"/>
        <v>21.926167474047162</v>
      </c>
      <c r="BD56" s="63">
        <f t="shared" si="30"/>
        <v>22.238615360552338</v>
      </c>
      <c r="BE56" s="63">
        <f t="shared" si="30"/>
        <v>22.555515629440208</v>
      </c>
      <c r="BF56" s="63">
        <f t="shared" si="30"/>
        <v>22.876931727159736</v>
      </c>
      <c r="BG56" s="63">
        <f t="shared" si="30"/>
        <v>23.202928004271765</v>
      </c>
      <c r="BH56" s="63">
        <f t="shared" si="30"/>
        <v>23.533569728332637</v>
      </c>
      <c r="BI56" s="63">
        <f t="shared" si="30"/>
        <v>23.86892309696138</v>
      </c>
      <c r="BJ56" s="63">
        <f t="shared" si="30"/>
        <v>24.209055251093083</v>
      </c>
      <c r="BK56" s="63">
        <f t="shared" si="30"/>
        <v>24.55403428842116</v>
      </c>
      <c r="BL56" s="63">
        <f t="shared" si="30"/>
        <v>24.903929277031168</v>
      </c>
    </row>
    <row r="57" spans="4:37" ht="12.75">
      <c r="D57" s="67"/>
      <c r="E57" s="67"/>
      <c r="L57" s="64"/>
      <c r="M57" s="66"/>
      <c r="O57" s="63"/>
      <c r="P57" s="63"/>
      <c r="Q57" s="63"/>
      <c r="R57" s="147"/>
      <c r="S57" s="63"/>
      <c r="T57" s="63"/>
      <c r="U57" s="147"/>
      <c r="V57" s="63"/>
      <c r="W57" s="63"/>
      <c r="X57" s="63"/>
      <c r="Y57" s="63"/>
      <c r="Z57" s="63"/>
      <c r="AA57" s="63"/>
      <c r="AB57" s="63"/>
      <c r="AC57" s="63"/>
      <c r="AD57" s="63"/>
      <c r="AE57" s="63"/>
      <c r="AF57" s="63"/>
      <c r="AG57" s="63"/>
      <c r="AH57" s="63"/>
      <c r="AI57" s="63"/>
      <c r="AJ57" s="63"/>
      <c r="AK57" s="63"/>
    </row>
    <row r="58" spans="3:37" ht="12.75">
      <c r="C58" t="s">
        <v>248</v>
      </c>
      <c r="D58" s="67"/>
      <c r="E58" s="67"/>
      <c r="L58" s="64"/>
      <c r="M58" s="66" t="s">
        <v>247</v>
      </c>
      <c r="N58" s="66"/>
      <c r="O58" s="63"/>
      <c r="P58" s="63"/>
      <c r="Q58" s="63"/>
      <c r="R58" s="147"/>
      <c r="S58" s="63"/>
      <c r="T58" s="63"/>
      <c r="U58" s="147"/>
      <c r="V58" s="63"/>
      <c r="W58" s="63"/>
      <c r="X58" s="63"/>
      <c r="Y58" s="63"/>
      <c r="Z58" s="63"/>
      <c r="AA58" s="63"/>
      <c r="AB58" s="63"/>
      <c r="AC58" s="63"/>
      <c r="AD58" s="63"/>
      <c r="AE58" s="63"/>
      <c r="AF58" s="63"/>
      <c r="AG58" s="63"/>
      <c r="AH58" s="63"/>
      <c r="AI58" s="63"/>
      <c r="AJ58" s="63"/>
      <c r="AK58" s="63"/>
    </row>
    <row r="59" spans="4:64" ht="12.75">
      <c r="D59" s="67" t="s">
        <v>233</v>
      </c>
      <c r="E59" s="67"/>
      <c r="L59" s="64" t="s">
        <v>64</v>
      </c>
      <c r="M59" s="63">
        <f>'Data tables'!R61</f>
        <v>56520</v>
      </c>
      <c r="N59" s="75">
        <f aca="true" t="shared" si="31" ref="N59:N68">M59/$M$68</f>
        <v>0.5622481969659289</v>
      </c>
      <c r="O59" s="63"/>
      <c r="P59" s="63">
        <f>$N59*P$29</f>
        <v>20789.12708281522</v>
      </c>
      <c r="Q59" s="63">
        <f aca="true" t="shared" si="32" ref="P59:Y67">$N59*Q$29</f>
        <v>23394.45318911437</v>
      </c>
      <c r="R59" s="147">
        <f t="shared" si="32"/>
        <v>25757.4839675277</v>
      </c>
      <c r="S59" s="63">
        <f t="shared" si="32"/>
        <v>29587.497474446376</v>
      </c>
      <c r="T59" s="63">
        <f t="shared" si="32"/>
        <v>41943.50166268868</v>
      </c>
      <c r="U59" s="147">
        <f t="shared" si="32"/>
        <v>53827.12723857107</v>
      </c>
      <c r="V59" s="63">
        <f t="shared" si="32"/>
        <v>65546.77911761736</v>
      </c>
      <c r="W59" s="63">
        <f t="shared" si="32"/>
        <v>77117.70685363332</v>
      </c>
      <c r="X59" s="63">
        <f t="shared" si="32"/>
        <v>78433.27424653403</v>
      </c>
      <c r="Y59" s="63">
        <f t="shared" si="32"/>
        <v>79626.49387189497</v>
      </c>
      <c r="Z59" s="63">
        <f aca="true" t="shared" si="33" ref="Z59:AK67">$N59*Z$29</f>
        <v>80708.74407209737</v>
      </c>
      <c r="AA59" s="63">
        <f t="shared" si="33"/>
        <v>81690.34500368092</v>
      </c>
      <c r="AB59" s="63">
        <f t="shared" si="33"/>
        <v>82580.65704862721</v>
      </c>
      <c r="AC59" s="63">
        <f t="shared" si="33"/>
        <v>83388.1700733935</v>
      </c>
      <c r="AD59" s="63">
        <f t="shared" si="33"/>
        <v>84120.58438685651</v>
      </c>
      <c r="AE59" s="63">
        <f t="shared" si="33"/>
        <v>84784.88416916748</v>
      </c>
      <c r="AF59" s="63">
        <f t="shared" si="33"/>
        <v>85387.4040717235</v>
      </c>
      <c r="AG59" s="63">
        <f t="shared" si="33"/>
        <v>85933.88962334183</v>
      </c>
      <c r="AH59" s="63">
        <f t="shared" si="33"/>
        <v>86429.55201865966</v>
      </c>
      <c r="AI59" s="63">
        <f t="shared" si="33"/>
        <v>86879.11781121293</v>
      </c>
      <c r="AJ59" s="63">
        <f t="shared" si="33"/>
        <v>87286.87398505873</v>
      </c>
      <c r="AK59" s="63">
        <f t="shared" si="33"/>
        <v>87656.70883473688</v>
      </c>
      <c r="AQ59" s="63">
        <f aca="true" t="shared" si="34" ref="AQ59:AQ67">$N59*AQ$29</f>
        <v>20789.12708281522</v>
      </c>
      <c r="AR59" s="63">
        <f aca="true" t="shared" si="35" ref="AR59:BG67">$N59*AR$29</f>
        <v>23394.45318911437</v>
      </c>
      <c r="AS59" s="63">
        <f t="shared" si="35"/>
        <v>25757.4839675277</v>
      </c>
      <c r="AT59" s="63">
        <f>$N59*AT$29</f>
        <v>27364.935654543366</v>
      </c>
      <c r="AU59" s="63">
        <f t="shared" si="35"/>
        <v>28822.89433466658</v>
      </c>
      <c r="AV59" s="147">
        <f t="shared" si="35"/>
        <v>30145.26285753833</v>
      </c>
      <c r="AW59" s="63">
        <f t="shared" si="35"/>
        <v>31344.65110778301</v>
      </c>
      <c r="AX59" s="63">
        <f t="shared" si="35"/>
        <v>32432.49625075493</v>
      </c>
      <c r="AY59" s="63">
        <f t="shared" si="35"/>
        <v>33419.17179543047</v>
      </c>
      <c r="AZ59" s="63">
        <f t="shared" si="35"/>
        <v>34314.08651445118</v>
      </c>
      <c r="BA59" s="63">
        <f t="shared" si="35"/>
        <v>35125.77416460296</v>
      </c>
      <c r="BB59" s="63">
        <f t="shared" si="35"/>
        <v>35861.974863290634</v>
      </c>
      <c r="BC59" s="63">
        <f t="shared" si="35"/>
        <v>36529.708897000346</v>
      </c>
      <c r="BD59" s="63">
        <f t="shared" si="35"/>
        <v>37135.343665575056</v>
      </c>
      <c r="BE59" s="63">
        <f t="shared" si="35"/>
        <v>37684.65440067232</v>
      </c>
      <c r="BF59" s="63">
        <f t="shared" si="35"/>
        <v>38182.879237405534</v>
      </c>
      <c r="BG59" s="63">
        <f t="shared" si="35"/>
        <v>38634.76916432256</v>
      </c>
      <c r="BH59" s="63">
        <f aca="true" t="shared" si="36" ref="BH59:BL67">$N59*BH$29</f>
        <v>39044.63332803631</v>
      </c>
      <c r="BI59" s="63">
        <f t="shared" si="36"/>
        <v>39416.38012452467</v>
      </c>
      <c r="BJ59" s="63">
        <f t="shared" si="36"/>
        <v>39753.55446893962</v>
      </c>
      <c r="BK59" s="63">
        <f t="shared" si="36"/>
        <v>40059.371599323975</v>
      </c>
      <c r="BL59" s="63">
        <f t="shared" si="36"/>
        <v>40336.74773658259</v>
      </c>
    </row>
    <row r="60" spans="4:64" ht="12.75">
      <c r="D60" s="67" t="s">
        <v>73</v>
      </c>
      <c r="E60" s="67"/>
      <c r="L60" s="64" t="s">
        <v>64</v>
      </c>
      <c r="M60" s="63">
        <f>'Data tables'!R39</f>
        <v>5660</v>
      </c>
      <c r="N60" s="75">
        <f t="shared" si="31"/>
        <v>0.05630440189007709</v>
      </c>
      <c r="O60" s="63"/>
      <c r="P60" s="63">
        <f t="shared" si="32"/>
        <v>2081.8552598856004</v>
      </c>
      <c r="Q60" s="63">
        <f t="shared" si="32"/>
        <v>2342.7566357110286</v>
      </c>
      <c r="R60" s="147">
        <f t="shared" si="32"/>
        <v>2579.3941835846917</v>
      </c>
      <c r="S60" s="63">
        <f t="shared" si="32"/>
        <v>2962.9376451763355</v>
      </c>
      <c r="T60" s="63">
        <f t="shared" si="32"/>
        <v>4200.286967636552</v>
      </c>
      <c r="U60" s="147">
        <f t="shared" si="32"/>
        <v>5390.331567061434</v>
      </c>
      <c r="V60" s="63">
        <f t="shared" si="32"/>
        <v>6563.95558750379</v>
      </c>
      <c r="W60" s="63">
        <f t="shared" si="32"/>
        <v>7722.686142808999</v>
      </c>
      <c r="X60" s="63">
        <f t="shared" si="32"/>
        <v>7854.429091213422</v>
      </c>
      <c r="Y60" s="63">
        <f t="shared" si="32"/>
        <v>7973.9199454162335</v>
      </c>
      <c r="Z60" s="63">
        <f t="shared" si="33"/>
        <v>8082.298150178185</v>
      </c>
      <c r="AA60" s="63">
        <f t="shared" si="33"/>
        <v>8180.597181897275</v>
      </c>
      <c r="AB60" s="63">
        <f t="shared" si="33"/>
        <v>8269.75440366649</v>
      </c>
      <c r="AC60" s="63">
        <f t="shared" si="33"/>
        <v>8350.620003811167</v>
      </c>
      <c r="AD60" s="63">
        <f t="shared" si="33"/>
        <v>8423.96510314239</v>
      </c>
      <c r="AE60" s="63">
        <f t="shared" si="33"/>
        <v>8490.489108235808</v>
      </c>
      <c r="AF60" s="63">
        <f t="shared" si="33"/>
        <v>8550.826380855538</v>
      </c>
      <c r="AG60" s="63">
        <f t="shared" si="33"/>
        <v>8605.552287121634</v>
      </c>
      <c r="AH60" s="63">
        <f t="shared" si="33"/>
        <v>8655.188684104984</v>
      </c>
      <c r="AI60" s="63">
        <f t="shared" si="33"/>
        <v>8700.20889616888</v>
      </c>
      <c r="AJ60" s="63">
        <f t="shared" si="33"/>
        <v>8741.042228510836</v>
      </c>
      <c r="AK60" s="63">
        <f t="shared" si="33"/>
        <v>8778.078060944988</v>
      </c>
      <c r="AQ60" s="63">
        <f t="shared" si="34"/>
        <v>2081.8552598856004</v>
      </c>
      <c r="AR60" s="63">
        <f t="shared" si="35"/>
        <v>2342.7566357110286</v>
      </c>
      <c r="AS60" s="63">
        <f t="shared" si="35"/>
        <v>2579.3941835846917</v>
      </c>
      <c r="AT60" s="63">
        <f t="shared" si="35"/>
        <v>2740.366875525751</v>
      </c>
      <c r="AU60" s="63">
        <f t="shared" si="35"/>
        <v>2886.369107116292</v>
      </c>
      <c r="AV60" s="147">
        <f t="shared" si="35"/>
        <v>3018.7931311689126</v>
      </c>
      <c r="AW60" s="63">
        <f t="shared" si="35"/>
        <v>3138.9017209846397</v>
      </c>
      <c r="AX60" s="63">
        <f t="shared" si="35"/>
        <v>3247.840211947504</v>
      </c>
      <c r="AY60" s="63">
        <f t="shared" si="35"/>
        <v>3346.6474232508217</v>
      </c>
      <c r="AZ60" s="63">
        <f t="shared" si="35"/>
        <v>3436.265563902931</v>
      </c>
      <c r="BA60" s="63">
        <f t="shared" si="35"/>
        <v>3517.549217474394</v>
      </c>
      <c r="BB60" s="63">
        <f t="shared" si="35"/>
        <v>3591.273491263711</v>
      </c>
      <c r="BC60" s="63">
        <f t="shared" si="35"/>
        <v>3658.141407590622</v>
      </c>
      <c r="BD60" s="63">
        <f t="shared" si="35"/>
        <v>3718.79060769913</v>
      </c>
      <c r="BE60" s="63">
        <f t="shared" si="35"/>
        <v>3773.7994321975466</v>
      </c>
      <c r="BF60" s="63">
        <f t="shared" si="35"/>
        <v>3823.6924360176104</v>
      </c>
      <c r="BG60" s="63">
        <f t="shared" si="35"/>
        <v>3868.945390482408</v>
      </c>
      <c r="BH60" s="63">
        <f t="shared" si="36"/>
        <v>3909.9898201819797</v>
      </c>
      <c r="BI60" s="63">
        <f t="shared" si="36"/>
        <v>3947.217117919491</v>
      </c>
      <c r="BJ60" s="63">
        <f t="shared" si="36"/>
        <v>3980.982276967414</v>
      </c>
      <c r="BK60" s="63">
        <f t="shared" si="36"/>
        <v>4011.60727622388</v>
      </c>
      <c r="BL60" s="63">
        <f t="shared" si="36"/>
        <v>4039.3841505494947</v>
      </c>
    </row>
    <row r="61" spans="4:64" ht="12.75">
      <c r="D61" s="67" t="s">
        <v>72</v>
      </c>
      <c r="E61" s="67"/>
      <c r="L61" s="64" t="s">
        <v>64</v>
      </c>
      <c r="M61" s="63">
        <f>'Data tables'!R42</f>
        <v>7140</v>
      </c>
      <c r="N61" s="75">
        <f t="shared" si="31"/>
        <v>0.07102710768465556</v>
      </c>
      <c r="O61" s="63"/>
      <c r="P61" s="63">
        <f t="shared" si="32"/>
        <v>2626.2273066401394</v>
      </c>
      <c r="Q61" s="63">
        <f t="shared" si="32"/>
        <v>2955.3502436354675</v>
      </c>
      <c r="R61" s="147">
        <f t="shared" si="32"/>
        <v>3253.8647474902295</v>
      </c>
      <c r="S61" s="63">
        <f t="shared" si="32"/>
        <v>3737.698725540466</v>
      </c>
      <c r="T61" s="63">
        <f t="shared" si="32"/>
        <v>5298.595220658124</v>
      </c>
      <c r="U61" s="147">
        <f t="shared" si="32"/>
        <v>6799.817559861951</v>
      </c>
      <c r="V61" s="63">
        <f t="shared" si="32"/>
        <v>8280.325599783935</v>
      </c>
      <c r="W61" s="63">
        <f t="shared" si="32"/>
        <v>9742.045770257288</v>
      </c>
      <c r="X61" s="63">
        <f t="shared" si="32"/>
        <v>9908.237404816933</v>
      </c>
      <c r="Y61" s="63">
        <f t="shared" si="32"/>
        <v>10058.973217362529</v>
      </c>
      <c r="Z61" s="63">
        <f t="shared" si="33"/>
        <v>10195.690599341387</v>
      </c>
      <c r="AA61" s="63">
        <f t="shared" si="33"/>
        <v>10319.69326479621</v>
      </c>
      <c r="AB61" s="63">
        <f t="shared" si="33"/>
        <v>10432.163682363735</v>
      </c>
      <c r="AC61" s="63">
        <f t="shared" si="33"/>
        <v>10534.174351097481</v>
      </c>
      <c r="AD61" s="63">
        <f t="shared" si="33"/>
        <v>10626.698027638986</v>
      </c>
      <c r="AE61" s="63">
        <f t="shared" si="33"/>
        <v>10710.617002262134</v>
      </c>
      <c r="AF61" s="63">
        <f t="shared" si="33"/>
        <v>10786.731512245327</v>
      </c>
      <c r="AG61" s="63">
        <f t="shared" si="33"/>
        <v>10855.767372800085</v>
      </c>
      <c r="AH61" s="63">
        <f t="shared" si="33"/>
        <v>10918.382898323247</v>
      </c>
      <c r="AI61" s="63">
        <f t="shared" si="33"/>
        <v>10975.175179972757</v>
      </c>
      <c r="AJ61" s="63">
        <f t="shared" si="33"/>
        <v>11026.685779428864</v>
      </c>
      <c r="AK61" s="63">
        <f t="shared" si="33"/>
        <v>11073.405893135552</v>
      </c>
      <c r="AQ61" s="63">
        <f t="shared" si="34"/>
        <v>2626.2273066401394</v>
      </c>
      <c r="AR61" s="63">
        <f t="shared" si="35"/>
        <v>2955.3502436354675</v>
      </c>
      <c r="AS61" s="63">
        <f t="shared" si="35"/>
        <v>3253.8647474902295</v>
      </c>
      <c r="AT61" s="63">
        <f t="shared" si="35"/>
        <v>3456.9292387374317</v>
      </c>
      <c r="AU61" s="63">
        <f t="shared" si="35"/>
        <v>3641.108732298644</v>
      </c>
      <c r="AV61" s="147">
        <f t="shared" si="35"/>
        <v>3808.159532958664</v>
      </c>
      <c r="AW61" s="63">
        <f t="shared" si="35"/>
        <v>3959.674609157302</v>
      </c>
      <c r="AX61" s="63">
        <f t="shared" si="35"/>
        <v>4097.098783269466</v>
      </c>
      <c r="AY61" s="63">
        <f t="shared" si="35"/>
        <v>4221.742509189199</v>
      </c>
      <c r="AZ61" s="63">
        <f t="shared" si="35"/>
        <v>4334.794368598397</v>
      </c>
      <c r="BA61" s="63">
        <f t="shared" si="35"/>
        <v>4437.33240508254</v>
      </c>
      <c r="BB61" s="63">
        <f t="shared" si="35"/>
        <v>4530.334404173657</v>
      </c>
      <c r="BC61" s="63">
        <f t="shared" si="35"/>
        <v>4614.687217349301</v>
      </c>
      <c r="BD61" s="63">
        <f t="shared" si="35"/>
        <v>4691.195218899609</v>
      </c>
      <c r="BE61" s="63">
        <f t="shared" si="35"/>
        <v>4760.587976305739</v>
      </c>
      <c r="BF61" s="63">
        <f t="shared" si="35"/>
        <v>4823.527207273099</v>
      </c>
      <c r="BG61" s="63">
        <f t="shared" si="35"/>
        <v>4880.613089760494</v>
      </c>
      <c r="BH61" s="63">
        <f t="shared" si="36"/>
        <v>4932.389985176562</v>
      </c>
      <c r="BI61" s="63">
        <f t="shared" si="36"/>
        <v>4979.351629318934</v>
      </c>
      <c r="BJ61" s="63">
        <f t="shared" si="36"/>
        <v>5021.945840556067</v>
      </c>
      <c r="BK61" s="63">
        <f t="shared" si="36"/>
        <v>5060.578790148146</v>
      </c>
      <c r="BL61" s="63">
        <f t="shared" si="36"/>
        <v>5095.618875428162</v>
      </c>
    </row>
    <row r="62" spans="4:64" ht="12.75">
      <c r="D62" s="67" t="s">
        <v>85</v>
      </c>
      <c r="E62" s="67"/>
      <c r="L62" s="64" t="s">
        <v>64</v>
      </c>
      <c r="M62" s="63">
        <f>'Data tables'!R45</f>
        <v>3958</v>
      </c>
      <c r="N62" s="75">
        <f t="shared" si="31"/>
        <v>0.03937329022631186</v>
      </c>
      <c r="O62" s="63"/>
      <c r="P62" s="63">
        <f t="shared" si="32"/>
        <v>1455.827406117881</v>
      </c>
      <c r="Q62" s="63">
        <f t="shared" si="32"/>
        <v>1638.2739865979242</v>
      </c>
      <c r="R62" s="147">
        <f t="shared" si="32"/>
        <v>1803.7530350933234</v>
      </c>
      <c r="S62" s="63">
        <f t="shared" si="32"/>
        <v>2071.962402757586</v>
      </c>
      <c r="T62" s="63">
        <f t="shared" si="32"/>
        <v>2937.232476661745</v>
      </c>
      <c r="U62" s="147">
        <f t="shared" si="32"/>
        <v>3769.4226753408407</v>
      </c>
      <c r="V62" s="63">
        <f t="shared" si="32"/>
        <v>4590.130073381626</v>
      </c>
      <c r="W62" s="63">
        <f t="shared" si="32"/>
        <v>5400.422571243466</v>
      </c>
      <c r="X62" s="63">
        <f t="shared" si="32"/>
        <v>5492.549530569387</v>
      </c>
      <c r="Y62" s="63">
        <f t="shared" si="32"/>
        <v>5576.108682677996</v>
      </c>
      <c r="Z62" s="63">
        <f t="shared" si="33"/>
        <v>5651.896833640505</v>
      </c>
      <c r="AA62" s="63">
        <f t="shared" si="33"/>
        <v>5720.636686563501</v>
      </c>
      <c r="AB62" s="63">
        <f t="shared" si="33"/>
        <v>5782.983733164659</v>
      </c>
      <c r="AC62" s="63">
        <f t="shared" si="33"/>
        <v>5839.532504431909</v>
      </c>
      <c r="AD62" s="63">
        <f t="shared" si="33"/>
        <v>5890.822239971303</v>
      </c>
      <c r="AE62" s="63">
        <f t="shared" si="33"/>
        <v>5937.342030105536</v>
      </c>
      <c r="AF62" s="63">
        <f t="shared" si="33"/>
        <v>5979.535479757284</v>
      </c>
      <c r="AG62" s="63">
        <f t="shared" si="33"/>
        <v>6017.804938591419</v>
      </c>
      <c r="AH62" s="63">
        <f t="shared" si="33"/>
        <v>6052.51533775398</v>
      </c>
      <c r="AI62" s="63">
        <f t="shared" si="33"/>
        <v>6083.997669794422</v>
      </c>
      <c r="AJ62" s="63">
        <f t="shared" si="33"/>
        <v>6112.552144955104</v>
      </c>
      <c r="AK62" s="63">
        <f t="shared" si="33"/>
        <v>6138.451053925843</v>
      </c>
      <c r="AQ62" s="63">
        <f t="shared" si="34"/>
        <v>1455.827406117881</v>
      </c>
      <c r="AR62" s="63">
        <f t="shared" si="35"/>
        <v>1638.2739865979242</v>
      </c>
      <c r="AS62" s="63">
        <f t="shared" si="35"/>
        <v>1803.7530350933234</v>
      </c>
      <c r="AT62" s="63">
        <f t="shared" si="35"/>
        <v>1916.3201578323187</v>
      </c>
      <c r="AU62" s="63">
        <f t="shared" si="35"/>
        <v>2018.4185381565874</v>
      </c>
      <c r="AV62" s="147">
        <f t="shared" si="35"/>
        <v>2111.021769110699</v>
      </c>
      <c r="AW62" s="63">
        <f t="shared" si="35"/>
        <v>2195.0128995860787</v>
      </c>
      <c r="AX62" s="63">
        <f t="shared" si="35"/>
        <v>2271.1928549272475</v>
      </c>
      <c r="AY62" s="63">
        <f t="shared" si="35"/>
        <v>2340.2880744216877</v>
      </c>
      <c r="AZ62" s="63">
        <f t="shared" si="35"/>
        <v>2402.957438503145</v>
      </c>
      <c r="BA62" s="63">
        <f t="shared" si="35"/>
        <v>2459.798551725027</v>
      </c>
      <c r="BB62" s="63">
        <f t="shared" si="35"/>
        <v>2511.3534414172736</v>
      </c>
      <c r="BC62" s="63">
        <f t="shared" si="35"/>
        <v>2558.1137263681417</v>
      </c>
      <c r="BD62" s="63">
        <f t="shared" si="35"/>
        <v>2600.525304818579</v>
      </c>
      <c r="BE62" s="63">
        <f t="shared" si="35"/>
        <v>2638.9926064731253</v>
      </c>
      <c r="BF62" s="63">
        <f t="shared" si="35"/>
        <v>2673.882449073799</v>
      </c>
      <c r="BG62" s="63">
        <f t="shared" si="35"/>
        <v>2705.52753631261</v>
      </c>
      <c r="BH62" s="63">
        <f t="shared" si="36"/>
        <v>2734.2296304382116</v>
      </c>
      <c r="BI62" s="63">
        <f t="shared" si="36"/>
        <v>2760.262429810132</v>
      </c>
      <c r="BJ62" s="63">
        <f t="shared" si="36"/>
        <v>2783.874178840464</v>
      </c>
      <c r="BK62" s="63">
        <f t="shared" si="36"/>
        <v>2805.290035210975</v>
      </c>
      <c r="BL62" s="63">
        <f t="shared" si="36"/>
        <v>2824.7142169390286</v>
      </c>
    </row>
    <row r="63" spans="4:64" ht="12.75">
      <c r="D63" s="67" t="s">
        <v>81</v>
      </c>
      <c r="E63" s="67"/>
      <c r="L63" s="64" t="s">
        <v>64</v>
      </c>
      <c r="M63" s="63">
        <f>'Data tables'!R40</f>
        <v>7210</v>
      </c>
      <c r="N63" s="75">
        <f t="shared" si="31"/>
        <v>0.07172345187764238</v>
      </c>
      <c r="O63" s="63"/>
      <c r="P63" s="63">
        <f t="shared" si="32"/>
        <v>2651.974633175827</v>
      </c>
      <c r="Q63" s="63">
        <f t="shared" si="32"/>
        <v>2984.324265631894</v>
      </c>
      <c r="R63" s="147">
        <f t="shared" si="32"/>
        <v>3285.7653822695456</v>
      </c>
      <c r="S63" s="63">
        <f t="shared" si="32"/>
        <v>3774.3428306928236</v>
      </c>
      <c r="T63" s="63">
        <f t="shared" si="32"/>
        <v>5350.542232625361</v>
      </c>
      <c r="U63" s="147">
        <f t="shared" si="32"/>
        <v>6866.482437899814</v>
      </c>
      <c r="V63" s="63">
        <f t="shared" si="32"/>
        <v>8361.505262526915</v>
      </c>
      <c r="W63" s="63">
        <f t="shared" si="32"/>
        <v>9837.55602290687</v>
      </c>
      <c r="X63" s="63">
        <f t="shared" si="32"/>
        <v>10005.3769872171</v>
      </c>
      <c r="Y63" s="63">
        <f t="shared" si="32"/>
        <v>10157.590601846476</v>
      </c>
      <c r="Z63" s="63">
        <f t="shared" si="33"/>
        <v>10295.648350315323</v>
      </c>
      <c r="AA63" s="63">
        <f t="shared" si="33"/>
        <v>10420.866728176565</v>
      </c>
      <c r="AB63" s="63">
        <f t="shared" si="33"/>
        <v>10534.439796896713</v>
      </c>
      <c r="AC63" s="63">
        <f t="shared" si="33"/>
        <v>10637.450570225888</v>
      </c>
      <c r="AD63" s="63">
        <f t="shared" si="33"/>
        <v>10730.881341635448</v>
      </c>
      <c r="AE63" s="63">
        <f t="shared" si="33"/>
        <v>10815.623051303919</v>
      </c>
      <c r="AF63" s="63">
        <f t="shared" si="33"/>
        <v>10892.483781973222</v>
      </c>
      <c r="AG63" s="63">
        <f t="shared" si="33"/>
        <v>10962.196464690282</v>
      </c>
      <c r="AH63" s="63">
        <f t="shared" si="33"/>
        <v>11025.425867914653</v>
      </c>
      <c r="AI63" s="63">
        <f t="shared" si="33"/>
        <v>11082.774936639158</v>
      </c>
      <c r="AJ63" s="63">
        <f t="shared" si="33"/>
        <v>11134.790541972285</v>
      </c>
      <c r="AK63" s="63">
        <f t="shared" si="33"/>
        <v>11181.96869600943</v>
      </c>
      <c r="AQ63" s="63">
        <f t="shared" si="34"/>
        <v>2651.974633175827</v>
      </c>
      <c r="AR63" s="63">
        <f t="shared" si="35"/>
        <v>2984.324265631894</v>
      </c>
      <c r="AS63" s="63">
        <f t="shared" si="35"/>
        <v>3285.7653822695456</v>
      </c>
      <c r="AT63" s="63">
        <f t="shared" si="35"/>
        <v>3490.820701862309</v>
      </c>
      <c r="AU63" s="63">
        <f t="shared" si="35"/>
        <v>3676.805876732945</v>
      </c>
      <c r="AV63" s="147">
        <f t="shared" si="35"/>
        <v>3845.494430340612</v>
      </c>
      <c r="AW63" s="63">
        <f t="shared" si="35"/>
        <v>3998.494948462766</v>
      </c>
      <c r="AX63" s="63">
        <f t="shared" si="35"/>
        <v>4137.266418399559</v>
      </c>
      <c r="AY63" s="63">
        <f t="shared" si="35"/>
        <v>4263.132141632231</v>
      </c>
      <c r="AZ63" s="63">
        <f t="shared" si="35"/>
        <v>4377.292352604264</v>
      </c>
      <c r="BA63" s="63">
        <f t="shared" si="35"/>
        <v>4480.835663955899</v>
      </c>
      <c r="BB63" s="63">
        <f t="shared" si="35"/>
        <v>4574.749447351831</v>
      </c>
      <c r="BC63" s="63">
        <f t="shared" si="35"/>
        <v>4659.929248891941</v>
      </c>
      <c r="BD63" s="63">
        <f t="shared" si="35"/>
        <v>4737.187328888822</v>
      </c>
      <c r="BE63" s="63">
        <f t="shared" si="35"/>
        <v>4807.260407445991</v>
      </c>
      <c r="BF63" s="63">
        <f t="shared" si="35"/>
        <v>4870.816689697345</v>
      </c>
      <c r="BG63" s="63">
        <f t="shared" si="35"/>
        <v>4928.462237699323</v>
      </c>
      <c r="BH63" s="63">
        <f t="shared" si="36"/>
        <v>4980.746749737116</v>
      </c>
      <c r="BI63" s="63">
        <f t="shared" si="36"/>
        <v>5028.168802155395</v>
      </c>
      <c r="BJ63" s="63">
        <f t="shared" si="36"/>
        <v>5071.180603698774</v>
      </c>
      <c r="BK63" s="63">
        <f t="shared" si="36"/>
        <v>5110.192307698618</v>
      </c>
      <c r="BL63" s="63">
        <f t="shared" si="36"/>
        <v>5145.575923226477</v>
      </c>
    </row>
    <row r="64" spans="4:64" ht="12.75">
      <c r="D64" s="67" t="s">
        <v>82</v>
      </c>
      <c r="E64" s="67"/>
      <c r="L64" s="64" t="s">
        <v>64</v>
      </c>
      <c r="M64" s="63">
        <f>'Data tables'!R41</f>
        <v>1031</v>
      </c>
      <c r="N64" s="75">
        <f t="shared" si="31"/>
        <v>0.010256155185277295</v>
      </c>
      <c r="O64" s="63"/>
      <c r="P64" s="63">
        <f t="shared" si="32"/>
        <v>379.221337975628</v>
      </c>
      <c r="Q64" s="63">
        <f t="shared" si="32"/>
        <v>426.7459525473623</v>
      </c>
      <c r="R64" s="147">
        <f t="shared" si="32"/>
        <v>469.85077796392534</v>
      </c>
      <c r="S64" s="63">
        <f t="shared" si="32"/>
        <v>539.7153201725799</v>
      </c>
      <c r="T64" s="63">
        <f t="shared" si="32"/>
        <v>765.1052762602978</v>
      </c>
      <c r="U64" s="147">
        <f t="shared" si="32"/>
        <v>981.878417957657</v>
      </c>
      <c r="V64" s="63">
        <f t="shared" si="32"/>
        <v>1195.660461257316</v>
      </c>
      <c r="W64" s="63">
        <f t="shared" si="32"/>
        <v>1406.729578310261</v>
      </c>
      <c r="X64" s="63">
        <f t="shared" si="32"/>
        <v>1430.727277922445</v>
      </c>
      <c r="Y64" s="63">
        <f t="shared" si="32"/>
        <v>1452.4931914706958</v>
      </c>
      <c r="Z64" s="63">
        <f t="shared" si="33"/>
        <v>1472.2348750589595</v>
      </c>
      <c r="AA64" s="63">
        <f t="shared" si="33"/>
        <v>1490.1405820735145</v>
      </c>
      <c r="AB64" s="63">
        <f t="shared" si="33"/>
        <v>1506.3810583357158</v>
      </c>
      <c r="AC64" s="63">
        <f t="shared" si="33"/>
        <v>1521.1111703055326</v>
      </c>
      <c r="AD64" s="63">
        <f t="shared" si="33"/>
        <v>1534.4713818621562</v>
      </c>
      <c r="AE64" s="63">
        <f t="shared" si="33"/>
        <v>1546.589093744014</v>
      </c>
      <c r="AF64" s="63">
        <f t="shared" si="33"/>
        <v>1557.579858420859</v>
      </c>
      <c r="AG64" s="63">
        <f t="shared" si="33"/>
        <v>1567.5484819827573</v>
      </c>
      <c r="AH64" s="63">
        <f t="shared" si="33"/>
        <v>1576.590023553399</v>
      </c>
      <c r="AI64" s="63">
        <f t="shared" si="33"/>
        <v>1584.7907017579712</v>
      </c>
      <c r="AJ64" s="63">
        <f t="shared" si="33"/>
        <v>1592.228716889518</v>
      </c>
      <c r="AK64" s="63">
        <f t="shared" si="33"/>
        <v>1598.974996613831</v>
      </c>
      <c r="AQ64" s="63">
        <f t="shared" si="34"/>
        <v>379.221337975628</v>
      </c>
      <c r="AR64" s="63">
        <f t="shared" si="35"/>
        <v>426.7459525473623</v>
      </c>
      <c r="AS64" s="63">
        <f t="shared" si="35"/>
        <v>469.85077796392534</v>
      </c>
      <c r="AT64" s="63">
        <f t="shared" si="35"/>
        <v>499.17283545354235</v>
      </c>
      <c r="AU64" s="63">
        <f t="shared" si="35"/>
        <v>525.767941596625</v>
      </c>
      <c r="AV64" s="147">
        <f t="shared" si="35"/>
        <v>549.889702868401</v>
      </c>
      <c r="AW64" s="63">
        <f t="shared" si="35"/>
        <v>571.7681403419017</v>
      </c>
      <c r="AX64" s="63">
        <f t="shared" si="35"/>
        <v>591.6118831303669</v>
      </c>
      <c r="AY64" s="63">
        <f t="shared" si="35"/>
        <v>609.6101578395048</v>
      </c>
      <c r="AZ64" s="63">
        <f t="shared" si="35"/>
        <v>625.934593000693</v>
      </c>
      <c r="BA64" s="63">
        <f t="shared" si="35"/>
        <v>640.7408556918906</v>
      </c>
      <c r="BB64" s="63">
        <f t="shared" si="35"/>
        <v>654.1701359528068</v>
      </c>
      <c r="BC64" s="63">
        <f t="shared" si="35"/>
        <v>666.3504931494579</v>
      </c>
      <c r="BD64" s="63">
        <f t="shared" si="35"/>
        <v>677.3980771268203</v>
      </c>
      <c r="BE64" s="63">
        <f t="shared" si="35"/>
        <v>687.4182357942881</v>
      </c>
      <c r="BF64" s="63">
        <f t="shared" si="35"/>
        <v>696.5065197056814</v>
      </c>
      <c r="BG64" s="63">
        <f t="shared" si="35"/>
        <v>704.749593213315</v>
      </c>
      <c r="BH64" s="63">
        <f t="shared" si="36"/>
        <v>712.2260608847388</v>
      </c>
      <c r="BI64" s="63">
        <f t="shared" si="36"/>
        <v>719.0072170627201</v>
      </c>
      <c r="BJ64" s="63">
        <f t="shared" si="36"/>
        <v>725.1577257161491</v>
      </c>
      <c r="BK64" s="63">
        <f t="shared" si="36"/>
        <v>730.7362370648093</v>
      </c>
      <c r="BL64" s="63">
        <f t="shared" si="36"/>
        <v>735.7959468580441</v>
      </c>
    </row>
    <row r="65" spans="4:64" ht="12.75">
      <c r="D65" s="67" t="s">
        <v>189</v>
      </c>
      <c r="E65" s="67"/>
      <c r="L65" s="64" t="s">
        <v>64</v>
      </c>
      <c r="M65" s="63">
        <f>'Data tables'!R43</f>
        <v>7646</v>
      </c>
      <c r="N65" s="75">
        <f t="shared" si="31"/>
        <v>0.07606068142253171</v>
      </c>
      <c r="O65" s="63"/>
      <c r="P65" s="63">
        <f t="shared" si="32"/>
        <v>2812.34369559811</v>
      </c>
      <c r="Q65" s="63">
        <f t="shared" si="32"/>
        <v>3164.7910312096337</v>
      </c>
      <c r="R65" s="147">
        <f t="shared" si="32"/>
        <v>3484.460764609285</v>
      </c>
      <c r="S65" s="63">
        <f t="shared" si="32"/>
        <v>4002.583257070364</v>
      </c>
      <c r="T65" s="63">
        <f t="shared" si="32"/>
        <v>5674.097907164149</v>
      </c>
      <c r="U65" s="147">
        <f t="shared" si="32"/>
        <v>7281.70939253564</v>
      </c>
      <c r="V65" s="63">
        <f t="shared" si="32"/>
        <v>8867.138590468903</v>
      </c>
      <c r="W65" s="63">
        <f t="shared" si="32"/>
        <v>10432.44845369569</v>
      </c>
      <c r="X65" s="63">
        <f t="shared" si="32"/>
        <v>10610.417814738132</v>
      </c>
      <c r="Y65" s="63">
        <f t="shared" si="32"/>
        <v>10771.836025203627</v>
      </c>
      <c r="Z65" s="63">
        <f t="shared" si="33"/>
        <v>10918.242342095833</v>
      </c>
      <c r="AA65" s="63">
        <f t="shared" si="33"/>
        <v>11051.032871517062</v>
      </c>
      <c r="AB65" s="63">
        <f t="shared" si="33"/>
        <v>11171.473881702117</v>
      </c>
      <c r="AC65" s="63">
        <f t="shared" si="33"/>
        <v>11280.713877939963</v>
      </c>
      <c r="AD65" s="63">
        <f t="shared" si="33"/>
        <v>11379.794554527687</v>
      </c>
      <c r="AE65" s="63">
        <f t="shared" si="33"/>
        <v>11469.660728192755</v>
      </c>
      <c r="AF65" s="63">
        <f t="shared" si="33"/>
        <v>11551.169347706971</v>
      </c>
      <c r="AG65" s="63">
        <f t="shared" si="33"/>
        <v>11625.097665606365</v>
      </c>
      <c r="AH65" s="63">
        <f t="shared" si="33"/>
        <v>11692.150649941113</v>
      </c>
      <c r="AI65" s="63">
        <f t="shared" si="33"/>
        <v>11752.967706732732</v>
      </c>
      <c r="AJ65" s="63">
        <f t="shared" si="33"/>
        <v>11808.12877724273</v>
      </c>
      <c r="AK65" s="63">
        <f t="shared" si="33"/>
        <v>11858.159868195298</v>
      </c>
      <c r="AQ65" s="63">
        <f t="shared" si="34"/>
        <v>2812.34369559811</v>
      </c>
      <c r="AR65" s="63">
        <f t="shared" si="35"/>
        <v>3164.7910312096337</v>
      </c>
      <c r="AS65" s="63">
        <f t="shared" si="35"/>
        <v>3484.460764609285</v>
      </c>
      <c r="AT65" s="63">
        <f t="shared" si="35"/>
        <v>3701.916100754398</v>
      </c>
      <c r="AU65" s="63">
        <f t="shared" si="35"/>
        <v>3899.148090638016</v>
      </c>
      <c r="AV65" s="147">
        <f t="shared" si="35"/>
        <v>4078.037505462457</v>
      </c>
      <c r="AW65" s="63">
        <f t="shared" si="35"/>
        <v>4240.290204708225</v>
      </c>
      <c r="AX65" s="63">
        <f t="shared" si="35"/>
        <v>4387.453402924137</v>
      </c>
      <c r="AY65" s="63">
        <f t="shared" si="35"/>
        <v>4520.930423705969</v>
      </c>
      <c r="AZ65" s="63">
        <f t="shared" si="35"/>
        <v>4641.994081555091</v>
      </c>
      <c r="BA65" s="63">
        <f t="shared" si="35"/>
        <v>4751.798819224244</v>
      </c>
      <c r="BB65" s="63">
        <f t="shared" si="35"/>
        <v>4851.391716290165</v>
      </c>
      <c r="BC65" s="63">
        <f t="shared" si="35"/>
        <v>4941.722473928957</v>
      </c>
      <c r="BD65" s="63">
        <f t="shared" si="35"/>
        <v>5023.652471107341</v>
      </c>
      <c r="BE65" s="63">
        <f t="shared" si="35"/>
        <v>5097.962978548135</v>
      </c>
      <c r="BF65" s="63">
        <f t="shared" si="35"/>
        <v>5165.362608796934</v>
      </c>
      <c r="BG65" s="63">
        <f t="shared" si="35"/>
        <v>5226.494073432596</v>
      </c>
      <c r="BH65" s="63">
        <f t="shared" si="36"/>
        <v>5281.940311857141</v>
      </c>
      <c r="BI65" s="63">
        <f t="shared" si="36"/>
        <v>5332.230050108204</v>
      </c>
      <c r="BJ65" s="63">
        <f t="shared" si="36"/>
        <v>5377.842842701917</v>
      </c>
      <c r="BK65" s="63">
        <f t="shared" si="36"/>
        <v>5419.213645584415</v>
      </c>
      <c r="BL65" s="63">
        <f t="shared" si="36"/>
        <v>5456.736963798841</v>
      </c>
    </row>
    <row r="66" spans="4:64" ht="12.75">
      <c r="D66" s="67" t="s">
        <v>84</v>
      </c>
      <c r="E66" s="67"/>
      <c r="L66" s="64" t="s">
        <v>64</v>
      </c>
      <c r="M66" s="63">
        <f>'Data tables'!R44</f>
        <v>6491</v>
      </c>
      <c r="N66" s="75">
        <f t="shared" si="31"/>
        <v>0.06457100223824919</v>
      </c>
      <c r="O66" s="63"/>
      <c r="P66" s="63">
        <f t="shared" si="32"/>
        <v>2387.5128077592635</v>
      </c>
      <c r="Q66" s="63">
        <f t="shared" si="32"/>
        <v>2686.7196682686017</v>
      </c>
      <c r="R66" s="147">
        <f t="shared" si="32"/>
        <v>2958.1002907505713</v>
      </c>
      <c r="S66" s="63">
        <f t="shared" si="32"/>
        <v>3397.9555220564653</v>
      </c>
      <c r="T66" s="63">
        <f t="shared" si="32"/>
        <v>4816.972209704745</v>
      </c>
      <c r="U66" s="147">
        <f t="shared" si="32"/>
        <v>6181.738904910912</v>
      </c>
      <c r="V66" s="63">
        <f t="shared" si="32"/>
        <v>7527.6741552097355</v>
      </c>
      <c r="W66" s="63">
        <f t="shared" si="32"/>
        <v>8856.529284977598</v>
      </c>
      <c r="X66" s="63">
        <f t="shared" si="32"/>
        <v>9007.614705135393</v>
      </c>
      <c r="Y66" s="63">
        <f t="shared" si="32"/>
        <v>9144.64918121851</v>
      </c>
      <c r="Z66" s="63">
        <f t="shared" si="33"/>
        <v>9268.9394510259</v>
      </c>
      <c r="AA66" s="63">
        <f t="shared" si="33"/>
        <v>9381.670725741204</v>
      </c>
      <c r="AB66" s="63">
        <f t="shared" si="33"/>
        <v>9483.917991907983</v>
      </c>
      <c r="AC66" s="63">
        <f t="shared" si="33"/>
        <v>9576.656262321252</v>
      </c>
      <c r="AD66" s="63">
        <f t="shared" si="33"/>
        <v>9660.769873586085</v>
      </c>
      <c r="AE66" s="63">
        <f t="shared" si="33"/>
        <v>9737.060919003292</v>
      </c>
      <c r="AF66" s="63">
        <f t="shared" si="33"/>
        <v>9806.256897196696</v>
      </c>
      <c r="AG66" s="63">
        <f t="shared" si="33"/>
        <v>9869.017649418114</v>
      </c>
      <c r="AH66" s="63">
        <f t="shared" si="33"/>
        <v>9925.94165168294</v>
      </c>
      <c r="AI66" s="63">
        <f t="shared" si="33"/>
        <v>9977.571721737138</v>
      </c>
      <c r="AJ66" s="63">
        <f t="shared" si="33"/>
        <v>10024.400195276296</v>
      </c>
      <c r="AK66" s="63">
        <f t="shared" si="33"/>
        <v>10066.87362077631</v>
      </c>
      <c r="AQ66" s="63">
        <f t="shared" si="34"/>
        <v>2387.5128077592635</v>
      </c>
      <c r="AR66" s="63">
        <f t="shared" si="35"/>
        <v>2686.7196682686017</v>
      </c>
      <c r="AS66" s="63">
        <f t="shared" si="35"/>
        <v>2958.1002907505713</v>
      </c>
      <c r="AT66" s="63">
        <f t="shared" si="35"/>
        <v>3142.706959193931</v>
      </c>
      <c r="AU66" s="63">
        <f t="shared" si="35"/>
        <v>3310.1452074720587</v>
      </c>
      <c r="AV66" s="147">
        <f t="shared" si="35"/>
        <v>3462.0116986603202</v>
      </c>
      <c r="AW66" s="63">
        <f t="shared" si="35"/>
        <v>3599.754606168073</v>
      </c>
      <c r="AX66" s="63">
        <f t="shared" si="35"/>
        <v>3724.6874232776054</v>
      </c>
      <c r="AY66" s="63">
        <f t="shared" si="35"/>
        <v>3838.0014883959507</v>
      </c>
      <c r="AZ66" s="63">
        <f t="shared" si="35"/>
        <v>3940.7773454582907</v>
      </c>
      <c r="BA66" s="63">
        <f t="shared" si="35"/>
        <v>4033.9950478138326</v>
      </c>
      <c r="BB66" s="63">
        <f t="shared" si="35"/>
        <v>4118.543503850309</v>
      </c>
      <c r="BC66" s="63">
        <f t="shared" si="35"/>
        <v>4195.228953475394</v>
      </c>
      <c r="BD66" s="63">
        <f t="shared" si="35"/>
        <v>4264.782656285344</v>
      </c>
      <c r="BE66" s="63">
        <f t="shared" si="35"/>
        <v>4327.86786473397</v>
      </c>
      <c r="BF66" s="63">
        <f t="shared" si="35"/>
        <v>4385.086148796874</v>
      </c>
      <c r="BG66" s="63">
        <f t="shared" si="35"/>
        <v>4436.983132441927</v>
      </c>
      <c r="BH66" s="63">
        <f t="shared" si="36"/>
        <v>4484.053696607991</v>
      </c>
      <c r="BI66" s="63">
        <f t="shared" si="36"/>
        <v>4526.746698306611</v>
      </c>
      <c r="BJ66" s="63">
        <f t="shared" si="36"/>
        <v>4565.469250847258</v>
      </c>
      <c r="BK66" s="63">
        <f t="shared" si="36"/>
        <v>4600.590606001626</v>
      </c>
      <c r="BL66" s="63">
        <f t="shared" si="36"/>
        <v>4632.445675126638</v>
      </c>
    </row>
    <row r="67" spans="4:64" ht="12.75">
      <c r="D67" s="67" t="s">
        <v>190</v>
      </c>
      <c r="E67" s="67"/>
      <c r="L67" s="64" t="s">
        <v>64</v>
      </c>
      <c r="M67" s="73">
        <f>'Data tables'!R46</f>
        <v>4869</v>
      </c>
      <c r="N67" s="76">
        <f t="shared" si="31"/>
        <v>0.04843571250932604</v>
      </c>
      <c r="O67" s="63"/>
      <c r="P67" s="63">
        <f t="shared" si="32"/>
        <v>1790.9104700323303</v>
      </c>
      <c r="Q67" s="63">
        <f t="shared" si="32"/>
        <v>2015.3501871514131</v>
      </c>
      <c r="R67" s="147">
        <f t="shared" si="32"/>
        <v>2218.9170105784215</v>
      </c>
      <c r="S67" s="63">
        <f t="shared" si="32"/>
        <v>2548.859256954696</v>
      </c>
      <c r="T67" s="63">
        <f t="shared" si="32"/>
        <v>3613.28573240678</v>
      </c>
      <c r="U67" s="147">
        <f t="shared" si="32"/>
        <v>4637.018445233591</v>
      </c>
      <c r="V67" s="63">
        <f t="shared" si="32"/>
        <v>5646.62539850812</v>
      </c>
      <c r="W67" s="63">
        <f t="shared" si="32"/>
        <v>6643.42028786873</v>
      </c>
      <c r="X67" s="63">
        <f t="shared" si="32"/>
        <v>6756.751810091547</v>
      </c>
      <c r="Y67" s="63">
        <f t="shared" si="32"/>
        <v>6859.543500747641</v>
      </c>
      <c r="Z67" s="63">
        <f t="shared" si="33"/>
        <v>6952.775564172719</v>
      </c>
      <c r="AA67" s="63">
        <f t="shared" si="33"/>
        <v>7037.337045699264</v>
      </c>
      <c r="AB67" s="63">
        <f t="shared" si="33"/>
        <v>7114.034309443841</v>
      </c>
      <c r="AC67" s="63">
        <f t="shared" si="33"/>
        <v>7183.598727660173</v>
      </c>
      <c r="AD67" s="63">
        <f t="shared" si="33"/>
        <v>7246.693654982384</v>
      </c>
      <c r="AE67" s="63">
        <f t="shared" si="33"/>
        <v>7303.920754063632</v>
      </c>
      <c r="AF67" s="63">
        <f t="shared" si="33"/>
        <v>7355.8257329303215</v>
      </c>
      <c r="AG67" s="63">
        <f t="shared" si="33"/>
        <v>7402.9035487624105</v>
      </c>
      <c r="AH67" s="63">
        <f t="shared" si="33"/>
        <v>7445.603127722114</v>
      </c>
      <c r="AI67" s="63">
        <f t="shared" si="33"/>
        <v>7484.331645838565</v>
      </c>
      <c r="AJ67" s="63">
        <f t="shared" si="33"/>
        <v>7519.458411770187</v>
      </c>
      <c r="AK67" s="63">
        <f t="shared" si="33"/>
        <v>7551.318388470168</v>
      </c>
      <c r="AQ67" s="63">
        <f t="shared" si="34"/>
        <v>1790.9104700323303</v>
      </c>
      <c r="AR67" s="63">
        <f t="shared" si="35"/>
        <v>2015.3501871514131</v>
      </c>
      <c r="AS67" s="63">
        <f t="shared" si="35"/>
        <v>2218.9170105784215</v>
      </c>
      <c r="AT67" s="63">
        <f t="shared" si="35"/>
        <v>2357.393342214644</v>
      </c>
      <c r="AU67" s="63">
        <f t="shared" si="35"/>
        <v>2482.991375008697</v>
      </c>
      <c r="AV67" s="147">
        <f t="shared" si="35"/>
        <v>2596.9087907529038</v>
      </c>
      <c r="AW67" s="63">
        <f t="shared" si="35"/>
        <v>2700.2318868328994</v>
      </c>
      <c r="AX67" s="63">
        <f t="shared" si="35"/>
        <v>2793.945934977455</v>
      </c>
      <c r="AY67" s="63">
        <f t="shared" si="35"/>
        <v>2878.9445766445674</v>
      </c>
      <c r="AZ67" s="63">
        <f t="shared" si="35"/>
        <v>2956.038344636638</v>
      </c>
      <c r="BA67" s="63">
        <f t="shared" si="35"/>
        <v>3025.962392205446</v>
      </c>
      <c r="BB67" s="63">
        <f t="shared" si="35"/>
        <v>3089.383503350355</v>
      </c>
      <c r="BC67" s="63">
        <f t="shared" si="35"/>
        <v>3146.9064511587876</v>
      </c>
      <c r="BD67" s="63">
        <f t="shared" si="35"/>
        <v>3199.079764821036</v>
      </c>
      <c r="BE67" s="63">
        <f t="shared" si="35"/>
        <v>3246.400960312695</v>
      </c>
      <c r="BF67" s="63">
        <f t="shared" si="35"/>
        <v>3289.3212846236297</v>
      </c>
      <c r="BG67" s="63">
        <f t="shared" si="35"/>
        <v>3328.2500187736478</v>
      </c>
      <c r="BH67" s="63">
        <f t="shared" si="36"/>
        <v>3363.558380647714</v>
      </c>
      <c r="BI67" s="63">
        <f t="shared" si="36"/>
        <v>3395.5830648674914</v>
      </c>
      <c r="BJ67" s="63">
        <f t="shared" si="36"/>
        <v>3424.62945345483</v>
      </c>
      <c r="BK67" s="63">
        <f t="shared" si="36"/>
        <v>3450.9745279035465</v>
      </c>
      <c r="BL67" s="63">
        <f t="shared" si="36"/>
        <v>3474.869510428532</v>
      </c>
    </row>
    <row r="68" spans="4:37" ht="12.75">
      <c r="D68" s="67"/>
      <c r="E68" s="67"/>
      <c r="L68" s="64"/>
      <c r="M68" s="124">
        <f>SUM(M59:M67)</f>
        <v>100525</v>
      </c>
      <c r="N68" s="216">
        <f t="shared" si="31"/>
        <v>1</v>
      </c>
      <c r="O68" s="63"/>
      <c r="P68" s="63"/>
      <c r="Q68" s="63"/>
      <c r="R68" s="63"/>
      <c r="S68" s="63"/>
      <c r="T68" s="63"/>
      <c r="U68" s="63"/>
      <c r="V68" s="63"/>
      <c r="W68" s="63"/>
      <c r="X68" s="63"/>
      <c r="Y68" s="63"/>
      <c r="Z68" s="63"/>
      <c r="AA68" s="63"/>
      <c r="AB68" s="63"/>
      <c r="AC68" s="63"/>
      <c r="AD68" s="63"/>
      <c r="AE68" s="63"/>
      <c r="AF68" s="63"/>
      <c r="AG68" s="63"/>
      <c r="AH68" s="63"/>
      <c r="AI68" s="63"/>
      <c r="AJ68" s="63"/>
      <c r="AK68" s="63"/>
    </row>
    <row r="69" ht="12.75"/>
    <row r="70" spans="3:73" s="193" customFormat="1" ht="25.5" customHeight="1">
      <c r="C70" s="427" t="s">
        <v>277</v>
      </c>
      <c r="D70" s="427"/>
      <c r="E70" s="427"/>
      <c r="F70" s="427"/>
      <c r="G70" s="427"/>
      <c r="H70" s="427"/>
      <c r="I70" s="427"/>
      <c r="J70" s="427"/>
      <c r="L70" s="184"/>
      <c r="M70" s="194"/>
      <c r="O70" s="195"/>
      <c r="P70" s="195"/>
      <c r="Q70" s="195"/>
      <c r="R70" s="225"/>
      <c r="S70" s="195"/>
      <c r="T70" s="195"/>
      <c r="U70" s="225"/>
      <c r="V70" s="195"/>
      <c r="W70" s="195"/>
      <c r="X70" s="195"/>
      <c r="Y70" s="195"/>
      <c r="Z70" s="195"/>
      <c r="AA70" s="195"/>
      <c r="AB70" s="195"/>
      <c r="AC70" s="195"/>
      <c r="AD70" s="195"/>
      <c r="AE70" s="195"/>
      <c r="AF70" s="195"/>
      <c r="AG70" s="195"/>
      <c r="AH70" s="195"/>
      <c r="AI70" s="195"/>
      <c r="AJ70" s="195"/>
      <c r="AK70" s="195"/>
      <c r="AM70" s="205"/>
      <c r="AV70" s="221"/>
      <c r="BN70" s="205"/>
      <c r="BU70" s="221"/>
    </row>
    <row r="71" spans="4:89" s="193" customFormat="1" ht="12.75">
      <c r="D71" s="196" t="s">
        <v>233</v>
      </c>
      <c r="E71" s="196"/>
      <c r="L71" s="184" t="s">
        <v>184</v>
      </c>
      <c r="M71" s="194"/>
      <c r="O71" s="195"/>
      <c r="P71" s="197">
        <f>P48*P59</f>
        <v>966585.784082987</v>
      </c>
      <c r="Q71" s="197">
        <f>Q48*Q59</f>
        <v>1114912.830809871</v>
      </c>
      <c r="R71" s="247">
        <f aca="true" t="shared" si="37" ref="R71:AK71">R48*R59</f>
        <v>1258216.3327754997</v>
      </c>
      <c r="S71" s="197">
        <f t="shared" si="37"/>
        <v>1481439.7023643919</v>
      </c>
      <c r="T71" s="197">
        <f t="shared" si="37"/>
        <v>2152604.757796197</v>
      </c>
      <c r="U71" s="247">
        <f t="shared" si="37"/>
        <v>2831552.892320971</v>
      </c>
      <c r="V71" s="197">
        <f t="shared" si="37"/>
        <v>3534261.645609676</v>
      </c>
      <c r="W71" s="197">
        <f t="shared" si="37"/>
        <v>4262116.478173885</v>
      </c>
      <c r="X71" s="197">
        <f t="shared" si="37"/>
        <v>4443195.452098982</v>
      </c>
      <c r="Y71" s="197">
        <f t="shared" si="37"/>
        <v>4623560.3550641155</v>
      </c>
      <c r="Z71" s="197">
        <f t="shared" si="37"/>
        <v>4803561.911806576</v>
      </c>
      <c r="AA71" s="197">
        <f t="shared" si="37"/>
        <v>4983533.6950389305</v>
      </c>
      <c r="AB71" s="197">
        <f t="shared" si="37"/>
        <v>5163793.519482474</v>
      </c>
      <c r="AC71" s="197">
        <f t="shared" si="37"/>
        <v>5344644.742560704</v>
      </c>
      <c r="AD71" s="197">
        <f t="shared" si="37"/>
        <v>5526377.478434353</v>
      </c>
      <c r="AE71" s="197">
        <f t="shared" si="37"/>
        <v>5709269.731592544</v>
      </c>
      <c r="AF71" s="197">
        <f t="shared" si="37"/>
        <v>5893588.455780611</v>
      </c>
      <c r="AG71" s="197">
        <f t="shared" si="37"/>
        <v>6079590.543641712</v>
      </c>
      <c r="AH71" s="197">
        <f t="shared" si="37"/>
        <v>6267523.752074325</v>
      </c>
      <c r="AI71" s="197">
        <f t="shared" si="37"/>
        <v>6457627.567959272</v>
      </c>
      <c r="AJ71" s="197">
        <f t="shared" si="37"/>
        <v>6650134.01858585</v>
      </c>
      <c r="AK71" s="197">
        <f t="shared" si="37"/>
        <v>6845268.430805694</v>
      </c>
      <c r="AM71" s="205"/>
      <c r="AQ71" s="197">
        <f aca="true" t="shared" si="38" ref="AQ71:AQ79">AQ48*AQ59</f>
        <v>966585.784082987</v>
      </c>
      <c r="AR71" s="197">
        <f aca="true" t="shared" si="39" ref="AR71:BL78">AR48*AR59</f>
        <v>1114912.830809871</v>
      </c>
      <c r="AS71" s="197">
        <f t="shared" si="39"/>
        <v>1258216.3327754997</v>
      </c>
      <c r="AT71" s="197">
        <f t="shared" si="39"/>
        <v>1368485.5824330512</v>
      </c>
      <c r="AU71" s="197">
        <f t="shared" si="39"/>
        <v>1475629.3999772843</v>
      </c>
      <c r="AV71" s="247">
        <f t="shared" si="39"/>
        <v>1579984.0388077039</v>
      </c>
      <c r="AW71" s="197">
        <f t="shared" si="39"/>
        <v>1681864.4057819813</v>
      </c>
      <c r="AX71" s="197">
        <f t="shared" si="39"/>
        <v>1781565.6503036618</v>
      </c>
      <c r="AY71" s="197">
        <f t="shared" si="39"/>
        <v>1879364.641368302</v>
      </c>
      <c r="AZ71" s="197">
        <f t="shared" si="39"/>
        <v>1975521.3406103111</v>
      </c>
      <c r="BA71" s="197">
        <f t="shared" si="39"/>
        <v>2070280.0788189343</v>
      </c>
      <c r="BB71" s="197">
        <f t="shared" si="39"/>
        <v>2163870.742859008</v>
      </c>
      <c r="BC71" s="197">
        <f t="shared" si="39"/>
        <v>2256509.8794373884</v>
      </c>
      <c r="BD71" s="197">
        <f t="shared" si="39"/>
        <v>2348401.7216966343</v>
      </c>
      <c r="BE71" s="197">
        <f t="shared" si="39"/>
        <v>2439739.1441909918</v>
      </c>
      <c r="BF71" s="197">
        <f t="shared" si="39"/>
        <v>2530704.5514037656</v>
      </c>
      <c r="BG71" s="197">
        <f t="shared" si="39"/>
        <v>2621470.704597464</v>
      </c>
      <c r="BH71" s="197">
        <f t="shared" si="39"/>
        <v>2712201.4914467195</v>
      </c>
      <c r="BI71" s="197">
        <f t="shared" si="39"/>
        <v>2803052.6425870443</v>
      </c>
      <c r="BJ71" s="197">
        <f t="shared" si="39"/>
        <v>2894172.398918167</v>
      </c>
      <c r="BK71" s="197">
        <f t="shared" si="39"/>
        <v>2985702.133227485</v>
      </c>
      <c r="BL71" s="197">
        <f t="shared" si="39"/>
        <v>3077776.929445464</v>
      </c>
      <c r="BN71" s="205"/>
      <c r="BP71" s="213">
        <f>P71-AQ71</f>
        <v>0</v>
      </c>
      <c r="BQ71" s="213">
        <f aca="true" t="shared" si="40" ref="BQ71:BQ80">Q71-AR71</f>
        <v>0</v>
      </c>
      <c r="BR71" s="213">
        <f aca="true" t="shared" si="41" ref="BR71:BR80">R71-AS71</f>
        <v>0</v>
      </c>
      <c r="BS71" s="213">
        <f aca="true" t="shared" si="42" ref="BS71:BS80">S71-AT71</f>
        <v>112954.11993134068</v>
      </c>
      <c r="BT71" s="213">
        <f aca="true" t="shared" si="43" ref="BT71:BT80">T71-AU71</f>
        <v>676975.357818913</v>
      </c>
      <c r="BU71" s="256">
        <f aca="true" t="shared" si="44" ref="BU71:BU80">U71-AV71</f>
        <v>1251568.8535132671</v>
      </c>
      <c r="BV71" s="213">
        <f aca="true" t="shared" si="45" ref="BV71:BV80">V71-AW71</f>
        <v>1852397.2398276946</v>
      </c>
      <c r="BW71" s="213">
        <f aca="true" t="shared" si="46" ref="BW71:BW80">W71-AX71</f>
        <v>2480550.8278702227</v>
      </c>
      <c r="BX71" s="213">
        <f aca="true" t="shared" si="47" ref="BX71:BX80">X71-AY71</f>
        <v>2563830.8107306804</v>
      </c>
      <c r="BY71" s="213">
        <f aca="true" t="shared" si="48" ref="BY71:BY80">Y71-AZ71</f>
        <v>2648039.014453804</v>
      </c>
      <c r="BZ71" s="213">
        <f aca="true" t="shared" si="49" ref="BZ71:BZ80">Z71-BA71</f>
        <v>2733281.832987642</v>
      </c>
      <c r="CA71" s="213">
        <f aca="true" t="shared" si="50" ref="CA71:CA80">AA71-BB71</f>
        <v>2819662.9521799227</v>
      </c>
      <c r="CB71" s="213">
        <f aca="true" t="shared" si="51" ref="CB71:CB80">AB71-BC71</f>
        <v>2907283.6400450855</v>
      </c>
      <c r="CC71" s="213">
        <f aca="true" t="shared" si="52" ref="CC71:CC80">AC71-BD71</f>
        <v>2996243.02086407</v>
      </c>
      <c r="CD71" s="213">
        <f aca="true" t="shared" si="53" ref="CD71:CD80">AD71-BE71</f>
        <v>3086638.3342433614</v>
      </c>
      <c r="CE71" s="213">
        <f aca="true" t="shared" si="54" ref="CE71:CE80">AE71-BF71</f>
        <v>3178565.180188779</v>
      </c>
      <c r="CF71" s="213">
        <f aca="true" t="shared" si="55" ref="CF71:CF80">AF71-BG71</f>
        <v>3272117.7511831475</v>
      </c>
      <c r="CG71" s="213">
        <f aca="true" t="shared" si="56" ref="CG71:CG80">AG71-BH71</f>
        <v>3367389.052194992</v>
      </c>
      <c r="CH71" s="213">
        <f aca="true" t="shared" si="57" ref="CH71:CH80">AH71-BI71</f>
        <v>3464471.109487281</v>
      </c>
      <c r="CI71" s="213">
        <f aca="true" t="shared" si="58" ref="CI71:CI80">AI71-BJ71</f>
        <v>3563455.169041105</v>
      </c>
      <c r="CJ71" s="213">
        <f aca="true" t="shared" si="59" ref="CJ71:CJ80">AJ71-BK71</f>
        <v>3664431.8853583643</v>
      </c>
      <c r="CK71" s="213">
        <f aca="true" t="shared" si="60" ref="CK71:CK80">AK71-BL71</f>
        <v>3767491.50136023</v>
      </c>
    </row>
    <row r="72" spans="4:89" s="193" customFormat="1" ht="12.75">
      <c r="D72" s="196" t="s">
        <v>73</v>
      </c>
      <c r="E72" s="196"/>
      <c r="L72" s="184" t="s">
        <v>184</v>
      </c>
      <c r="M72" s="194"/>
      <c r="O72" s="195"/>
      <c r="P72" s="197">
        <f aca="true" t="shared" si="61" ref="P72:AK72">P49*P60</f>
        <v>52625.680795310436</v>
      </c>
      <c r="Q72" s="197">
        <f t="shared" si="61"/>
        <v>60109.126098555374</v>
      </c>
      <c r="R72" s="247">
        <f t="shared" si="61"/>
        <v>67173.34818039899</v>
      </c>
      <c r="S72" s="197">
        <f t="shared" si="61"/>
        <v>78319.12624794523</v>
      </c>
      <c r="T72" s="197">
        <f t="shared" si="61"/>
        <v>112691.28390837043</v>
      </c>
      <c r="U72" s="247">
        <f t="shared" si="61"/>
        <v>146788.78860166512</v>
      </c>
      <c r="V72" s="197">
        <f t="shared" si="61"/>
        <v>181429.99244011787</v>
      </c>
      <c r="W72" s="197">
        <f t="shared" si="61"/>
        <v>216659.569504442</v>
      </c>
      <c r="X72" s="197">
        <f t="shared" si="61"/>
        <v>223660.94543384932</v>
      </c>
      <c r="Y72" s="197">
        <f t="shared" si="61"/>
        <v>230469.4930580945</v>
      </c>
      <c r="Z72" s="197">
        <f t="shared" si="61"/>
        <v>237105.96766951724</v>
      </c>
      <c r="AA72" s="197">
        <f t="shared" si="61"/>
        <v>243589.5583793576</v>
      </c>
      <c r="AB72" s="197">
        <f t="shared" si="61"/>
        <v>249938.01368998465</v>
      </c>
      <c r="AC72" s="197">
        <f t="shared" si="61"/>
        <v>256167.7571156968</v>
      </c>
      <c r="AD72" s="197">
        <f t="shared" si="61"/>
        <v>262293.99364246393</v>
      </c>
      <c r="AE72" s="197">
        <f t="shared" si="61"/>
        <v>268330.8077542329</v>
      </c>
      <c r="AF72" s="197">
        <f t="shared" si="61"/>
        <v>274291.25369565317</v>
      </c>
      <c r="AG72" s="197">
        <f t="shared" si="61"/>
        <v>280187.43858790037</v>
      </c>
      <c r="AH72" s="197">
        <f t="shared" si="61"/>
        <v>286030.5989653188</v>
      </c>
      <c r="AI72" s="197">
        <f t="shared" si="61"/>
        <v>291831.1712555337</v>
      </c>
      <c r="AJ72" s="197">
        <f t="shared" si="61"/>
        <v>297598.856684193</v>
      </c>
      <c r="AK72" s="197">
        <f t="shared" si="61"/>
        <v>303342.6810473012</v>
      </c>
      <c r="AM72" s="205"/>
      <c r="AQ72" s="197">
        <f t="shared" si="38"/>
        <v>52625.680795310436</v>
      </c>
      <c r="AR72" s="197">
        <f aca="true" t="shared" si="62" ref="AR72:BF72">AR49*AR60</f>
        <v>60109.126098555374</v>
      </c>
      <c r="AS72" s="197">
        <f t="shared" si="62"/>
        <v>67173.34818039899</v>
      </c>
      <c r="AT72" s="197">
        <f t="shared" si="62"/>
        <v>72382.40437242005</v>
      </c>
      <c r="AU72" s="197">
        <f t="shared" si="62"/>
        <v>77325.22278608386</v>
      </c>
      <c r="AV72" s="247">
        <f t="shared" si="62"/>
        <v>82025.2724995052</v>
      </c>
      <c r="AW72" s="197">
        <f t="shared" si="62"/>
        <v>86504.17393630727</v>
      </c>
      <c r="AX72" s="197">
        <f t="shared" si="62"/>
        <v>90781.84733368091</v>
      </c>
      <c r="AY72" s="197">
        <f t="shared" si="62"/>
        <v>94876.64932804847</v>
      </c>
      <c r="AZ72" s="197">
        <f t="shared" si="62"/>
        <v>98805.49860990638</v>
      </c>
      <c r="BA72" s="197">
        <f t="shared" si="62"/>
        <v>102583.99152322467</v>
      </c>
      <c r="BB72" s="197">
        <f t="shared" si="62"/>
        <v>106226.50841468708</v>
      </c>
      <c r="BC72" s="197">
        <f t="shared" si="62"/>
        <v>109746.31147357266</v>
      </c>
      <c r="BD72" s="197">
        <f t="shared" si="62"/>
        <v>113155.63474376187</v>
      </c>
      <c r="BE72" s="197">
        <f t="shared" si="62"/>
        <v>116465.76693478155</v>
      </c>
      <c r="BF72" s="197">
        <f t="shared" si="62"/>
        <v>119687.12760860377</v>
      </c>
      <c r="BG72" s="197">
        <f t="shared" si="39"/>
        <v>122829.33727273485</v>
      </c>
      <c r="BH72" s="197">
        <f t="shared" si="39"/>
        <v>125901.28186764891</v>
      </c>
      <c r="BI72" s="197">
        <f t="shared" si="39"/>
        <v>128911.17209754123</v>
      </c>
      <c r="BJ72" s="197">
        <f t="shared" si="39"/>
        <v>131866.59801742577</v>
      </c>
      <c r="BK72" s="197">
        <f t="shared" si="39"/>
        <v>134774.5792565299</v>
      </c>
      <c r="BL72" s="197">
        <f t="shared" si="39"/>
        <v>137641.6112275159</v>
      </c>
      <c r="BN72" s="205"/>
      <c r="BP72" s="213">
        <f aca="true" t="shared" si="63" ref="BP72:BP80">P72-AQ72</f>
        <v>0</v>
      </c>
      <c r="BQ72" s="213">
        <f t="shared" si="40"/>
        <v>0</v>
      </c>
      <c r="BR72" s="213">
        <f t="shared" si="41"/>
        <v>0</v>
      </c>
      <c r="BS72" s="213">
        <f t="shared" si="42"/>
        <v>5936.7218755251815</v>
      </c>
      <c r="BT72" s="213">
        <f t="shared" si="43"/>
        <v>35366.06112228657</v>
      </c>
      <c r="BU72" s="256">
        <f t="shared" si="44"/>
        <v>64763.51610215992</v>
      </c>
      <c r="BV72" s="213">
        <f t="shared" si="45"/>
        <v>94925.8185038106</v>
      </c>
      <c r="BW72" s="213">
        <f t="shared" si="46"/>
        <v>125877.7221707611</v>
      </c>
      <c r="BX72" s="213">
        <f t="shared" si="47"/>
        <v>128784.29610580085</v>
      </c>
      <c r="BY72" s="213">
        <f t="shared" si="48"/>
        <v>131663.9944481881</v>
      </c>
      <c r="BZ72" s="213">
        <f t="shared" si="49"/>
        <v>134521.97614629258</v>
      </c>
      <c r="CA72" s="213">
        <f t="shared" si="50"/>
        <v>137363.0499646705</v>
      </c>
      <c r="CB72" s="213">
        <f t="shared" si="51"/>
        <v>140191.702216412</v>
      </c>
      <c r="CC72" s="213">
        <f t="shared" si="52"/>
        <v>143012.12237193494</v>
      </c>
      <c r="CD72" s="213">
        <f t="shared" si="53"/>
        <v>145828.22670768236</v>
      </c>
      <c r="CE72" s="213">
        <f t="shared" si="54"/>
        <v>148643.68014562913</v>
      </c>
      <c r="CF72" s="213">
        <f t="shared" si="55"/>
        <v>151461.91642291832</v>
      </c>
      <c r="CG72" s="213">
        <f t="shared" si="56"/>
        <v>154286.15672025146</v>
      </c>
      <c r="CH72" s="213">
        <f t="shared" si="57"/>
        <v>157119.4268677776</v>
      </c>
      <c r="CI72" s="213">
        <f t="shared" si="58"/>
        <v>159964.57323810793</v>
      </c>
      <c r="CJ72" s="213">
        <f t="shared" si="59"/>
        <v>162824.27742766312</v>
      </c>
      <c r="CK72" s="213">
        <f t="shared" si="60"/>
        <v>165701.0698197853</v>
      </c>
    </row>
    <row r="73" spans="4:89" s="193" customFormat="1" ht="12.75">
      <c r="D73" s="196" t="s">
        <v>72</v>
      </c>
      <c r="E73" s="196"/>
      <c r="L73" s="184" t="s">
        <v>184</v>
      </c>
      <c r="M73" s="194"/>
      <c r="O73" s="195"/>
      <c r="P73" s="197">
        <f aca="true" t="shared" si="64" ref="P73:AK73">P50*P61</f>
        <v>90106.91141233397</v>
      </c>
      <c r="Q73" s="197">
        <f t="shared" si="64"/>
        <v>102920.24005355939</v>
      </c>
      <c r="R73" s="247">
        <f t="shared" si="64"/>
        <v>115015.76497040682</v>
      </c>
      <c r="S73" s="197">
        <f t="shared" si="64"/>
        <v>134099.82472557144</v>
      </c>
      <c r="T73" s="197">
        <f t="shared" si="64"/>
        <v>192952.63040052823</v>
      </c>
      <c r="U73" s="247">
        <f t="shared" si="64"/>
        <v>251335.16889405655</v>
      </c>
      <c r="V73" s="197">
        <f t="shared" si="64"/>
        <v>310648.6416760793</v>
      </c>
      <c r="W73" s="197">
        <f t="shared" si="64"/>
        <v>370969.54074389563</v>
      </c>
      <c r="X73" s="197">
        <f t="shared" si="64"/>
        <v>382957.45902070345</v>
      </c>
      <c r="Y73" s="197">
        <f t="shared" si="64"/>
        <v>394615.2122003865</v>
      </c>
      <c r="Z73" s="197">
        <f t="shared" si="64"/>
        <v>405978.3379759482</v>
      </c>
      <c r="AA73" s="197">
        <f t="shared" si="64"/>
        <v>417079.6923887823</v>
      </c>
      <c r="AB73" s="197">
        <f t="shared" si="64"/>
        <v>427949.6648363559</v>
      </c>
      <c r="AC73" s="197">
        <f t="shared" si="64"/>
        <v>438616.37604082614</v>
      </c>
      <c r="AD73" s="197">
        <f t="shared" si="64"/>
        <v>449105.86033187975</v>
      </c>
      <c r="AE73" s="197">
        <f t="shared" si="64"/>
        <v>459442.2334896474</v>
      </c>
      <c r="AF73" s="197">
        <f t="shared" si="64"/>
        <v>469647.8472946363</v>
      </c>
      <c r="AG73" s="197">
        <f t="shared" si="64"/>
        <v>479743.43184057163</v>
      </c>
      <c r="AH73" s="197">
        <f t="shared" si="64"/>
        <v>489748.22658221074</v>
      </c>
      <c r="AI73" s="197">
        <f t="shared" si="64"/>
        <v>499680.1010130268</v>
      </c>
      <c r="AJ73" s="197">
        <f t="shared" si="64"/>
        <v>509555.6657966129</v>
      </c>
      <c r="AK73" s="197">
        <f t="shared" si="64"/>
        <v>519390.3751102589</v>
      </c>
      <c r="AM73" s="205"/>
      <c r="AQ73" s="197">
        <f t="shared" si="38"/>
        <v>90106.91141233397</v>
      </c>
      <c r="AR73" s="197">
        <f t="shared" si="39"/>
        <v>102920.24005355939</v>
      </c>
      <c r="AS73" s="197">
        <f t="shared" si="39"/>
        <v>115015.76497040682</v>
      </c>
      <c r="AT73" s="197">
        <f t="shared" si="39"/>
        <v>123934.83181653374</v>
      </c>
      <c r="AU73" s="197">
        <f t="shared" si="39"/>
        <v>132398.0401626564</v>
      </c>
      <c r="AV73" s="247">
        <f t="shared" si="39"/>
        <v>140445.57430873366</v>
      </c>
      <c r="AW73" s="197">
        <f t="shared" si="39"/>
        <v>148114.4532456207</v>
      </c>
      <c r="AX73" s="197">
        <f t="shared" si="39"/>
        <v>155438.78486552427</v>
      </c>
      <c r="AY73" s="197">
        <f t="shared" si="39"/>
        <v>162449.9998271444</v>
      </c>
      <c r="AZ73" s="197">
        <f t="shared" si="39"/>
        <v>169177.06670481095</v>
      </c>
      <c r="BA73" s="197">
        <f t="shared" si="39"/>
        <v>175646.68992045667</v>
      </c>
      <c r="BB73" s="197">
        <f t="shared" si="39"/>
        <v>181883.4918372536</v>
      </c>
      <c r="BC73" s="197">
        <f t="shared" si="39"/>
        <v>187910.18028332735</v>
      </c>
      <c r="BD73" s="197">
        <f t="shared" si="39"/>
        <v>193747.70267240255</v>
      </c>
      <c r="BE73" s="197">
        <f t="shared" si="39"/>
        <v>199415.3877947944</v>
      </c>
      <c r="BF73" s="197">
        <f t="shared" si="39"/>
        <v>204931.07626621352</v>
      </c>
      <c r="BG73" s="197">
        <f t="shared" si="39"/>
        <v>210311.24054277845</v>
      </c>
      <c r="BH73" s="197">
        <f t="shared" si="39"/>
        <v>215571.09533789565</v>
      </c>
      <c r="BI73" s="197">
        <f t="shared" si="39"/>
        <v>220724.6992097514</v>
      </c>
      <c r="BJ73" s="197">
        <f t="shared" si="39"/>
        <v>225785.04802660667</v>
      </c>
      <c r="BK73" s="197">
        <f t="shared" si="39"/>
        <v>230764.1609604584</v>
      </c>
      <c r="BL73" s="197">
        <f t="shared" si="39"/>
        <v>235673.15960754073</v>
      </c>
      <c r="BN73" s="205"/>
      <c r="BP73" s="213">
        <f t="shared" si="63"/>
        <v>0</v>
      </c>
      <c r="BQ73" s="213">
        <f t="shared" si="40"/>
        <v>0</v>
      </c>
      <c r="BR73" s="213">
        <f t="shared" si="41"/>
        <v>0</v>
      </c>
      <c r="BS73" s="213">
        <f t="shared" si="42"/>
        <v>10164.992909037697</v>
      </c>
      <c r="BT73" s="213">
        <f t="shared" si="43"/>
        <v>60554.59023787183</v>
      </c>
      <c r="BU73" s="256">
        <f t="shared" si="44"/>
        <v>110889.59458532289</v>
      </c>
      <c r="BV73" s="213">
        <f t="shared" si="45"/>
        <v>162534.1884304586</v>
      </c>
      <c r="BW73" s="213">
        <f t="shared" si="46"/>
        <v>215530.75587837136</v>
      </c>
      <c r="BX73" s="213">
        <f t="shared" si="47"/>
        <v>220507.45919355904</v>
      </c>
      <c r="BY73" s="213">
        <f t="shared" si="48"/>
        <v>225438.14549557556</v>
      </c>
      <c r="BZ73" s="213">
        <f t="shared" si="49"/>
        <v>230331.6480554915</v>
      </c>
      <c r="CA73" s="213">
        <f t="shared" si="50"/>
        <v>235196.2005515287</v>
      </c>
      <c r="CB73" s="213">
        <f t="shared" si="51"/>
        <v>240039.48455302854</v>
      </c>
      <c r="CC73" s="213">
        <f t="shared" si="52"/>
        <v>244868.6733684236</v>
      </c>
      <c r="CD73" s="213">
        <f t="shared" si="53"/>
        <v>249690.47253708536</v>
      </c>
      <c r="CE73" s="213">
        <f t="shared" si="54"/>
        <v>254511.15722343387</v>
      </c>
      <c r="CF73" s="213">
        <f t="shared" si="55"/>
        <v>259336.60675185785</v>
      </c>
      <c r="CG73" s="213">
        <f t="shared" si="56"/>
        <v>264172.336502676</v>
      </c>
      <c r="CH73" s="213">
        <f t="shared" si="57"/>
        <v>269023.52737245936</v>
      </c>
      <c r="CI73" s="213">
        <f t="shared" si="58"/>
        <v>273895.0529864201</v>
      </c>
      <c r="CJ73" s="213">
        <f t="shared" si="59"/>
        <v>278791.5048361545</v>
      </c>
      <c r="CK73" s="213">
        <f t="shared" si="60"/>
        <v>283717.2155027181</v>
      </c>
    </row>
    <row r="74" spans="4:89" s="193" customFormat="1" ht="12.75">
      <c r="D74" s="196" t="s">
        <v>85</v>
      </c>
      <c r="E74" s="196"/>
      <c r="L74" s="184" t="s">
        <v>184</v>
      </c>
      <c r="M74" s="194"/>
      <c r="O74" s="195"/>
      <c r="P74" s="197">
        <f aca="true" t="shared" si="65" ref="P74:AK74">P51*P62</f>
        <v>38850.01692483853</v>
      </c>
      <c r="Q74" s="197">
        <f t="shared" si="65"/>
        <v>44374.54358736251</v>
      </c>
      <c r="R74" s="247">
        <f t="shared" si="65"/>
        <v>49589.58581185948</v>
      </c>
      <c r="S74" s="197">
        <f t="shared" si="65"/>
        <v>57817.76756686399</v>
      </c>
      <c r="T74" s="197">
        <f t="shared" si="65"/>
        <v>83192.43040580506</v>
      </c>
      <c r="U74" s="247">
        <f t="shared" si="65"/>
        <v>108364.33534669668</v>
      </c>
      <c r="V74" s="197">
        <f t="shared" si="65"/>
        <v>133937.6169666581</v>
      </c>
      <c r="W74" s="197">
        <f t="shared" si="65"/>
        <v>159945.25514862078</v>
      </c>
      <c r="X74" s="197">
        <f t="shared" si="65"/>
        <v>165113.90226622482</v>
      </c>
      <c r="Y74" s="197">
        <f t="shared" si="65"/>
        <v>170140.1971556786</v>
      </c>
      <c r="Z74" s="197">
        <f t="shared" si="65"/>
        <v>175039.46205978238</v>
      </c>
      <c r="AA74" s="197">
        <f t="shared" si="65"/>
        <v>179825.86301468406</v>
      </c>
      <c r="AB74" s="197">
        <f t="shared" si="65"/>
        <v>184512.50255144842</v>
      </c>
      <c r="AC74" s="197">
        <f t="shared" si="65"/>
        <v>189111.50505115357</v>
      </c>
      <c r="AD74" s="197">
        <f t="shared" si="65"/>
        <v>193634.09533699122</v>
      </c>
      <c r="AE74" s="197">
        <f t="shared" si="65"/>
        <v>198090.6710405255</v>
      </c>
      <c r="AF74" s="197">
        <f t="shared" si="65"/>
        <v>202490.86923661982</v>
      </c>
      <c r="AG74" s="197">
        <f t="shared" si="65"/>
        <v>206843.6278022856</v>
      </c>
      <c r="AH74" s="197">
        <f t="shared" si="65"/>
        <v>211157.241918561</v>
      </c>
      <c r="AI74" s="197">
        <f t="shared" si="65"/>
        <v>215439.4161012592</v>
      </c>
      <c r="AJ74" s="197">
        <f t="shared" si="65"/>
        <v>219697.31211579448</v>
      </c>
      <c r="AK74" s="197">
        <f t="shared" si="65"/>
        <v>223937.59310309414</v>
      </c>
      <c r="AM74" s="205"/>
      <c r="AQ74" s="197">
        <f t="shared" si="38"/>
        <v>38850.01692483853</v>
      </c>
      <c r="AR74" s="197">
        <f t="shared" si="39"/>
        <v>44374.54358736251</v>
      </c>
      <c r="AS74" s="197">
        <f t="shared" si="39"/>
        <v>49589.58581185948</v>
      </c>
      <c r="AT74" s="197">
        <f t="shared" si="39"/>
        <v>53435.083260331194</v>
      </c>
      <c r="AU74" s="197">
        <f t="shared" si="39"/>
        <v>57084.03518124115</v>
      </c>
      <c r="AV74" s="247">
        <f t="shared" si="39"/>
        <v>60553.76722374374</v>
      </c>
      <c r="AW74" s="197">
        <f t="shared" si="39"/>
        <v>63860.24029914668</v>
      </c>
      <c r="AX74" s="197">
        <f t="shared" si="39"/>
        <v>67018.16018493952</v>
      </c>
      <c r="AY74" s="197">
        <f t="shared" si="39"/>
        <v>70041.07835684504</v>
      </c>
      <c r="AZ74" s="197">
        <f t="shared" si="39"/>
        <v>72941.48475137705</v>
      </c>
      <c r="BA74" s="197">
        <f t="shared" si="39"/>
        <v>75730.89310513805</v>
      </c>
      <c r="BB74" s="197">
        <f t="shared" si="39"/>
        <v>78419.91946534306</v>
      </c>
      <c r="BC74" s="197">
        <f t="shared" si="39"/>
        <v>81018.35441845418</v>
      </c>
      <c r="BD74" s="197">
        <f t="shared" si="39"/>
        <v>83535.22954001841</v>
      </c>
      <c r="BE74" s="197">
        <f t="shared" si="39"/>
        <v>85978.87852851808</v>
      </c>
      <c r="BF74" s="197">
        <f t="shared" si="39"/>
        <v>88356.99344898397</v>
      </c>
      <c r="BG74" s="197">
        <f t="shared" si="39"/>
        <v>90676.67647803015</v>
      </c>
      <c r="BH74" s="197">
        <f t="shared" si="39"/>
        <v>92944.48751060899</v>
      </c>
      <c r="BI74" s="197">
        <f t="shared" si="39"/>
        <v>95166.48795993417</v>
      </c>
      <c r="BJ74" s="197">
        <f t="shared" si="39"/>
        <v>97348.28105548026</v>
      </c>
      <c r="BK74" s="197">
        <f t="shared" si="39"/>
        <v>99495.04891955272</v>
      </c>
      <c r="BL74" s="197">
        <f t="shared" si="39"/>
        <v>101611.5866804625</v>
      </c>
      <c r="BN74" s="205"/>
      <c r="BP74" s="213">
        <f t="shared" si="63"/>
        <v>0</v>
      </c>
      <c r="BQ74" s="213">
        <f t="shared" si="40"/>
        <v>0</v>
      </c>
      <c r="BR74" s="213">
        <f t="shared" si="41"/>
        <v>0</v>
      </c>
      <c r="BS74" s="213">
        <f t="shared" si="42"/>
        <v>4382.684306532799</v>
      </c>
      <c r="BT74" s="213">
        <f t="shared" si="43"/>
        <v>26108.39522456391</v>
      </c>
      <c r="BU74" s="256">
        <f t="shared" si="44"/>
        <v>47810.568122952944</v>
      </c>
      <c r="BV74" s="213">
        <f t="shared" si="45"/>
        <v>70077.37666751142</v>
      </c>
      <c r="BW74" s="213">
        <f t="shared" si="46"/>
        <v>92927.09496368126</v>
      </c>
      <c r="BX74" s="213">
        <f t="shared" si="47"/>
        <v>95072.82390937977</v>
      </c>
      <c r="BY74" s="213">
        <f t="shared" si="48"/>
        <v>97198.71240430154</v>
      </c>
      <c r="BZ74" s="213">
        <f t="shared" si="49"/>
        <v>99308.56895464433</v>
      </c>
      <c r="CA74" s="213">
        <f t="shared" si="50"/>
        <v>101405.943549341</v>
      </c>
      <c r="CB74" s="213">
        <f t="shared" si="51"/>
        <v>103494.14813299423</v>
      </c>
      <c r="CC74" s="213">
        <f t="shared" si="52"/>
        <v>105576.27551113516</v>
      </c>
      <c r="CD74" s="213">
        <f t="shared" si="53"/>
        <v>107655.21680847314</v>
      </c>
      <c r="CE74" s="213">
        <f t="shared" si="54"/>
        <v>109733.67759154155</v>
      </c>
      <c r="CF74" s="213">
        <f t="shared" si="55"/>
        <v>111814.19275858968</v>
      </c>
      <c r="CG74" s="213">
        <f t="shared" si="56"/>
        <v>113899.14029167661</v>
      </c>
      <c r="CH74" s="213">
        <f t="shared" si="57"/>
        <v>115990.75395862682</v>
      </c>
      <c r="CI74" s="213">
        <f t="shared" si="58"/>
        <v>118091.13504577895</v>
      </c>
      <c r="CJ74" s="213">
        <f t="shared" si="59"/>
        <v>120202.26319624177</v>
      </c>
      <c r="CK74" s="213">
        <f t="shared" si="60"/>
        <v>122326.00642263165</v>
      </c>
    </row>
    <row r="75" spans="4:89" s="193" customFormat="1" ht="12.75">
      <c r="D75" s="196" t="s">
        <v>81</v>
      </c>
      <c r="E75" s="196"/>
      <c r="L75" s="184" t="s">
        <v>184</v>
      </c>
      <c r="M75" s="194"/>
      <c r="O75" s="195"/>
      <c r="P75" s="197">
        <f aca="true" t="shared" si="66" ref="P75:AK75">P52*P63</f>
        <v>53660.95352836076</v>
      </c>
      <c r="Q75" s="197">
        <f t="shared" si="66"/>
        <v>61291.61606005083</v>
      </c>
      <c r="R75" s="247">
        <f t="shared" si="66"/>
        <v>68494.80824909345</v>
      </c>
      <c r="S75" s="197">
        <f t="shared" si="66"/>
        <v>79859.85037075885</v>
      </c>
      <c r="T75" s="197">
        <f t="shared" si="66"/>
        <v>114908.19040192342</v>
      </c>
      <c r="U75" s="247">
        <f t="shared" si="66"/>
        <v>149676.47438663148</v>
      </c>
      <c r="V75" s="197">
        <f t="shared" si="66"/>
        <v>184999.15337622722</v>
      </c>
      <c r="W75" s="197">
        <f t="shared" si="66"/>
        <v>220921.78029720692</v>
      </c>
      <c r="X75" s="197">
        <f t="shared" si="66"/>
        <v>228060.89000001174</v>
      </c>
      <c r="Y75" s="197">
        <f t="shared" si="66"/>
        <v>235003.3780047048</v>
      </c>
      <c r="Z75" s="197">
        <f t="shared" si="66"/>
        <v>241770.40790975903</v>
      </c>
      <c r="AA75" s="197">
        <f t="shared" si="66"/>
        <v>248381.54632202745</v>
      </c>
      <c r="AB75" s="197">
        <f t="shared" si="66"/>
        <v>254854.89089927787</v>
      </c>
      <c r="AC75" s="197">
        <f t="shared" si="66"/>
        <v>261207.18824552977</v>
      </c>
      <c r="AD75" s="197">
        <f t="shared" si="66"/>
        <v>267453.942465114</v>
      </c>
      <c r="AE75" s="197">
        <f t="shared" si="66"/>
        <v>273609.5151173894</v>
      </c>
      <c r="AF75" s="197">
        <f t="shared" si="66"/>
        <v>279687.2172551517</v>
      </c>
      <c r="AG75" s="197">
        <f t="shared" si="66"/>
        <v>285699.3941755441</v>
      </c>
      <c r="AH75" s="197">
        <f t="shared" si="66"/>
        <v>291657.50346235733</v>
      </c>
      <c r="AI75" s="197">
        <f t="shared" si="66"/>
        <v>297572.1868526548</v>
      </c>
      <c r="AJ75" s="197">
        <f t="shared" si="66"/>
        <v>303453.336418345</v>
      </c>
      <c r="AK75" s="197">
        <f t="shared" si="66"/>
        <v>309310.15551437996</v>
      </c>
      <c r="AM75" s="205"/>
      <c r="AQ75" s="197">
        <f t="shared" si="38"/>
        <v>53660.95352836076</v>
      </c>
      <c r="AR75" s="197">
        <f t="shared" si="39"/>
        <v>61291.61606005083</v>
      </c>
      <c r="AS75" s="197">
        <f t="shared" si="39"/>
        <v>68494.80824909345</v>
      </c>
      <c r="AT75" s="197">
        <f t="shared" si="39"/>
        <v>73806.33900788547</v>
      </c>
      <c r="AU75" s="197">
        <f t="shared" si="39"/>
        <v>78846.39445584037</v>
      </c>
      <c r="AV75" s="247">
        <f t="shared" si="39"/>
        <v>83638.90536384867</v>
      </c>
      <c r="AW75" s="197">
        <f t="shared" si="39"/>
        <v>88205.91748086359</v>
      </c>
      <c r="AX75" s="197">
        <f t="shared" si="39"/>
        <v>92567.74292268149</v>
      </c>
      <c r="AY75" s="197">
        <f t="shared" si="39"/>
        <v>96743.09944457143</v>
      </c>
      <c r="AZ75" s="197">
        <f t="shared" si="39"/>
        <v>100749.23856804853</v>
      </c>
      <c r="BA75" s="197">
        <f t="shared" si="39"/>
        <v>104602.06345438962</v>
      </c>
      <c r="BB75" s="197">
        <f t="shared" si="39"/>
        <v>108316.23734601654</v>
      </c>
      <c r="BC75" s="197">
        <f t="shared" si="39"/>
        <v>111905.28333112178</v>
      </c>
      <c r="BD75" s="197">
        <f t="shared" si="39"/>
        <v>115381.67612642575</v>
      </c>
      <c r="BE75" s="197">
        <f t="shared" si="39"/>
        <v>118756.9265173122</v>
      </c>
      <c r="BF75" s="197">
        <f t="shared" si="39"/>
        <v>122041.65904340368</v>
      </c>
      <c r="BG75" s="197">
        <f t="shared" si="39"/>
        <v>125245.68347054857</v>
      </c>
      <c r="BH75" s="197">
        <f t="shared" si="39"/>
        <v>128378.06054687653</v>
      </c>
      <c r="BI75" s="197">
        <f t="shared" si="39"/>
        <v>131447.1625007293</v>
      </c>
      <c r="BJ75" s="197">
        <f t="shared" si="39"/>
        <v>134460.72870161672</v>
      </c>
      <c r="BK75" s="197">
        <f t="shared" si="39"/>
        <v>137425.91687162544</v>
      </c>
      <c r="BL75" s="197">
        <f t="shared" si="39"/>
        <v>140349.35020368628</v>
      </c>
      <c r="BN75" s="205"/>
      <c r="BP75" s="213">
        <f t="shared" si="63"/>
        <v>0</v>
      </c>
      <c r="BQ75" s="213">
        <f t="shared" si="40"/>
        <v>0</v>
      </c>
      <c r="BR75" s="213">
        <f t="shared" si="41"/>
        <v>0</v>
      </c>
      <c r="BS75" s="213">
        <f t="shared" si="42"/>
        <v>6053.511362873382</v>
      </c>
      <c r="BT75" s="213">
        <f t="shared" si="43"/>
        <v>36061.795946083046</v>
      </c>
      <c r="BU75" s="256">
        <f t="shared" si="44"/>
        <v>66037.56902278282</v>
      </c>
      <c r="BV75" s="213">
        <f t="shared" si="45"/>
        <v>96793.23589536363</v>
      </c>
      <c r="BW75" s="213">
        <f t="shared" si="46"/>
        <v>128354.03737452543</v>
      </c>
      <c r="BX75" s="213">
        <f t="shared" si="47"/>
        <v>131317.7905554403</v>
      </c>
      <c r="BY75" s="213">
        <f t="shared" si="48"/>
        <v>134254.13943665626</v>
      </c>
      <c r="BZ75" s="213">
        <f t="shared" si="49"/>
        <v>137168.3444553694</v>
      </c>
      <c r="CA75" s="213">
        <f t="shared" si="50"/>
        <v>140065.3089760109</v>
      </c>
      <c r="CB75" s="213">
        <f t="shared" si="51"/>
        <v>142949.6075681561</v>
      </c>
      <c r="CC75" s="213">
        <f t="shared" si="52"/>
        <v>145825.51211910404</v>
      </c>
      <c r="CD75" s="213">
        <f t="shared" si="53"/>
        <v>148697.01594780182</v>
      </c>
      <c r="CE75" s="213">
        <f t="shared" si="54"/>
        <v>151567.8560739857</v>
      </c>
      <c r="CF75" s="213">
        <f t="shared" si="55"/>
        <v>154441.53378460315</v>
      </c>
      <c r="CG75" s="213">
        <f t="shared" si="56"/>
        <v>157321.33362866758</v>
      </c>
      <c r="CH75" s="213">
        <f t="shared" si="57"/>
        <v>160210.34096162804</v>
      </c>
      <c r="CI75" s="213">
        <f t="shared" si="58"/>
        <v>163111.45815103807</v>
      </c>
      <c r="CJ75" s="213">
        <f t="shared" si="59"/>
        <v>166027.41954671955</v>
      </c>
      <c r="CK75" s="213">
        <f t="shared" si="60"/>
        <v>168960.8053106937</v>
      </c>
    </row>
    <row r="76" spans="4:89" s="193" customFormat="1" ht="12.75">
      <c r="D76" s="196" t="s">
        <v>82</v>
      </c>
      <c r="E76" s="196"/>
      <c r="L76" s="184" t="s">
        <v>184</v>
      </c>
      <c r="M76" s="194"/>
      <c r="O76" s="195"/>
      <c r="P76" s="197">
        <f aca="true" t="shared" si="67" ref="P76:AK76">P53*P64</f>
        <v>5337.943010334917</v>
      </c>
      <c r="Q76" s="197">
        <f t="shared" si="67"/>
        <v>6097.005961084232</v>
      </c>
      <c r="R76" s="247">
        <f t="shared" si="67"/>
        <v>6813.546142899628</v>
      </c>
      <c r="S76" s="197">
        <f t="shared" si="67"/>
        <v>7944.087871410708</v>
      </c>
      <c r="T76" s="197">
        <f t="shared" si="67"/>
        <v>11430.53433558541</v>
      </c>
      <c r="U76" s="247">
        <f t="shared" si="67"/>
        <v>14889.122121943388</v>
      </c>
      <c r="V76" s="197">
        <f t="shared" si="67"/>
        <v>18402.858554509097</v>
      </c>
      <c r="W76" s="197">
        <f t="shared" si="67"/>
        <v>21976.275027333562</v>
      </c>
      <c r="X76" s="197">
        <f t="shared" si="67"/>
        <v>22686.440580354534</v>
      </c>
      <c r="Y76" s="197">
        <f t="shared" si="67"/>
        <v>23377.04711792565</v>
      </c>
      <c r="Z76" s="197">
        <f t="shared" si="67"/>
        <v>24050.19989675803</v>
      </c>
      <c r="AA76" s="197">
        <f t="shared" si="67"/>
        <v>24707.845312236415</v>
      </c>
      <c r="AB76" s="197">
        <f t="shared" si="67"/>
        <v>25351.78363549711</v>
      </c>
      <c r="AC76" s="197">
        <f t="shared" si="67"/>
        <v>25983.680741109918</v>
      </c>
      <c r="AD76" s="197">
        <f t="shared" si="67"/>
        <v>26605.07890553289</v>
      </c>
      <c r="AE76" s="197">
        <f t="shared" si="67"/>
        <v>27217.40675014445</v>
      </c>
      <c r="AF76" s="197">
        <f t="shared" si="67"/>
        <v>27821.988396797817</v>
      </c>
      <c r="AG76" s="197">
        <f t="shared" si="67"/>
        <v>28420.05189844886</v>
      </c>
      <c r="AH76" s="197">
        <f t="shared" si="67"/>
        <v>29012.737002442536</v>
      </c>
      <c r="AI76" s="197">
        <f t="shared" si="67"/>
        <v>29601.10229947171</v>
      </c>
      <c r="AJ76" s="197">
        <f t="shared" si="67"/>
        <v>30186.13180701331</v>
      </c>
      <c r="AK76" s="197">
        <f t="shared" si="67"/>
        <v>30768.741032172777</v>
      </c>
      <c r="AM76" s="205"/>
      <c r="AQ76" s="197">
        <f t="shared" si="38"/>
        <v>5337.943010334917</v>
      </c>
      <c r="AR76" s="197">
        <f t="shared" si="39"/>
        <v>6097.005961084232</v>
      </c>
      <c r="AS76" s="197">
        <f t="shared" si="39"/>
        <v>6813.546142899628</v>
      </c>
      <c r="AT76" s="197">
        <f t="shared" si="39"/>
        <v>7341.912610951447</v>
      </c>
      <c r="AU76" s="197">
        <f t="shared" si="39"/>
        <v>7843.273973005744</v>
      </c>
      <c r="AV76" s="247">
        <f t="shared" si="39"/>
        <v>8320.010751263628</v>
      </c>
      <c r="AW76" s="197">
        <f t="shared" si="39"/>
        <v>8774.315954678439</v>
      </c>
      <c r="AX76" s="197">
        <f t="shared" si="39"/>
        <v>9208.210138410139</v>
      </c>
      <c r="AY76" s="197">
        <f t="shared" si="39"/>
        <v>9623.555258021166</v>
      </c>
      <c r="AZ76" s="197">
        <f t="shared" si="39"/>
        <v>10022.067414934138</v>
      </c>
      <c r="BA76" s="197">
        <f t="shared" si="39"/>
        <v>10405.328581943017</v>
      </c>
      <c r="BB76" s="197">
        <f t="shared" si="39"/>
        <v>10774.797390459435</v>
      </c>
      <c r="BC76" s="197">
        <f t="shared" si="39"/>
        <v>11131.819054635374</v>
      </c>
      <c r="BD76" s="197">
        <f t="shared" si="39"/>
        <v>11477.634501486571</v>
      </c>
      <c r="BE76" s="197">
        <f t="shared" si="39"/>
        <v>11813.388770605929</v>
      </c>
      <c r="BF76" s="197">
        <f t="shared" si="39"/>
        <v>12140.13874196458</v>
      </c>
      <c r="BG76" s="197">
        <f t="shared" si="39"/>
        <v>12458.86024561399</v>
      </c>
      <c r="BH76" s="197">
        <f t="shared" si="39"/>
        <v>12770.454602793669</v>
      </c>
      <c r="BI76" s="197">
        <f t="shared" si="39"/>
        <v>13075.754643984981</v>
      </c>
      <c r="BJ76" s="197">
        <f t="shared" si="39"/>
        <v>13375.53024580515</v>
      </c>
      <c r="BK76" s="197">
        <f t="shared" si="39"/>
        <v>13670.4934252809</v>
      </c>
      <c r="BL76" s="197">
        <f t="shared" si="39"/>
        <v>13961.303026955362</v>
      </c>
      <c r="BN76" s="205"/>
      <c r="BP76" s="213">
        <f t="shared" si="63"/>
        <v>0</v>
      </c>
      <c r="BQ76" s="213">
        <f t="shared" si="40"/>
        <v>0</v>
      </c>
      <c r="BR76" s="213">
        <f t="shared" si="41"/>
        <v>0</v>
      </c>
      <c r="BS76" s="213">
        <f t="shared" si="42"/>
        <v>602.1752604592612</v>
      </c>
      <c r="BT76" s="213">
        <f t="shared" si="43"/>
        <v>3587.2603625796655</v>
      </c>
      <c r="BU76" s="256">
        <f t="shared" si="44"/>
        <v>6569.1113706797605</v>
      </c>
      <c r="BV76" s="213">
        <f t="shared" si="45"/>
        <v>9628.542599830658</v>
      </c>
      <c r="BW76" s="213">
        <f t="shared" si="46"/>
        <v>12768.064888923423</v>
      </c>
      <c r="BX76" s="213">
        <f t="shared" si="47"/>
        <v>13062.885322333368</v>
      </c>
      <c r="BY76" s="213">
        <f t="shared" si="48"/>
        <v>13354.979702991512</v>
      </c>
      <c r="BZ76" s="213">
        <f t="shared" si="49"/>
        <v>13644.871314815013</v>
      </c>
      <c r="CA76" s="213">
        <f t="shared" si="50"/>
        <v>13933.04792177698</v>
      </c>
      <c r="CB76" s="213">
        <f t="shared" si="51"/>
        <v>14219.964580861737</v>
      </c>
      <c r="CC76" s="213">
        <f t="shared" si="52"/>
        <v>14506.046239623347</v>
      </c>
      <c r="CD76" s="213">
        <f t="shared" si="53"/>
        <v>14791.690134926961</v>
      </c>
      <c r="CE76" s="213">
        <f t="shared" si="54"/>
        <v>15077.268008179872</v>
      </c>
      <c r="CF76" s="213">
        <f t="shared" si="55"/>
        <v>15363.128151183826</v>
      </c>
      <c r="CG76" s="213">
        <f t="shared" si="56"/>
        <v>15649.59729565519</v>
      </c>
      <c r="CH76" s="213">
        <f t="shared" si="57"/>
        <v>15936.982358457555</v>
      </c>
      <c r="CI76" s="213">
        <f t="shared" si="58"/>
        <v>16225.57205366656</v>
      </c>
      <c r="CJ76" s="213">
        <f t="shared" si="59"/>
        <v>16515.63838173241</v>
      </c>
      <c r="CK76" s="213">
        <f t="shared" si="60"/>
        <v>16807.438005217417</v>
      </c>
    </row>
    <row r="77" spans="4:89" s="193" customFormat="1" ht="12.75">
      <c r="D77" s="196" t="s">
        <v>189</v>
      </c>
      <c r="E77" s="196"/>
      <c r="L77" s="184" t="s">
        <v>184</v>
      </c>
      <c r="M77" s="194"/>
      <c r="O77" s="195"/>
      <c r="P77" s="197">
        <f aca="true" t="shared" si="68" ref="P77:AK77">P54*P65</f>
        <v>80855.88339957802</v>
      </c>
      <c r="Q77" s="197">
        <f t="shared" si="68"/>
        <v>92353.70293790904</v>
      </c>
      <c r="R77" s="247">
        <f t="shared" si="68"/>
        <v>103207.41368000685</v>
      </c>
      <c r="S77" s="197">
        <f t="shared" si="68"/>
        <v>120332.16566815405</v>
      </c>
      <c r="T77" s="197">
        <f t="shared" si="68"/>
        <v>173142.7161443184</v>
      </c>
      <c r="U77" s="247">
        <f t="shared" si="68"/>
        <v>225531.2804732245</v>
      </c>
      <c r="V77" s="197">
        <f t="shared" si="68"/>
        <v>278755.2026354353</v>
      </c>
      <c r="W77" s="197">
        <f t="shared" si="68"/>
        <v>332883.1214059089</v>
      </c>
      <c r="X77" s="197">
        <f t="shared" si="68"/>
        <v>343640.2731848406</v>
      </c>
      <c r="Y77" s="197">
        <f t="shared" si="68"/>
        <v>354101.15700632846</v>
      </c>
      <c r="Z77" s="197">
        <f t="shared" si="68"/>
        <v>364297.6620064742</v>
      </c>
      <c r="AA77" s="197">
        <f t="shared" si="68"/>
        <v>374259.2709875433</v>
      </c>
      <c r="AB77" s="197">
        <f t="shared" si="68"/>
        <v>384013.2533514015</v>
      </c>
      <c r="AC77" s="197">
        <f t="shared" si="68"/>
        <v>393584.84274323995</v>
      </c>
      <c r="AD77" s="197">
        <f t="shared" si="68"/>
        <v>402997.40061993845</v>
      </c>
      <c r="AE77" s="197">
        <f t="shared" si="68"/>
        <v>412272.5668610109</v>
      </c>
      <c r="AF77" s="197">
        <f t="shared" si="68"/>
        <v>421430.3984513228</v>
      </c>
      <c r="AG77" s="197">
        <f t="shared" si="68"/>
        <v>430489.4971830655</v>
      </c>
      <c r="AH77" s="197">
        <f t="shared" si="68"/>
        <v>439467.12724925333</v>
      </c>
      <c r="AI77" s="197">
        <f t="shared" si="68"/>
        <v>448379.3235317617</v>
      </c>
      <c r="AJ77" s="197">
        <f t="shared" si="68"/>
        <v>457240.99132317724</v>
      </c>
      <c r="AK77" s="197">
        <f t="shared" si="68"/>
        <v>466065.9981630417</v>
      </c>
      <c r="AM77" s="205"/>
      <c r="AQ77" s="197">
        <f t="shared" si="38"/>
        <v>80855.88339957802</v>
      </c>
      <c r="AR77" s="197">
        <f t="shared" si="39"/>
        <v>92353.70293790904</v>
      </c>
      <c r="AS77" s="197">
        <f t="shared" si="39"/>
        <v>103207.41368000685</v>
      </c>
      <c r="AT77" s="197">
        <f t="shared" si="39"/>
        <v>111210.78453846874</v>
      </c>
      <c r="AU77" s="197">
        <f t="shared" si="39"/>
        <v>118805.09863152468</v>
      </c>
      <c r="AV77" s="247">
        <f t="shared" si="39"/>
        <v>126026.4146479149</v>
      </c>
      <c r="AW77" s="197">
        <f t="shared" si="39"/>
        <v>132907.95094082956</v>
      </c>
      <c r="AX77" s="197">
        <f t="shared" si="39"/>
        <v>139480.31363927736</v>
      </c>
      <c r="AY77" s="197">
        <f t="shared" si="39"/>
        <v>145771.70650293888</v>
      </c>
      <c r="AZ77" s="197">
        <f t="shared" si="39"/>
        <v>151808.12398253425</v>
      </c>
      <c r="BA77" s="197">
        <f t="shared" si="39"/>
        <v>157613.52883066726</v>
      </c>
      <c r="BB77" s="197">
        <f t="shared" si="39"/>
        <v>163210.01550040973</v>
      </c>
      <c r="BC77" s="197">
        <f t="shared" si="39"/>
        <v>168617.96046981888</v>
      </c>
      <c r="BD77" s="197">
        <f t="shared" si="39"/>
        <v>173856.1605394406</v>
      </c>
      <c r="BE77" s="197">
        <f t="shared" si="39"/>
        <v>178941.96006601182</v>
      </c>
      <c r="BF77" s="197">
        <f t="shared" si="39"/>
        <v>183891.36801844568</v>
      </c>
      <c r="BG77" s="197">
        <f t="shared" si="39"/>
        <v>188719.16567123443</v>
      </c>
      <c r="BH77" s="197">
        <f t="shared" si="39"/>
        <v>193439.00568513252</v>
      </c>
      <c r="BI77" s="197">
        <f t="shared" si="39"/>
        <v>198063.50326494133</v>
      </c>
      <c r="BJ77" s="197">
        <f t="shared" si="39"/>
        <v>202604.32002897968</v>
      </c>
      <c r="BK77" s="197">
        <f t="shared" si="39"/>
        <v>207072.24117401335</v>
      </c>
      <c r="BL77" s="197">
        <f t="shared" si="39"/>
        <v>211477.24647267294</v>
      </c>
      <c r="BN77" s="205"/>
      <c r="BP77" s="213">
        <f t="shared" si="63"/>
        <v>0</v>
      </c>
      <c r="BQ77" s="213">
        <f t="shared" si="40"/>
        <v>0</v>
      </c>
      <c r="BR77" s="213">
        <f t="shared" si="41"/>
        <v>0</v>
      </c>
      <c r="BS77" s="213">
        <f t="shared" si="42"/>
        <v>9121.38112968531</v>
      </c>
      <c r="BT77" s="213">
        <f t="shared" si="43"/>
        <v>54337.61751279372</v>
      </c>
      <c r="BU77" s="256">
        <f t="shared" si="44"/>
        <v>99504.8658253096</v>
      </c>
      <c r="BV77" s="213">
        <f t="shared" si="45"/>
        <v>145847.25169460571</v>
      </c>
      <c r="BW77" s="213">
        <f t="shared" si="46"/>
        <v>193402.80776663154</v>
      </c>
      <c r="BX77" s="213">
        <f t="shared" si="47"/>
        <v>197868.56668190175</v>
      </c>
      <c r="BY77" s="213">
        <f t="shared" si="48"/>
        <v>202293.0330237942</v>
      </c>
      <c r="BZ77" s="213">
        <f t="shared" si="49"/>
        <v>206684.13317580696</v>
      </c>
      <c r="CA77" s="213">
        <f t="shared" si="50"/>
        <v>211049.25548713355</v>
      </c>
      <c r="CB77" s="213">
        <f t="shared" si="51"/>
        <v>215395.2928815826</v>
      </c>
      <c r="CC77" s="213">
        <f t="shared" si="52"/>
        <v>219728.68220379934</v>
      </c>
      <c r="CD77" s="213">
        <f t="shared" si="53"/>
        <v>224055.44055392663</v>
      </c>
      <c r="CE77" s="213">
        <f t="shared" si="54"/>
        <v>228381.19884256524</v>
      </c>
      <c r="CF77" s="213">
        <f t="shared" si="55"/>
        <v>232711.23278008838</v>
      </c>
      <c r="CG77" s="213">
        <f t="shared" si="56"/>
        <v>237050.491497933</v>
      </c>
      <c r="CH77" s="213">
        <f t="shared" si="57"/>
        <v>241403.623984312</v>
      </c>
      <c r="CI77" s="213">
        <f t="shared" si="58"/>
        <v>245775.00350278203</v>
      </c>
      <c r="CJ77" s="213">
        <f t="shared" si="59"/>
        <v>250168.75014916388</v>
      </c>
      <c r="CK77" s="213">
        <f t="shared" si="60"/>
        <v>254588.75169036878</v>
      </c>
    </row>
    <row r="78" spans="4:89" s="193" customFormat="1" ht="12.75">
      <c r="D78" s="196" t="s">
        <v>84</v>
      </c>
      <c r="E78" s="196"/>
      <c r="L78" s="184" t="s">
        <v>184</v>
      </c>
      <c r="M78" s="194"/>
      <c r="O78" s="195"/>
      <c r="P78" s="197">
        <f aca="true" t="shared" si="69" ref="P78:AK78">P55*P66</f>
        <v>45649.20673337925</v>
      </c>
      <c r="Q78" s="197">
        <f t="shared" si="69"/>
        <v>52140.587682054895</v>
      </c>
      <c r="R78" s="247">
        <f t="shared" si="69"/>
        <v>58268.32093606952</v>
      </c>
      <c r="S78" s="197">
        <f t="shared" si="69"/>
        <v>67936.52701949792</v>
      </c>
      <c r="T78" s="197">
        <f t="shared" si="69"/>
        <v>97752.04117913381</v>
      </c>
      <c r="U78" s="247">
        <f t="shared" si="69"/>
        <v>127329.3125286625</v>
      </c>
      <c r="V78" s="197">
        <f t="shared" si="69"/>
        <v>157378.20598935435</v>
      </c>
      <c r="W78" s="197">
        <f t="shared" si="69"/>
        <v>187937.47329449406</v>
      </c>
      <c r="X78" s="197">
        <f t="shared" si="69"/>
        <v>194010.69177622252</v>
      </c>
      <c r="Y78" s="197">
        <f t="shared" si="69"/>
        <v>199916.64478920324</v>
      </c>
      <c r="Z78" s="197">
        <f t="shared" si="69"/>
        <v>205673.33614101668</v>
      </c>
      <c r="AA78" s="197">
        <f t="shared" si="69"/>
        <v>211297.41108342572</v>
      </c>
      <c r="AB78" s="197">
        <f t="shared" si="69"/>
        <v>216804.26523776207</v>
      </c>
      <c r="AC78" s="197">
        <f t="shared" si="69"/>
        <v>222208.14488812443</v>
      </c>
      <c r="AD78" s="197">
        <f t="shared" si="69"/>
        <v>227522.23932797994</v>
      </c>
      <c r="AE78" s="197">
        <f t="shared" si="69"/>
        <v>232758.76589133195</v>
      </c>
      <c r="AF78" s="197">
        <f t="shared" si="69"/>
        <v>237929.04824950843</v>
      </c>
      <c r="AG78" s="197">
        <f t="shared" si="69"/>
        <v>243043.58850849938</v>
      </c>
      <c r="AH78" s="197">
        <f t="shared" si="69"/>
        <v>248112.13359929912</v>
      </c>
      <c r="AI78" s="197">
        <f t="shared" si="69"/>
        <v>253143.73641462132</v>
      </c>
      <c r="AJ78" s="197">
        <f t="shared" si="69"/>
        <v>258146.81210935756</v>
      </c>
      <c r="AK78" s="197">
        <f t="shared" si="69"/>
        <v>263129.1899490208</v>
      </c>
      <c r="AM78" s="205"/>
      <c r="AQ78" s="197">
        <f t="shared" si="38"/>
        <v>45649.20673337925</v>
      </c>
      <c r="AR78" s="197">
        <f t="shared" si="39"/>
        <v>52140.587682054895</v>
      </c>
      <c r="AS78" s="197">
        <f t="shared" si="39"/>
        <v>58268.32093606952</v>
      </c>
      <c r="AT78" s="197">
        <f t="shared" si="39"/>
        <v>62786.82367849008</v>
      </c>
      <c r="AU78" s="197">
        <f t="shared" si="39"/>
        <v>67074.38321598114</v>
      </c>
      <c r="AV78" s="247">
        <f t="shared" si="39"/>
        <v>71151.35738111631</v>
      </c>
      <c r="AW78" s="197">
        <f t="shared" si="39"/>
        <v>75036.50042415367</v>
      </c>
      <c r="AX78" s="197">
        <f t="shared" si="39"/>
        <v>78747.09179900172</v>
      </c>
      <c r="AY78" s="197">
        <f t="shared" si="39"/>
        <v>82299.05464201346</v>
      </c>
      <c r="AZ78" s="197">
        <f t="shared" si="39"/>
        <v>85707.064769035</v>
      </c>
      <c r="BA78" s="197">
        <f t="shared" si="39"/>
        <v>88984.65095003971</v>
      </c>
      <c r="BB78" s="197">
        <f t="shared" si="39"/>
        <v>92144.28715987685</v>
      </c>
      <c r="BC78" s="197">
        <f t="shared" si="39"/>
        <v>95197.47744772899</v>
      </c>
      <c r="BD78" s="197">
        <f t="shared" si="39"/>
        <v>98154.83401641883</v>
      </c>
      <c r="BE78" s="197">
        <f t="shared" si="39"/>
        <v>101026.14905537099</v>
      </c>
      <c r="BF78" s="197">
        <f t="shared" si="39"/>
        <v>103820.46082748956</v>
      </c>
      <c r="BG78" s="197">
        <f t="shared" si="39"/>
        <v>106546.11447015603</v>
      </c>
      <c r="BH78" s="197">
        <f t="shared" si="39"/>
        <v>109210.81793370181</v>
      </c>
      <c r="BI78" s="197">
        <f t="shared" si="39"/>
        <v>111821.69344681017</v>
      </c>
      <c r="BJ78" s="197">
        <f t="shared" si="39"/>
        <v>114385.32486711892</v>
      </c>
      <c r="BK78" s="197">
        <f t="shared" si="39"/>
        <v>116907.80124660705</v>
      </c>
      <c r="BL78" s="197">
        <f t="shared" si="39"/>
        <v>119394.75691495845</v>
      </c>
      <c r="BN78" s="205"/>
      <c r="BP78" s="213">
        <f t="shared" si="63"/>
        <v>0</v>
      </c>
      <c r="BQ78" s="213">
        <f t="shared" si="40"/>
        <v>0</v>
      </c>
      <c r="BR78" s="213">
        <f t="shared" si="41"/>
        <v>0</v>
      </c>
      <c r="BS78" s="213">
        <f t="shared" si="42"/>
        <v>5149.703341007844</v>
      </c>
      <c r="BT78" s="213">
        <f t="shared" si="43"/>
        <v>30677.65796315267</v>
      </c>
      <c r="BU78" s="256">
        <f t="shared" si="44"/>
        <v>56177.95514754619</v>
      </c>
      <c r="BV78" s="213">
        <f t="shared" si="45"/>
        <v>82341.70556520068</v>
      </c>
      <c r="BW78" s="213">
        <f t="shared" si="46"/>
        <v>109190.38149549234</v>
      </c>
      <c r="BX78" s="213">
        <f t="shared" si="47"/>
        <v>111711.63713420906</v>
      </c>
      <c r="BY78" s="213">
        <f t="shared" si="48"/>
        <v>114209.58002016824</v>
      </c>
      <c r="BZ78" s="213">
        <f t="shared" si="49"/>
        <v>116688.68519097698</v>
      </c>
      <c r="CA78" s="213">
        <f t="shared" si="50"/>
        <v>119153.12392354886</v>
      </c>
      <c r="CB78" s="213">
        <f t="shared" si="51"/>
        <v>121606.78779003308</v>
      </c>
      <c r="CC78" s="213">
        <f t="shared" si="52"/>
        <v>124053.3108717056</v>
      </c>
      <c r="CD78" s="213">
        <f t="shared" si="53"/>
        <v>126496.09027260896</v>
      </c>
      <c r="CE78" s="213">
        <f t="shared" si="54"/>
        <v>128938.30506384239</v>
      </c>
      <c r="CF78" s="213">
        <f t="shared" si="55"/>
        <v>131382.9337793524</v>
      </c>
      <c r="CG78" s="213">
        <f t="shared" si="56"/>
        <v>133832.77057479759</v>
      </c>
      <c r="CH78" s="213">
        <f t="shared" si="57"/>
        <v>136290.44015248894</v>
      </c>
      <c r="CI78" s="213">
        <f t="shared" si="58"/>
        <v>138758.4115475024</v>
      </c>
      <c r="CJ78" s="213">
        <f t="shared" si="59"/>
        <v>141239.01086275053</v>
      </c>
      <c r="CK78" s="213">
        <f t="shared" si="60"/>
        <v>143734.43303406236</v>
      </c>
    </row>
    <row r="79" spans="4:89" s="193" customFormat="1" ht="12.75">
      <c r="D79" s="196" t="s">
        <v>190</v>
      </c>
      <c r="E79" s="196"/>
      <c r="L79" s="184" t="s">
        <v>184</v>
      </c>
      <c r="M79" s="194"/>
      <c r="O79" s="195"/>
      <c r="P79" s="197">
        <f aca="true" t="shared" si="70" ref="P79:AK79">P56*P67</f>
        <v>33086.76860231176</v>
      </c>
      <c r="Q79" s="197">
        <f t="shared" si="70"/>
        <v>37791.75330473458</v>
      </c>
      <c r="R79" s="247">
        <f t="shared" si="70"/>
        <v>42233.16437714258</v>
      </c>
      <c r="S79" s="197">
        <f t="shared" si="70"/>
        <v>49240.72749538515</v>
      </c>
      <c r="T79" s="197">
        <f t="shared" si="70"/>
        <v>70851.15817648353</v>
      </c>
      <c r="U79" s="247">
        <f t="shared" si="70"/>
        <v>92288.90930204833</v>
      </c>
      <c r="V79" s="197">
        <f t="shared" si="70"/>
        <v>114068.49444350148</v>
      </c>
      <c r="W79" s="197">
        <f t="shared" si="70"/>
        <v>136218.0010469101</v>
      </c>
      <c r="X79" s="197">
        <f t="shared" si="70"/>
        <v>140619.89954538495</v>
      </c>
      <c r="Y79" s="197">
        <f t="shared" si="70"/>
        <v>144900.56321294734</v>
      </c>
      <c r="Z79" s="197">
        <f t="shared" si="70"/>
        <v>149073.04129750314</v>
      </c>
      <c r="AA79" s="197">
        <f t="shared" si="70"/>
        <v>153149.39835904833</v>
      </c>
      <c r="AB79" s="197">
        <f t="shared" si="70"/>
        <v>157140.79321932254</v>
      </c>
      <c r="AC79" s="197">
        <f t="shared" si="70"/>
        <v>161057.55165481014</v>
      </c>
      <c r="AD79" s="197">
        <f t="shared" si="70"/>
        <v>164909.2333300092</v>
      </c>
      <c r="AE79" s="197">
        <f t="shared" si="70"/>
        <v>168704.6934284384</v>
      </c>
      <c r="AF79" s="197">
        <f t="shared" si="70"/>
        <v>172452.13940253275</v>
      </c>
      <c r="AG79" s="197">
        <f t="shared" si="70"/>
        <v>176159.18323014653</v>
      </c>
      <c r="AH79" s="197">
        <f t="shared" si="70"/>
        <v>179832.8895345991</v>
      </c>
      <c r="AI79" s="197">
        <f t="shared" si="70"/>
        <v>183479.8198968648</v>
      </c>
      <c r="AJ79" s="197">
        <f t="shared" si="70"/>
        <v>187106.0736624214</v>
      </c>
      <c r="AK79" s="197">
        <f t="shared" si="70"/>
        <v>190717.32552125567</v>
      </c>
      <c r="AM79" s="205"/>
      <c r="AQ79" s="197">
        <f t="shared" si="38"/>
        <v>33086.76860231176</v>
      </c>
      <c r="AR79" s="197">
        <f aca="true" t="shared" si="71" ref="AR79:BL79">AR56*AR67</f>
        <v>37791.75330473458</v>
      </c>
      <c r="AS79" s="197">
        <f t="shared" si="71"/>
        <v>42233.16437714258</v>
      </c>
      <c r="AT79" s="197">
        <f t="shared" si="71"/>
        <v>45508.19729371815</v>
      </c>
      <c r="AU79" s="197">
        <f t="shared" si="71"/>
        <v>48615.8414443419</v>
      </c>
      <c r="AV79" s="247">
        <f t="shared" si="71"/>
        <v>51570.85228576348</v>
      </c>
      <c r="AW79" s="197">
        <f t="shared" si="71"/>
        <v>54386.8229904168</v>
      </c>
      <c r="AX79" s="197">
        <f t="shared" si="71"/>
        <v>57076.27779111895</v>
      </c>
      <c r="AY79" s="197">
        <f t="shared" si="71"/>
        <v>59650.75785508039</v>
      </c>
      <c r="AZ79" s="197">
        <f t="shared" si="71"/>
        <v>62120.90028549954</v>
      </c>
      <c r="BA79" s="197">
        <f t="shared" si="71"/>
        <v>64496.51080110883</v>
      </c>
      <c r="BB79" s="197">
        <f t="shared" si="71"/>
        <v>66786.63059996886</v>
      </c>
      <c r="BC79" s="197">
        <f t="shared" si="71"/>
        <v>68999.59787326699</v>
      </c>
      <c r="BD79" s="197">
        <f t="shared" si="71"/>
        <v>71143.10439758125</v>
      </c>
      <c r="BE79" s="197">
        <f t="shared" si="71"/>
        <v>73224.24759976269</v>
      </c>
      <c r="BF79" s="197">
        <f t="shared" si="71"/>
        <v>75249.57845702814</v>
      </c>
      <c r="BG79" s="197">
        <f t="shared" si="71"/>
        <v>77225.1455658211</v>
      </c>
      <c r="BH79" s="197">
        <f t="shared" si="71"/>
        <v>79156.53568629059</v>
      </c>
      <c r="BI79" s="197">
        <f t="shared" si="71"/>
        <v>81048.91104466659</v>
      </c>
      <c r="BJ79" s="197">
        <f t="shared" si="71"/>
        <v>82907.04365320869</v>
      </c>
      <c r="BK79" s="197">
        <f t="shared" si="71"/>
        <v>84735.3468866117</v>
      </c>
      <c r="BL79" s="197">
        <f t="shared" si="71"/>
        <v>86537.90453462407</v>
      </c>
      <c r="BN79" s="205"/>
      <c r="BP79" s="213">
        <f t="shared" si="63"/>
        <v>0</v>
      </c>
      <c r="BQ79" s="213">
        <f t="shared" si="40"/>
        <v>0</v>
      </c>
      <c r="BR79" s="213">
        <f t="shared" si="41"/>
        <v>0</v>
      </c>
      <c r="BS79" s="213">
        <f t="shared" si="42"/>
        <v>3732.530201667003</v>
      </c>
      <c r="BT79" s="213">
        <f t="shared" si="43"/>
        <v>22235.316732141626</v>
      </c>
      <c r="BU79" s="256">
        <f t="shared" si="44"/>
        <v>40718.057016284845</v>
      </c>
      <c r="BV79" s="213">
        <f t="shared" si="45"/>
        <v>59681.67145308468</v>
      </c>
      <c r="BW79" s="213">
        <f t="shared" si="46"/>
        <v>79141.72325579115</v>
      </c>
      <c r="BX79" s="213">
        <f t="shared" si="47"/>
        <v>80969.14169030456</v>
      </c>
      <c r="BY79" s="213">
        <f t="shared" si="48"/>
        <v>82779.66292744779</v>
      </c>
      <c r="BZ79" s="213">
        <f t="shared" si="49"/>
        <v>84576.5304963943</v>
      </c>
      <c r="CA79" s="213">
        <f t="shared" si="50"/>
        <v>86362.76775907946</v>
      </c>
      <c r="CB79" s="213">
        <f t="shared" si="51"/>
        <v>88141.19534605555</v>
      </c>
      <c r="CC79" s="213">
        <f t="shared" si="52"/>
        <v>89914.4472572289</v>
      </c>
      <c r="CD79" s="213">
        <f t="shared" si="53"/>
        <v>91684.98573024652</v>
      </c>
      <c r="CE79" s="213">
        <f t="shared" si="54"/>
        <v>93455.11497141025</v>
      </c>
      <c r="CF79" s="213">
        <f t="shared" si="55"/>
        <v>95226.99383671164</v>
      </c>
      <c r="CG79" s="213">
        <f t="shared" si="56"/>
        <v>97002.64754385594</v>
      </c>
      <c r="CH79" s="213">
        <f t="shared" si="57"/>
        <v>98783.9784899325</v>
      </c>
      <c r="CI79" s="213">
        <f t="shared" si="58"/>
        <v>100572.7762436561</v>
      </c>
      <c r="CJ79" s="213">
        <f t="shared" si="59"/>
        <v>102370.7267758097</v>
      </c>
      <c r="CK79" s="213">
        <f t="shared" si="60"/>
        <v>104179.4209866316</v>
      </c>
    </row>
    <row r="80" spans="4:89" s="198" customFormat="1" ht="12.75">
      <c r="D80" s="199" t="s">
        <v>384</v>
      </c>
      <c r="E80" s="199"/>
      <c r="L80" s="191"/>
      <c r="M80" s="200"/>
      <c r="P80" s="198">
        <f>SUM(P71:P79)</f>
        <v>1366759.1484894347</v>
      </c>
      <c r="Q80" s="198">
        <f aca="true" t="shared" si="72" ref="Q80:AK80">SUM(Q71:Q79)</f>
        <v>1571991.4064951818</v>
      </c>
      <c r="R80" s="248">
        <f t="shared" si="72"/>
        <v>1769012.285123377</v>
      </c>
      <c r="S80" s="198">
        <f t="shared" si="72"/>
        <v>2076989.779329979</v>
      </c>
      <c r="T80" s="198">
        <f t="shared" si="72"/>
        <v>3009525.7427483452</v>
      </c>
      <c r="U80" s="248">
        <f t="shared" si="72"/>
        <v>3947756.2839758997</v>
      </c>
      <c r="V80" s="198">
        <f t="shared" si="72"/>
        <v>4913881.811691559</v>
      </c>
      <c r="W80" s="198">
        <f t="shared" si="72"/>
        <v>5909627.494642695</v>
      </c>
      <c r="X80" s="198">
        <f t="shared" si="72"/>
        <v>6143945.953906573</v>
      </c>
      <c r="Y80" s="198">
        <f t="shared" si="72"/>
        <v>6376084.047609383</v>
      </c>
      <c r="Z80" s="198">
        <f t="shared" si="72"/>
        <v>6606550.326763335</v>
      </c>
      <c r="AA80" s="198">
        <f t="shared" si="72"/>
        <v>6835824.280886035</v>
      </c>
      <c r="AB80" s="198">
        <f t="shared" si="72"/>
        <v>7064358.686903523</v>
      </c>
      <c r="AC80" s="198">
        <f t="shared" si="72"/>
        <v>7292581.789041195</v>
      </c>
      <c r="AD80" s="198">
        <f t="shared" si="72"/>
        <v>7520899.322394264</v>
      </c>
      <c r="AE80" s="198">
        <f t="shared" si="72"/>
        <v>7749696.391925265</v>
      </c>
      <c r="AF80" s="198">
        <f t="shared" si="72"/>
        <v>7979339.217762834</v>
      </c>
      <c r="AG80" s="198">
        <f t="shared" si="72"/>
        <v>8210176.756868174</v>
      </c>
      <c r="AH80" s="198">
        <f t="shared" si="72"/>
        <v>8442542.210388366</v>
      </c>
      <c r="AI80" s="198">
        <f t="shared" si="72"/>
        <v>8676754.425324466</v>
      </c>
      <c r="AJ80" s="198">
        <f t="shared" si="72"/>
        <v>8913119.198502762</v>
      </c>
      <c r="AK80" s="198">
        <f t="shared" si="72"/>
        <v>9151930.49024622</v>
      </c>
      <c r="AM80" s="206"/>
      <c r="AQ80" s="198">
        <f aca="true" t="shared" si="73" ref="AQ80:BL80">SUM(AQ71:AQ79)</f>
        <v>1366759.1484894347</v>
      </c>
      <c r="AR80" s="198">
        <f t="shared" si="73"/>
        <v>1571991.4064951818</v>
      </c>
      <c r="AS80" s="198">
        <f t="shared" si="73"/>
        <v>1769012.285123377</v>
      </c>
      <c r="AT80" s="198">
        <f t="shared" si="73"/>
        <v>1918891.95901185</v>
      </c>
      <c r="AU80" s="198">
        <f t="shared" si="73"/>
        <v>2063621.6898279595</v>
      </c>
      <c r="AV80" s="248">
        <f t="shared" si="73"/>
        <v>2203716.1932695936</v>
      </c>
      <c r="AW80" s="198">
        <f t="shared" si="73"/>
        <v>2339654.781053998</v>
      </c>
      <c r="AX80" s="198">
        <f t="shared" si="73"/>
        <v>2471884.0789782964</v>
      </c>
      <c r="AY80" s="198">
        <f t="shared" si="73"/>
        <v>2600820.542582965</v>
      </c>
      <c r="AZ80" s="198">
        <f t="shared" si="73"/>
        <v>2726852.7856964576</v>
      </c>
      <c r="BA80" s="198">
        <f t="shared" si="73"/>
        <v>2850343.7359859026</v>
      </c>
      <c r="BB80" s="198">
        <f t="shared" si="73"/>
        <v>2971632.630573023</v>
      </c>
      <c r="BC80" s="198">
        <f t="shared" si="73"/>
        <v>3091036.863789314</v>
      </c>
      <c r="BD80" s="198">
        <f t="shared" si="73"/>
        <v>3208853.69823417</v>
      </c>
      <c r="BE80" s="198">
        <f t="shared" si="73"/>
        <v>3325361.8494581496</v>
      </c>
      <c r="BF80" s="198">
        <f t="shared" si="73"/>
        <v>3440822.953815898</v>
      </c>
      <c r="BG80" s="198">
        <f t="shared" si="73"/>
        <v>3555482.9283143813</v>
      </c>
      <c r="BH80" s="198">
        <f t="shared" si="73"/>
        <v>3669573.2306176685</v>
      </c>
      <c r="BI80" s="198">
        <f t="shared" si="73"/>
        <v>3783312.026755404</v>
      </c>
      <c r="BJ80" s="198">
        <f t="shared" si="73"/>
        <v>3896905.273514409</v>
      </c>
      <c r="BK80" s="198">
        <f t="shared" si="73"/>
        <v>4010547.7219681647</v>
      </c>
      <c r="BL80" s="198">
        <f t="shared" si="73"/>
        <v>4124423.848113881</v>
      </c>
      <c r="BN80" s="206"/>
      <c r="BP80" s="213">
        <f t="shared" si="63"/>
        <v>0</v>
      </c>
      <c r="BQ80" s="213">
        <f t="shared" si="40"/>
        <v>0</v>
      </c>
      <c r="BR80" s="213">
        <f t="shared" si="41"/>
        <v>0</v>
      </c>
      <c r="BS80" s="213">
        <f t="shared" si="42"/>
        <v>158097.82031812915</v>
      </c>
      <c r="BT80" s="213">
        <f t="shared" si="43"/>
        <v>945904.0529203857</v>
      </c>
      <c r="BU80" s="256">
        <f t="shared" si="44"/>
        <v>1744040.090706306</v>
      </c>
      <c r="BV80" s="213">
        <f t="shared" si="45"/>
        <v>2574227.030637561</v>
      </c>
      <c r="BW80" s="213">
        <f t="shared" si="46"/>
        <v>3437743.415664399</v>
      </c>
      <c r="BX80" s="213">
        <f t="shared" si="47"/>
        <v>3543125.4113236084</v>
      </c>
      <c r="BY80" s="213">
        <f t="shared" si="48"/>
        <v>3649231.2619129256</v>
      </c>
      <c r="BZ80" s="213">
        <f t="shared" si="49"/>
        <v>3756206.590777432</v>
      </c>
      <c r="CA80" s="213">
        <f t="shared" si="50"/>
        <v>3864191.6503130123</v>
      </c>
      <c r="CB80" s="213">
        <f t="shared" si="51"/>
        <v>3973321.8231142093</v>
      </c>
      <c r="CC80" s="213">
        <f t="shared" si="52"/>
        <v>4083728.090807025</v>
      </c>
      <c r="CD80" s="213">
        <f t="shared" si="53"/>
        <v>4195537.472936114</v>
      </c>
      <c r="CE80" s="213">
        <f t="shared" si="54"/>
        <v>4308873.438109367</v>
      </c>
      <c r="CF80" s="213">
        <f t="shared" si="55"/>
        <v>4423856.289448453</v>
      </c>
      <c r="CG80" s="213">
        <f t="shared" si="56"/>
        <v>4540603.526250506</v>
      </c>
      <c r="CH80" s="213">
        <f t="shared" si="57"/>
        <v>4659230.183632962</v>
      </c>
      <c r="CI80" s="213">
        <f t="shared" si="58"/>
        <v>4779849.151810057</v>
      </c>
      <c r="CJ80" s="213">
        <f t="shared" si="59"/>
        <v>4902571.476534598</v>
      </c>
      <c r="CK80" s="213">
        <f t="shared" si="60"/>
        <v>5027506.642132338</v>
      </c>
    </row>
    <row r="81" spans="4:37" ht="12.75">
      <c r="D81" s="67"/>
      <c r="E81" s="67"/>
      <c r="L81" s="64"/>
      <c r="M81" s="78"/>
      <c r="O81" s="63"/>
      <c r="P81" s="63"/>
      <c r="Q81" s="63"/>
      <c r="R81" s="147"/>
      <c r="S81" s="63"/>
      <c r="T81" s="63"/>
      <c r="U81" s="147"/>
      <c r="V81" s="63"/>
      <c r="W81" s="63"/>
      <c r="X81" s="63"/>
      <c r="Y81" s="63"/>
      <c r="Z81" s="63"/>
      <c r="AA81" s="63"/>
      <c r="AB81" s="63"/>
      <c r="AC81" s="63"/>
      <c r="AD81" s="63"/>
      <c r="AE81" s="63"/>
      <c r="AF81" s="63"/>
      <c r="AG81" s="63"/>
      <c r="AH81" s="63"/>
      <c r="AI81" s="63"/>
      <c r="AJ81" s="63"/>
      <c r="AK81" s="63"/>
    </row>
    <row r="82" spans="11:16" ht="12.75">
      <c r="K82" s="3"/>
      <c r="P82" s="63"/>
    </row>
    <row r="83" spans="3:13" ht="12.75">
      <c r="C83" t="s">
        <v>74</v>
      </c>
      <c r="M83" s="63"/>
    </row>
    <row r="84" spans="4:13" ht="12.75">
      <c r="D84" t="s">
        <v>322</v>
      </c>
      <c r="M84" s="63"/>
    </row>
    <row r="85" spans="5:13" ht="12.75">
      <c r="E85" t="s">
        <v>323</v>
      </c>
      <c r="M85" s="63"/>
    </row>
    <row r="86" spans="6:12" ht="12.75">
      <c r="F86" t="s">
        <v>278</v>
      </c>
      <c r="G86" s="67"/>
      <c r="L86" s="63"/>
    </row>
    <row r="87" spans="7:65" ht="12.75">
      <c r="G87" s="67" t="s">
        <v>233</v>
      </c>
      <c r="L87" s="64" t="s">
        <v>184</v>
      </c>
      <c r="Q87" s="68">
        <f aca="true" t="shared" si="74" ref="Q87:AL87">P36*P59</f>
        <v>53699210.22683262</v>
      </c>
      <c r="R87" s="209">
        <f>Q36*Q59</f>
        <v>61939601.711659506</v>
      </c>
      <c r="S87" s="68">
        <f t="shared" si="74"/>
        <v>69900907.37641665</v>
      </c>
      <c r="T87" s="68">
        <f t="shared" si="74"/>
        <v>82302205.68691067</v>
      </c>
      <c r="U87" s="209">
        <f t="shared" si="74"/>
        <v>119589153.21089986</v>
      </c>
      <c r="V87" s="68">
        <f t="shared" si="74"/>
        <v>157308494.01783174</v>
      </c>
      <c r="W87" s="68">
        <f t="shared" si="74"/>
        <v>196347869.20053756</v>
      </c>
      <c r="X87" s="68">
        <f t="shared" si="74"/>
        <v>236784248.78743806</v>
      </c>
      <c r="Y87" s="68">
        <f t="shared" si="74"/>
        <v>246844191.78327686</v>
      </c>
      <c r="Z87" s="68">
        <f t="shared" si="74"/>
        <v>256864464.17022866</v>
      </c>
      <c r="AA87" s="68">
        <f t="shared" si="74"/>
        <v>266864550.65592092</v>
      </c>
      <c r="AB87" s="68">
        <f t="shared" si="74"/>
        <v>276862983.0577184</v>
      </c>
      <c r="AC87" s="68">
        <f t="shared" si="74"/>
        <v>286877417.7490263</v>
      </c>
      <c r="AD87" s="68">
        <f t="shared" si="74"/>
        <v>296924707.9200391</v>
      </c>
      <c r="AE87" s="68">
        <f t="shared" si="74"/>
        <v>307020971.02413076</v>
      </c>
      <c r="AF87" s="68">
        <f t="shared" si="74"/>
        <v>317181651.7551413</v>
      </c>
      <c r="AG87" s="68">
        <f t="shared" si="74"/>
        <v>327421580.87670064</v>
      </c>
      <c r="AH87" s="68">
        <f t="shared" si="74"/>
        <v>337755030.2023173</v>
      </c>
      <c r="AI87" s="68">
        <f t="shared" si="74"/>
        <v>348195764.00412923</v>
      </c>
      <c r="AJ87" s="68">
        <f t="shared" si="74"/>
        <v>358757087.1088485</v>
      </c>
      <c r="AK87" s="68">
        <f t="shared" si="74"/>
        <v>369451889.92143613</v>
      </c>
      <c r="AL87" s="68">
        <f t="shared" si="74"/>
        <v>380292690.6003164</v>
      </c>
      <c r="AR87" s="68">
        <f aca="true" t="shared" si="75" ref="AR87:BL87">AQ36*AQ59</f>
        <v>53699210.22683262</v>
      </c>
      <c r="AS87" s="68">
        <f t="shared" si="75"/>
        <v>61939601.711659506</v>
      </c>
      <c r="AT87" s="68">
        <f t="shared" si="75"/>
        <v>69900907.37641665</v>
      </c>
      <c r="AU87" s="68">
        <f t="shared" si="75"/>
        <v>76026976.8018362</v>
      </c>
      <c r="AV87" s="209">
        <f t="shared" si="75"/>
        <v>81979411.10984914</v>
      </c>
      <c r="AW87" s="68">
        <f t="shared" si="75"/>
        <v>87776891.04487245</v>
      </c>
      <c r="AX87" s="68">
        <f t="shared" si="75"/>
        <v>93436911.4323323</v>
      </c>
      <c r="AY87" s="68">
        <f t="shared" si="75"/>
        <v>98975869.46131454</v>
      </c>
      <c r="AZ87" s="68">
        <f t="shared" si="75"/>
        <v>104409146.74268347</v>
      </c>
      <c r="BA87" s="68">
        <f t="shared" si="75"/>
        <v>109751185.58946174</v>
      </c>
      <c r="BB87" s="68">
        <f t="shared" si="75"/>
        <v>115015559.93438524</v>
      </c>
      <c r="BC87" s="68">
        <f t="shared" si="75"/>
        <v>120215041.26994489</v>
      </c>
      <c r="BD87" s="68">
        <f t="shared" si="75"/>
        <v>125361659.96874382</v>
      </c>
      <c r="BE87" s="68">
        <f t="shared" si="75"/>
        <v>130466762.3164797</v>
      </c>
      <c r="BF87" s="68">
        <f t="shared" si="75"/>
        <v>135541063.56616622</v>
      </c>
      <c r="BG87" s="68">
        <f t="shared" si="75"/>
        <v>140594697.3002092</v>
      </c>
      <c r="BH87" s="68">
        <f t="shared" si="75"/>
        <v>145637261.36652577</v>
      </c>
      <c r="BI87" s="68">
        <f t="shared" si="75"/>
        <v>150677860.6359289</v>
      </c>
      <c r="BJ87" s="68">
        <f t="shared" si="75"/>
        <v>155725146.81039134</v>
      </c>
      <c r="BK87" s="68">
        <f t="shared" si="75"/>
        <v>160787355.49545375</v>
      </c>
      <c r="BL87" s="68">
        <f t="shared" si="75"/>
        <v>165872340.73486027</v>
      </c>
      <c r="BM87" s="68"/>
    </row>
    <row r="88" spans="7:65" ht="12.75">
      <c r="G88" s="67" t="s">
        <v>73</v>
      </c>
      <c r="L88" s="64" t="s">
        <v>184</v>
      </c>
      <c r="Q88" s="68">
        <f aca="true" t="shared" si="76" ref="Q88:AL88">P37*P60</f>
        <v>2923648.933072802</v>
      </c>
      <c r="R88" s="209">
        <f t="shared" si="76"/>
        <v>3339395.8943641875</v>
      </c>
      <c r="S88" s="68">
        <f t="shared" si="76"/>
        <v>3731852.676688833</v>
      </c>
      <c r="T88" s="68">
        <f t="shared" si="76"/>
        <v>4351062.569330291</v>
      </c>
      <c r="U88" s="209">
        <f t="shared" si="76"/>
        <v>6260626.883798357</v>
      </c>
      <c r="V88" s="68">
        <f t="shared" si="76"/>
        <v>8154932.700092507</v>
      </c>
      <c r="W88" s="68">
        <f t="shared" si="76"/>
        <v>10079444.024450993</v>
      </c>
      <c r="X88" s="68">
        <f t="shared" si="76"/>
        <v>12036642.75024678</v>
      </c>
      <c r="Y88" s="68">
        <f t="shared" si="76"/>
        <v>12425608.079658296</v>
      </c>
      <c r="Z88" s="68">
        <f t="shared" si="76"/>
        <v>12803860.725449694</v>
      </c>
      <c r="AA88" s="68">
        <f t="shared" si="76"/>
        <v>13172553.759417625</v>
      </c>
      <c r="AB88" s="68">
        <f t="shared" si="76"/>
        <v>13532753.243297646</v>
      </c>
      <c r="AC88" s="68">
        <f t="shared" si="76"/>
        <v>13885445.204999149</v>
      </c>
      <c r="AD88" s="68">
        <f t="shared" si="76"/>
        <v>14231542.061983157</v>
      </c>
      <c r="AE88" s="68">
        <f t="shared" si="76"/>
        <v>14571888.53569244</v>
      </c>
      <c r="AF88" s="68">
        <f t="shared" si="76"/>
        <v>14907267.097457383</v>
      </c>
      <c r="AG88" s="68">
        <f t="shared" si="76"/>
        <v>15238402.98309184</v>
      </c>
      <c r="AH88" s="68">
        <f t="shared" si="76"/>
        <v>15565968.810438909</v>
      </c>
      <c r="AI88" s="68">
        <f t="shared" si="76"/>
        <v>15890588.831406603</v>
      </c>
      <c r="AJ88" s="68">
        <f t="shared" si="76"/>
        <v>16212842.84752965</v>
      </c>
      <c r="AK88" s="68">
        <f t="shared" si="76"/>
        <v>16533269.8157885</v>
      </c>
      <c r="AL88" s="68">
        <f t="shared" si="76"/>
        <v>16852371.169294514</v>
      </c>
      <c r="AR88" s="68">
        <f aca="true" t="shared" si="77" ref="AR88:BL88">AQ37*AQ60</f>
        <v>2923648.933072802</v>
      </c>
      <c r="AS88" s="68">
        <f t="shared" si="77"/>
        <v>3339395.8943641875</v>
      </c>
      <c r="AT88" s="68">
        <f t="shared" si="77"/>
        <v>3731852.676688833</v>
      </c>
      <c r="AU88" s="68">
        <f t="shared" si="77"/>
        <v>4021244.6873566695</v>
      </c>
      <c r="AV88" s="209">
        <f t="shared" si="77"/>
        <v>4295845.710337993</v>
      </c>
      <c r="AW88" s="68">
        <f t="shared" si="77"/>
        <v>4556959.583305845</v>
      </c>
      <c r="AX88" s="68">
        <f t="shared" si="77"/>
        <v>4805787.440905959</v>
      </c>
      <c r="AY88" s="68">
        <f t="shared" si="77"/>
        <v>5043435.962982273</v>
      </c>
      <c r="AZ88" s="68">
        <f t="shared" si="77"/>
        <v>5270924.96266936</v>
      </c>
      <c r="BA88" s="68">
        <f t="shared" si="77"/>
        <v>5489194.367217021</v>
      </c>
      <c r="BB88" s="68">
        <f t="shared" si="77"/>
        <v>5699110.640179149</v>
      </c>
      <c r="BC88" s="68">
        <f t="shared" si="77"/>
        <v>5901472.689704838</v>
      </c>
      <c r="BD88" s="68">
        <f t="shared" si="77"/>
        <v>6097017.304087371</v>
      </c>
      <c r="BE88" s="68">
        <f t="shared" si="77"/>
        <v>6286424.152431215</v>
      </c>
      <c r="BF88" s="68">
        <f t="shared" si="77"/>
        <v>6470320.385265642</v>
      </c>
      <c r="BG88" s="68">
        <f t="shared" si="77"/>
        <v>6649284.8671446545</v>
      </c>
      <c r="BH88" s="68">
        <f t="shared" si="77"/>
        <v>6823852.070707492</v>
      </c>
      <c r="BI88" s="68">
        <f t="shared" si="77"/>
        <v>6994515.659313829</v>
      </c>
      <c r="BJ88" s="68">
        <f t="shared" si="77"/>
        <v>7161731.783196736</v>
      </c>
      <c r="BK88" s="68">
        <f t="shared" si="77"/>
        <v>7325922.112079211</v>
      </c>
      <c r="BL88" s="68">
        <f t="shared" si="77"/>
        <v>7487476.6253627725</v>
      </c>
      <c r="BM88" s="68"/>
    </row>
    <row r="89" spans="7:65" ht="12.75">
      <c r="G89" s="67" t="s">
        <v>72</v>
      </c>
      <c r="L89" s="64" t="s">
        <v>184</v>
      </c>
      <c r="Q89" s="68">
        <f aca="true" t="shared" si="78" ref="Q89:AL89">P38*P61</f>
        <v>5005939.522907443</v>
      </c>
      <c r="R89" s="209">
        <f t="shared" si="78"/>
        <v>5717791.114086633</v>
      </c>
      <c r="S89" s="68">
        <f t="shared" si="78"/>
        <v>6389764.720578156</v>
      </c>
      <c r="T89" s="68">
        <f t="shared" si="78"/>
        <v>7449990.262531747</v>
      </c>
      <c r="U89" s="209">
        <f t="shared" si="78"/>
        <v>10719590.577807125</v>
      </c>
      <c r="V89" s="68">
        <f t="shared" si="78"/>
        <v>13963064.938558698</v>
      </c>
      <c r="W89" s="68">
        <f t="shared" si="78"/>
        <v>17258257.870893296</v>
      </c>
      <c r="X89" s="68">
        <f t="shared" si="78"/>
        <v>20609418.930216428</v>
      </c>
      <c r="Y89" s="68">
        <f t="shared" si="78"/>
        <v>21275414.390039083</v>
      </c>
      <c r="Z89" s="68">
        <f t="shared" si="78"/>
        <v>21923067.34446592</v>
      </c>
      <c r="AA89" s="68">
        <f t="shared" si="78"/>
        <v>22554352.109774902</v>
      </c>
      <c r="AB89" s="68">
        <f t="shared" si="78"/>
        <v>23171094.021599017</v>
      </c>
      <c r="AC89" s="68">
        <f t="shared" si="78"/>
        <v>23774981.37979755</v>
      </c>
      <c r="AD89" s="68">
        <f t="shared" si="78"/>
        <v>24367576.44671257</v>
      </c>
      <c r="AE89" s="68">
        <f t="shared" si="78"/>
        <v>24950325.57399332</v>
      </c>
      <c r="AF89" s="68">
        <f t="shared" si="78"/>
        <v>25524568.527202636</v>
      </c>
      <c r="AG89" s="68">
        <f t="shared" si="78"/>
        <v>26091547.071924243</v>
      </c>
      <c r="AH89" s="68">
        <f t="shared" si="78"/>
        <v>26652412.88003176</v>
      </c>
      <c r="AI89" s="68">
        <f t="shared" si="78"/>
        <v>27208234.81012282</v>
      </c>
      <c r="AJ89" s="68">
        <f t="shared" si="78"/>
        <v>27760005.611834824</v>
      </c>
      <c r="AK89" s="68">
        <f t="shared" si="78"/>
        <v>28308648.099811833</v>
      </c>
      <c r="AL89" s="68">
        <f t="shared" si="78"/>
        <v>28855020.839458827</v>
      </c>
      <c r="AR89" s="68">
        <f aca="true" t="shared" si="79" ref="AR89:BL89">AQ38*AQ61</f>
        <v>5005939.522907443</v>
      </c>
      <c r="AS89" s="68">
        <f t="shared" si="79"/>
        <v>5717791.114086633</v>
      </c>
      <c r="AT89" s="68">
        <f t="shared" si="79"/>
        <v>6389764.720578156</v>
      </c>
      <c r="AU89" s="68">
        <f t="shared" si="79"/>
        <v>6885268.434251875</v>
      </c>
      <c r="AV89" s="209">
        <f t="shared" si="79"/>
        <v>7355446.675703133</v>
      </c>
      <c r="AW89" s="68">
        <f t="shared" si="79"/>
        <v>7802531.906040759</v>
      </c>
      <c r="AX89" s="68">
        <f t="shared" si="79"/>
        <v>8228580.735867817</v>
      </c>
      <c r="AY89" s="68">
        <f t="shared" si="79"/>
        <v>8635488.048084682</v>
      </c>
      <c r="AZ89" s="68">
        <f t="shared" si="79"/>
        <v>9024999.990396913</v>
      </c>
      <c r="BA89" s="68">
        <f t="shared" si="79"/>
        <v>9398725.928045051</v>
      </c>
      <c r="BB89" s="68">
        <f t="shared" si="79"/>
        <v>9758149.440025372</v>
      </c>
      <c r="BC89" s="68">
        <f t="shared" si="79"/>
        <v>10104638.435402976</v>
      </c>
      <c r="BD89" s="68">
        <f t="shared" si="79"/>
        <v>10439454.460184854</v>
      </c>
      <c r="BE89" s="68">
        <f t="shared" si="79"/>
        <v>10763761.259577919</v>
      </c>
      <c r="BF89" s="68">
        <f t="shared" si="79"/>
        <v>11078632.655266358</v>
      </c>
      <c r="BG89" s="68">
        <f t="shared" si="79"/>
        <v>11385059.792567419</v>
      </c>
      <c r="BH89" s="68">
        <f t="shared" si="79"/>
        <v>11683957.807932138</v>
      </c>
      <c r="BI89" s="68">
        <f t="shared" si="79"/>
        <v>11976171.963216426</v>
      </c>
      <c r="BJ89" s="68">
        <f t="shared" si="79"/>
        <v>12262483.289430633</v>
      </c>
      <c r="BK89" s="68">
        <f t="shared" si="79"/>
        <v>12543613.779255927</v>
      </c>
      <c r="BL89" s="68">
        <f t="shared" si="79"/>
        <v>12820231.16446991</v>
      </c>
      <c r="BM89" s="68"/>
    </row>
    <row r="90" spans="7:65" ht="12.75">
      <c r="G90" s="67" t="s">
        <v>85</v>
      </c>
      <c r="L90" s="64" t="s">
        <v>184</v>
      </c>
      <c r="Q90" s="68">
        <f aca="true" t="shared" si="80" ref="Q90:Q95">P39*P62</f>
        <v>2158334.2736021406</v>
      </c>
      <c r="R90" s="209">
        <f aca="true" t="shared" si="81" ref="R90:AL95">Q39*Q62</f>
        <v>2465252.4215201396</v>
      </c>
      <c r="S90" s="68">
        <f t="shared" si="81"/>
        <v>2754976.9895477486</v>
      </c>
      <c r="T90" s="68">
        <f t="shared" si="81"/>
        <v>3212098.198159111</v>
      </c>
      <c r="U90" s="209">
        <f t="shared" si="81"/>
        <v>4621801.689211393</v>
      </c>
      <c r="V90" s="68">
        <f t="shared" si="81"/>
        <v>6020240.85259426</v>
      </c>
      <c r="W90" s="68">
        <f t="shared" si="81"/>
        <v>7440978.720369895</v>
      </c>
      <c r="X90" s="68">
        <f t="shared" si="81"/>
        <v>8885847.508256711</v>
      </c>
      <c r="Y90" s="68">
        <f t="shared" si="81"/>
        <v>9172994.570345825</v>
      </c>
      <c r="Z90" s="68">
        <f t="shared" si="81"/>
        <v>9452233.175315477</v>
      </c>
      <c r="AA90" s="68">
        <f t="shared" si="81"/>
        <v>9724414.5588768</v>
      </c>
      <c r="AB90" s="68">
        <f t="shared" si="81"/>
        <v>9990325.723038005</v>
      </c>
      <c r="AC90" s="68">
        <f t="shared" si="81"/>
        <v>10250694.586191578</v>
      </c>
      <c r="AD90" s="68">
        <f t="shared" si="81"/>
        <v>10506194.725064088</v>
      </c>
      <c r="AE90" s="68">
        <f t="shared" si="81"/>
        <v>10757449.740943957</v>
      </c>
      <c r="AF90" s="68">
        <f t="shared" si="81"/>
        <v>11005037.280029194</v>
      </c>
      <c r="AG90" s="68">
        <f t="shared" si="81"/>
        <v>11249492.73536777</v>
      </c>
      <c r="AH90" s="68">
        <f t="shared" si="81"/>
        <v>11491312.655682536</v>
      </c>
      <c r="AI90" s="68">
        <f t="shared" si="81"/>
        <v>11730957.884364499</v>
      </c>
      <c r="AJ90" s="68">
        <f t="shared" si="81"/>
        <v>11968856.450069956</v>
      </c>
      <c r="AK90" s="68">
        <f t="shared" si="81"/>
        <v>12205406.228655249</v>
      </c>
      <c r="AL90" s="68">
        <f t="shared" si="81"/>
        <v>12440977.394616341</v>
      </c>
      <c r="AR90" s="68">
        <f aca="true" t="shared" si="82" ref="AR90:AR95">AQ39*AQ62</f>
        <v>2158334.2736021406</v>
      </c>
      <c r="AS90" s="68">
        <f aca="true" t="shared" si="83" ref="AS90:AS95">AR39*AR62</f>
        <v>2465252.4215201396</v>
      </c>
      <c r="AT90" s="68">
        <f aca="true" t="shared" si="84" ref="AT90:AT95">AS39*AS62</f>
        <v>2754976.9895477486</v>
      </c>
      <c r="AU90" s="68">
        <f aca="true" t="shared" si="85" ref="AU90:AU95">AT39*AT62</f>
        <v>2968615.7366850665</v>
      </c>
      <c r="AV90" s="209">
        <f aca="true" t="shared" si="86" ref="AV90:AV95">AU39*AU62</f>
        <v>3171335.287846731</v>
      </c>
      <c r="AW90" s="68">
        <f aca="true" t="shared" si="87" ref="AW90:AW95">AV39*AV62</f>
        <v>3364098.179096875</v>
      </c>
      <c r="AX90" s="68">
        <f aca="true" t="shared" si="88" ref="AX90:AX95">AW39*AW62</f>
        <v>3547791.1277303714</v>
      </c>
      <c r="AY90" s="68">
        <f aca="true" t="shared" si="89" ref="AY90:AY95">AX39*AX62</f>
        <v>3723231.121385529</v>
      </c>
      <c r="AZ90" s="68">
        <f aca="true" t="shared" si="90" ref="AZ90:AZ95">AY39*AY62</f>
        <v>3891171.0198247246</v>
      </c>
      <c r="BA90" s="68">
        <f aca="true" t="shared" si="91" ref="BA90:BA95">AZ39*AZ62</f>
        <v>4052304.7084098365</v>
      </c>
      <c r="BB90" s="68">
        <f aca="true" t="shared" si="92" ref="BB90:BB95">BA39*BA62</f>
        <v>4207271.839174337</v>
      </c>
      <c r="BC90" s="68">
        <f aca="true" t="shared" si="93" ref="BC90:BC95">BB39*BB62</f>
        <v>4356662.192519059</v>
      </c>
      <c r="BD90" s="68">
        <f aca="true" t="shared" si="94" ref="BD90:BD95">BC39*BC62</f>
        <v>4501019.689914121</v>
      </c>
      <c r="BE90" s="68">
        <f aca="true" t="shared" si="95" ref="BE90:BE95">BD39*BD62</f>
        <v>4640846.085556578</v>
      </c>
      <c r="BF90" s="68">
        <f aca="true" t="shared" si="96" ref="BF90:BF95">BE39*BE62</f>
        <v>4776604.362695449</v>
      </c>
      <c r="BG90" s="68">
        <f aca="true" t="shared" si="97" ref="BG90:BG95">BF39*BF62</f>
        <v>4908721.858276887</v>
      </c>
      <c r="BH90" s="68">
        <f aca="true" t="shared" si="98" ref="BH90:BH95">BG39*BG62</f>
        <v>5037593.137668342</v>
      </c>
      <c r="BI90" s="68">
        <f aca="true" t="shared" si="99" ref="BI90:BI95">BH39*BH62</f>
        <v>5163582.639478277</v>
      </c>
      <c r="BJ90" s="68">
        <f aca="true" t="shared" si="100" ref="BJ90:BJ95">BI39*BI62</f>
        <v>5287027.108885231</v>
      </c>
      <c r="BK90" s="68">
        <f aca="true" t="shared" si="101" ref="BK90:BK95">BJ39*BJ62</f>
        <v>5408237.836415571</v>
      </c>
      <c r="BL90" s="68">
        <f aca="true" t="shared" si="102" ref="BL90:BL95">BK39*BK62</f>
        <v>5527502.717752929</v>
      </c>
      <c r="BM90" s="68"/>
    </row>
    <row r="91" spans="7:65" ht="12.75">
      <c r="G91" s="67" t="s">
        <v>81</v>
      </c>
      <c r="L91" s="64" t="s">
        <v>184</v>
      </c>
      <c r="Q91" s="68">
        <f t="shared" si="80"/>
        <v>2981164.0849089315</v>
      </c>
      <c r="R91" s="209">
        <f t="shared" si="81"/>
        <v>3405089.7811139347</v>
      </c>
      <c r="S91" s="68">
        <f t="shared" si="81"/>
        <v>3805267.124949636</v>
      </c>
      <c r="T91" s="68">
        <f t="shared" si="81"/>
        <v>4436658.353931048</v>
      </c>
      <c r="U91" s="209">
        <f t="shared" si="81"/>
        <v>6383788.355662413</v>
      </c>
      <c r="V91" s="68">
        <f t="shared" si="81"/>
        <v>8315359.688146194</v>
      </c>
      <c r="W91" s="68">
        <f t="shared" si="81"/>
        <v>10277730.743123736</v>
      </c>
      <c r="X91" s="68">
        <f t="shared" si="81"/>
        <v>12273432.238733718</v>
      </c>
      <c r="Y91" s="68">
        <f t="shared" si="81"/>
        <v>12670049.444445096</v>
      </c>
      <c r="Z91" s="68">
        <f t="shared" si="81"/>
        <v>13055743.222483601</v>
      </c>
      <c r="AA91" s="68">
        <f t="shared" si="81"/>
        <v>13431689.328319946</v>
      </c>
      <c r="AB91" s="68">
        <f t="shared" si="81"/>
        <v>13798974.795668194</v>
      </c>
      <c r="AC91" s="68">
        <f t="shared" si="81"/>
        <v>14158605.049959883</v>
      </c>
      <c r="AD91" s="68">
        <f t="shared" si="81"/>
        <v>14511510.45808499</v>
      </c>
      <c r="AE91" s="68">
        <f t="shared" si="81"/>
        <v>14858552.359172998</v>
      </c>
      <c r="AF91" s="68">
        <f t="shared" si="81"/>
        <v>15200528.617632743</v>
      </c>
      <c r="AG91" s="68">
        <f t="shared" si="81"/>
        <v>15538178.736397319</v>
      </c>
      <c r="AH91" s="68">
        <f t="shared" si="81"/>
        <v>15872188.565308006</v>
      </c>
      <c r="AI91" s="68">
        <f t="shared" si="81"/>
        <v>16203194.636797633</v>
      </c>
      <c r="AJ91" s="68">
        <f t="shared" si="81"/>
        <v>16531788.158480823</v>
      </c>
      <c r="AK91" s="68">
        <f t="shared" si="81"/>
        <v>16858518.689908054</v>
      </c>
      <c r="AL91" s="68">
        <f t="shared" si="81"/>
        <v>17183897.528576665</v>
      </c>
      <c r="AR91" s="68">
        <f t="shared" si="82"/>
        <v>2981164.0849089315</v>
      </c>
      <c r="AS91" s="68">
        <f t="shared" si="83"/>
        <v>3405089.7811139347</v>
      </c>
      <c r="AT91" s="68">
        <f t="shared" si="84"/>
        <v>3805267.124949636</v>
      </c>
      <c r="AU91" s="68">
        <f t="shared" si="85"/>
        <v>4100352.167104749</v>
      </c>
      <c r="AV91" s="209">
        <f t="shared" si="86"/>
        <v>4380355.247546688</v>
      </c>
      <c r="AW91" s="68">
        <f t="shared" si="87"/>
        <v>4646605.853547148</v>
      </c>
      <c r="AX91" s="68">
        <f t="shared" si="88"/>
        <v>4900328.748936867</v>
      </c>
      <c r="AY91" s="68">
        <f t="shared" si="89"/>
        <v>5142652.384593416</v>
      </c>
      <c r="AZ91" s="68">
        <f t="shared" si="90"/>
        <v>5374616.635809524</v>
      </c>
      <c r="BA91" s="68">
        <f t="shared" si="91"/>
        <v>5597179.920447141</v>
      </c>
      <c r="BB91" s="68">
        <f t="shared" si="92"/>
        <v>5811225.747466091</v>
      </c>
      <c r="BC91" s="68">
        <f t="shared" si="93"/>
        <v>6017568.7414453635</v>
      </c>
      <c r="BD91" s="68">
        <f t="shared" si="94"/>
        <v>6216960.185062323</v>
      </c>
      <c r="BE91" s="68">
        <f t="shared" si="95"/>
        <v>6410093.118134765</v>
      </c>
      <c r="BF91" s="68">
        <f t="shared" si="96"/>
        <v>6597607.028739567</v>
      </c>
      <c r="BG91" s="68">
        <f t="shared" si="97"/>
        <v>6780092.169077983</v>
      </c>
      <c r="BH91" s="68">
        <f t="shared" si="98"/>
        <v>6958093.526141588</v>
      </c>
      <c r="BI91" s="68">
        <f t="shared" si="99"/>
        <v>7132114.474826474</v>
      </c>
      <c r="BJ91" s="68">
        <f t="shared" si="100"/>
        <v>7302620.138929406</v>
      </c>
      <c r="BK91" s="68">
        <f t="shared" si="101"/>
        <v>7470040.483423152</v>
      </c>
      <c r="BL91" s="68">
        <f t="shared" si="102"/>
        <v>7634773.159534747</v>
      </c>
      <c r="BM91" s="68"/>
    </row>
    <row r="92" spans="7:65" ht="12.75">
      <c r="G92" s="67" t="s">
        <v>82</v>
      </c>
      <c r="L92" s="64" t="s">
        <v>184</v>
      </c>
      <c r="Q92" s="68">
        <f t="shared" si="80"/>
        <v>296552.38946305093</v>
      </c>
      <c r="R92" s="209">
        <f t="shared" si="81"/>
        <v>338722.5533935685</v>
      </c>
      <c r="S92" s="68">
        <f t="shared" si="81"/>
        <v>378530.34127220156</v>
      </c>
      <c r="T92" s="68">
        <f t="shared" si="81"/>
        <v>441338.21507837274</v>
      </c>
      <c r="U92" s="209">
        <f t="shared" si="81"/>
        <v>635029.6853103006</v>
      </c>
      <c r="V92" s="68">
        <f t="shared" si="81"/>
        <v>827173.4512190771</v>
      </c>
      <c r="W92" s="68">
        <f t="shared" si="81"/>
        <v>1022381.030806061</v>
      </c>
      <c r="X92" s="68">
        <f t="shared" si="81"/>
        <v>1220904.168185198</v>
      </c>
      <c r="Y92" s="68">
        <f t="shared" si="81"/>
        <v>1260357.8100196964</v>
      </c>
      <c r="Z92" s="68">
        <f t="shared" si="81"/>
        <v>1298724.8398847582</v>
      </c>
      <c r="AA92" s="68">
        <f t="shared" si="81"/>
        <v>1336122.2164865574</v>
      </c>
      <c r="AB92" s="68">
        <f t="shared" si="81"/>
        <v>1372658.072902023</v>
      </c>
      <c r="AC92" s="68">
        <f t="shared" si="81"/>
        <v>1408432.4241942842</v>
      </c>
      <c r="AD92" s="68">
        <f t="shared" si="81"/>
        <v>1443537.818950551</v>
      </c>
      <c r="AE92" s="68">
        <f t="shared" si="81"/>
        <v>1478059.9391962718</v>
      </c>
      <c r="AF92" s="68">
        <f t="shared" si="81"/>
        <v>1512078.152785803</v>
      </c>
      <c r="AG92" s="68">
        <f t="shared" si="81"/>
        <v>1545666.0220443234</v>
      </c>
      <c r="AH92" s="68">
        <f t="shared" si="81"/>
        <v>1578891.772136048</v>
      </c>
      <c r="AI92" s="68">
        <f t="shared" si="81"/>
        <v>1611818.722357919</v>
      </c>
      <c r="AJ92" s="68">
        <f t="shared" si="81"/>
        <v>1644505.6833039839</v>
      </c>
      <c r="AK92" s="68">
        <f t="shared" si="81"/>
        <v>1677007.3226118507</v>
      </c>
      <c r="AL92" s="68">
        <f t="shared" si="81"/>
        <v>1709374.5017873766</v>
      </c>
      <c r="AR92" s="68">
        <f t="shared" si="82"/>
        <v>296552.38946305093</v>
      </c>
      <c r="AS92" s="68">
        <f t="shared" si="83"/>
        <v>338722.5533935685</v>
      </c>
      <c r="AT92" s="68">
        <f t="shared" si="84"/>
        <v>378530.34127220156</v>
      </c>
      <c r="AU92" s="68">
        <f t="shared" si="85"/>
        <v>407884.0339417471</v>
      </c>
      <c r="AV92" s="209">
        <f t="shared" si="86"/>
        <v>435737.4429447636</v>
      </c>
      <c r="AW92" s="68">
        <f t="shared" si="87"/>
        <v>462222.819514646</v>
      </c>
      <c r="AX92" s="68">
        <f t="shared" si="88"/>
        <v>487461.99748213554</v>
      </c>
      <c r="AY92" s="68">
        <f t="shared" si="89"/>
        <v>511567.22991167445</v>
      </c>
      <c r="AZ92" s="68">
        <f t="shared" si="90"/>
        <v>534641.9587789536</v>
      </c>
      <c r="BA92" s="68">
        <f t="shared" si="91"/>
        <v>556781.5230518966</v>
      </c>
      <c r="BB92" s="68">
        <f t="shared" si="92"/>
        <v>578073.8101079455</v>
      </c>
      <c r="BC92" s="68">
        <f t="shared" si="93"/>
        <v>598599.8550255242</v>
      </c>
      <c r="BD92" s="68">
        <f t="shared" si="94"/>
        <v>618434.3919241875</v>
      </c>
      <c r="BE92" s="68">
        <f t="shared" si="95"/>
        <v>637646.3611936984</v>
      </c>
      <c r="BF92" s="68">
        <f t="shared" si="96"/>
        <v>656299.3761447739</v>
      </c>
      <c r="BG92" s="68">
        <f t="shared" si="97"/>
        <v>674452.1523313656</v>
      </c>
      <c r="BH92" s="68">
        <f t="shared" si="98"/>
        <v>692158.9025341107</v>
      </c>
      <c r="BI92" s="68">
        <f t="shared" si="99"/>
        <v>709469.7001552038</v>
      </c>
      <c r="BJ92" s="68">
        <f t="shared" si="100"/>
        <v>726430.8135547212</v>
      </c>
      <c r="BK92" s="68">
        <f t="shared" si="101"/>
        <v>743085.0136558417</v>
      </c>
      <c r="BL92" s="68">
        <f t="shared" si="102"/>
        <v>759471.8569600501</v>
      </c>
      <c r="BM92" s="68"/>
    </row>
    <row r="93" spans="7:65" ht="12.75">
      <c r="G93" s="67" t="s">
        <v>189</v>
      </c>
      <c r="L93" s="64" t="s">
        <v>184</v>
      </c>
      <c r="Q93" s="68">
        <f t="shared" si="80"/>
        <v>4491993.5221987795</v>
      </c>
      <c r="R93" s="209">
        <f t="shared" si="81"/>
        <v>5130761.27432828</v>
      </c>
      <c r="S93" s="68">
        <f t="shared" si="81"/>
        <v>5733745.204444826</v>
      </c>
      <c r="T93" s="68">
        <f t="shared" si="81"/>
        <v>6685120.314897448</v>
      </c>
      <c r="U93" s="209">
        <f t="shared" si="81"/>
        <v>9619039.785795469</v>
      </c>
      <c r="V93" s="68">
        <f t="shared" si="81"/>
        <v>12529515.581845807</v>
      </c>
      <c r="W93" s="68">
        <f t="shared" si="81"/>
        <v>15486400.146413071</v>
      </c>
      <c r="X93" s="68">
        <f t="shared" si="81"/>
        <v>18493506.744772717</v>
      </c>
      <c r="Y93" s="68">
        <f t="shared" si="81"/>
        <v>19091126.288046703</v>
      </c>
      <c r="Z93" s="68">
        <f t="shared" si="81"/>
        <v>19672286.50035158</v>
      </c>
      <c r="AA93" s="68">
        <f t="shared" si="81"/>
        <v>20238759.00035968</v>
      </c>
      <c r="AB93" s="68">
        <f t="shared" si="81"/>
        <v>20792181.721530184</v>
      </c>
      <c r="AC93" s="68">
        <f t="shared" si="81"/>
        <v>21334069.63063342</v>
      </c>
      <c r="AD93" s="68">
        <f t="shared" si="81"/>
        <v>21865824.596846666</v>
      </c>
      <c r="AE93" s="68">
        <f t="shared" si="81"/>
        <v>22388744.478885468</v>
      </c>
      <c r="AF93" s="68">
        <f t="shared" si="81"/>
        <v>22904031.492278386</v>
      </c>
      <c r="AG93" s="68">
        <f t="shared" si="81"/>
        <v>23412799.913962383</v>
      </c>
      <c r="AH93" s="68">
        <f t="shared" si="81"/>
        <v>23916083.17683698</v>
      </c>
      <c r="AI93" s="68">
        <f t="shared" si="81"/>
        <v>24414840.4027363</v>
      </c>
      <c r="AJ93" s="68">
        <f t="shared" si="81"/>
        <v>24909962.418431208</v>
      </c>
      <c r="AK93" s="68">
        <f t="shared" si="81"/>
        <v>25402277.295732073</v>
      </c>
      <c r="AL93" s="68">
        <f t="shared" si="81"/>
        <v>25892555.45350232</v>
      </c>
      <c r="AR93" s="68">
        <f t="shared" si="82"/>
        <v>4491993.5221987795</v>
      </c>
      <c r="AS93" s="68">
        <f t="shared" si="83"/>
        <v>5130761.27432828</v>
      </c>
      <c r="AT93" s="68">
        <f t="shared" si="84"/>
        <v>5733745.204444826</v>
      </c>
      <c r="AU93" s="68">
        <f t="shared" si="85"/>
        <v>6178376.918803819</v>
      </c>
      <c r="AV93" s="209">
        <f t="shared" si="86"/>
        <v>6600283.257306927</v>
      </c>
      <c r="AW93" s="68">
        <f t="shared" si="87"/>
        <v>7001467.480439718</v>
      </c>
      <c r="AX93" s="68">
        <f t="shared" si="88"/>
        <v>7383775.052268309</v>
      </c>
      <c r="AY93" s="68">
        <f t="shared" si="89"/>
        <v>7748906.313293187</v>
      </c>
      <c r="AZ93" s="68">
        <f t="shared" si="90"/>
        <v>8098428.13905216</v>
      </c>
      <c r="BA93" s="68">
        <f t="shared" si="91"/>
        <v>8433784.665696349</v>
      </c>
      <c r="BB93" s="68">
        <f t="shared" si="92"/>
        <v>8756307.157259293</v>
      </c>
      <c r="BC93" s="68">
        <f t="shared" si="93"/>
        <v>9067223.083356097</v>
      </c>
      <c r="BD93" s="68">
        <f t="shared" si="94"/>
        <v>9367664.470545493</v>
      </c>
      <c r="BE93" s="68">
        <f t="shared" si="95"/>
        <v>9658675.585524479</v>
      </c>
      <c r="BF93" s="68">
        <f t="shared" si="96"/>
        <v>9941220.003667323</v>
      </c>
      <c r="BG93" s="68">
        <f t="shared" si="97"/>
        <v>10216187.112135872</v>
      </c>
      <c r="BH93" s="68">
        <f t="shared" si="98"/>
        <v>10484398.092846358</v>
      </c>
      <c r="BI93" s="68">
        <f t="shared" si="99"/>
        <v>10746611.426951807</v>
      </c>
      <c r="BJ93" s="68">
        <f t="shared" si="100"/>
        <v>11003527.959163409</v>
      </c>
      <c r="BK93" s="68">
        <f t="shared" si="101"/>
        <v>11255795.557165539</v>
      </c>
      <c r="BL93" s="68">
        <f t="shared" si="102"/>
        <v>11504013.3985563</v>
      </c>
      <c r="BM93" s="68"/>
    </row>
    <row r="94" spans="7:65" ht="12.75">
      <c r="G94" s="67" t="s">
        <v>84</v>
      </c>
      <c r="L94" s="64" t="s">
        <v>184</v>
      </c>
      <c r="Q94" s="68">
        <f t="shared" si="80"/>
        <v>2536067.040743292</v>
      </c>
      <c r="R94" s="209">
        <f t="shared" si="81"/>
        <v>2896699.315669717</v>
      </c>
      <c r="S94" s="68">
        <f t="shared" si="81"/>
        <v>3237128.9408927513</v>
      </c>
      <c r="T94" s="68">
        <f t="shared" si="81"/>
        <v>3774251.501083219</v>
      </c>
      <c r="U94" s="209">
        <f t="shared" si="81"/>
        <v>5430668.954396323</v>
      </c>
      <c r="V94" s="68">
        <f t="shared" si="81"/>
        <v>7073850.696036806</v>
      </c>
      <c r="W94" s="68">
        <f t="shared" si="81"/>
        <v>8743233.666075243</v>
      </c>
      <c r="X94" s="68">
        <f t="shared" si="81"/>
        <v>10440970.738583004</v>
      </c>
      <c r="Y94" s="68">
        <f t="shared" si="81"/>
        <v>10778371.765345696</v>
      </c>
      <c r="Z94" s="68">
        <f t="shared" si="81"/>
        <v>11106480.266066847</v>
      </c>
      <c r="AA94" s="68">
        <f t="shared" si="81"/>
        <v>11426296.452278707</v>
      </c>
      <c r="AB94" s="68">
        <f t="shared" si="81"/>
        <v>11738745.060190318</v>
      </c>
      <c r="AC94" s="68">
        <f t="shared" si="81"/>
        <v>12044681.402097894</v>
      </c>
      <c r="AD94" s="68">
        <f t="shared" si="81"/>
        <v>12344896.938229136</v>
      </c>
      <c r="AE94" s="68">
        <f t="shared" si="81"/>
        <v>12640124.407109998</v>
      </c>
      <c r="AF94" s="68">
        <f t="shared" si="81"/>
        <v>12931042.549518442</v>
      </c>
      <c r="AG94" s="68">
        <f t="shared" si="81"/>
        <v>13218280.458306026</v>
      </c>
      <c r="AH94" s="68">
        <f t="shared" si="81"/>
        <v>13502421.583805522</v>
      </c>
      <c r="AI94" s="68">
        <f t="shared" si="81"/>
        <v>13784007.422183286</v>
      </c>
      <c r="AJ94" s="68">
        <f t="shared" si="81"/>
        <v>14063540.911923409</v>
      </c>
      <c r="AK94" s="68">
        <f t="shared" si="81"/>
        <v>14341489.561630977</v>
      </c>
      <c r="AL94" s="68">
        <f t="shared" si="81"/>
        <v>14618288.330501158</v>
      </c>
      <c r="AR94" s="68">
        <f t="shared" si="82"/>
        <v>2536067.040743292</v>
      </c>
      <c r="AS94" s="68">
        <f t="shared" si="83"/>
        <v>2896699.315669717</v>
      </c>
      <c r="AT94" s="68">
        <f t="shared" si="84"/>
        <v>3237128.9408927513</v>
      </c>
      <c r="AU94" s="68">
        <f t="shared" si="85"/>
        <v>3488156.871027227</v>
      </c>
      <c r="AV94" s="209">
        <f t="shared" si="86"/>
        <v>3726354.6231100634</v>
      </c>
      <c r="AW94" s="68">
        <f t="shared" si="87"/>
        <v>3952853.187839795</v>
      </c>
      <c r="AX94" s="68">
        <f t="shared" si="88"/>
        <v>4168694.4680085373</v>
      </c>
      <c r="AY94" s="68">
        <f t="shared" si="89"/>
        <v>4374838.433277874</v>
      </c>
      <c r="AZ94" s="68">
        <f t="shared" si="90"/>
        <v>4572169.702334082</v>
      </c>
      <c r="BA94" s="68">
        <f t="shared" si="91"/>
        <v>4761503.598279722</v>
      </c>
      <c r="BB94" s="68">
        <f t="shared" si="92"/>
        <v>4943591.719446651</v>
      </c>
      <c r="BC94" s="68">
        <f t="shared" si="93"/>
        <v>5119127.064437604</v>
      </c>
      <c r="BD94" s="68">
        <f t="shared" si="94"/>
        <v>5288748.747096055</v>
      </c>
      <c r="BE94" s="68">
        <f t="shared" si="95"/>
        <v>5453046.334245491</v>
      </c>
      <c r="BF94" s="68">
        <f t="shared" si="96"/>
        <v>5612563.836409501</v>
      </c>
      <c r="BG94" s="68">
        <f t="shared" si="97"/>
        <v>5767803.379304976</v>
      </c>
      <c r="BH94" s="68">
        <f t="shared" si="98"/>
        <v>5919228.581675336</v>
      </c>
      <c r="BI94" s="68">
        <f t="shared" si="99"/>
        <v>6067267.662983434</v>
      </c>
      <c r="BJ94" s="68">
        <f t="shared" si="100"/>
        <v>6212316.302600566</v>
      </c>
      <c r="BK94" s="68">
        <f t="shared" si="101"/>
        <v>6354740.270395497</v>
      </c>
      <c r="BL94" s="68">
        <f t="shared" si="102"/>
        <v>6494877.847033725</v>
      </c>
      <c r="BM94" s="68"/>
    </row>
    <row r="95" spans="7:65" ht="12.75">
      <c r="G95" s="67" t="s">
        <v>190</v>
      </c>
      <c r="L95" s="64" t="s">
        <v>184</v>
      </c>
      <c r="Q95" s="68">
        <f t="shared" si="80"/>
        <v>1838153.8112395424</v>
      </c>
      <c r="R95" s="209">
        <f t="shared" si="81"/>
        <v>2099541.850263032</v>
      </c>
      <c r="S95" s="68">
        <f t="shared" si="81"/>
        <v>2346286.909841255</v>
      </c>
      <c r="T95" s="68">
        <f t="shared" si="81"/>
        <v>2735595.9719658415</v>
      </c>
      <c r="U95" s="209">
        <f t="shared" si="81"/>
        <v>3936175.454249086</v>
      </c>
      <c r="V95" s="68">
        <f t="shared" si="81"/>
        <v>5127161.627891574</v>
      </c>
      <c r="W95" s="68">
        <f t="shared" si="81"/>
        <v>6337138.580194527</v>
      </c>
      <c r="X95" s="68">
        <f t="shared" si="81"/>
        <v>7567666.724828338</v>
      </c>
      <c r="Y95" s="68">
        <f t="shared" si="81"/>
        <v>7812216.641410276</v>
      </c>
      <c r="Z95" s="68">
        <f t="shared" si="81"/>
        <v>8050031.289608185</v>
      </c>
      <c r="AA95" s="68">
        <f t="shared" si="81"/>
        <v>8281835.627639064</v>
      </c>
      <c r="AB95" s="68">
        <f t="shared" si="81"/>
        <v>8508299.908836018</v>
      </c>
      <c r="AC95" s="68">
        <f t="shared" si="81"/>
        <v>8730044.06774014</v>
      </c>
      <c r="AD95" s="68">
        <f t="shared" si="81"/>
        <v>8947641.758600563</v>
      </c>
      <c r="AE95" s="68">
        <f t="shared" si="81"/>
        <v>9161624.0738894</v>
      </c>
      <c r="AF95" s="68">
        <f t="shared" si="81"/>
        <v>9372482.968246577</v>
      </c>
      <c r="AG95" s="68">
        <f t="shared" si="81"/>
        <v>9580674.411251819</v>
      </c>
      <c r="AH95" s="68">
        <f t="shared" si="81"/>
        <v>9786621.290563697</v>
      </c>
      <c r="AI95" s="68">
        <f t="shared" si="81"/>
        <v>9990716.085255506</v>
      </c>
      <c r="AJ95" s="68">
        <f t="shared" si="81"/>
        <v>10193323.3276036</v>
      </c>
      <c r="AK95" s="68">
        <f t="shared" si="81"/>
        <v>10394781.870134523</v>
      </c>
      <c r="AL95" s="68">
        <f t="shared" si="81"/>
        <v>10595406.973403092</v>
      </c>
      <c r="AR95" s="68">
        <f t="shared" si="82"/>
        <v>1838153.8112395424</v>
      </c>
      <c r="AS95" s="68">
        <f t="shared" si="83"/>
        <v>2099541.850263032</v>
      </c>
      <c r="AT95" s="68">
        <f t="shared" si="84"/>
        <v>2346286.909841255</v>
      </c>
      <c r="AU95" s="68">
        <f t="shared" si="85"/>
        <v>2528233.182984342</v>
      </c>
      <c r="AV95" s="209">
        <f t="shared" si="86"/>
        <v>2700880.0802412173</v>
      </c>
      <c r="AW95" s="68">
        <f t="shared" si="87"/>
        <v>2865047.349209083</v>
      </c>
      <c r="AX95" s="68">
        <f t="shared" si="88"/>
        <v>3021490.1661342666</v>
      </c>
      <c r="AY95" s="68">
        <f t="shared" si="89"/>
        <v>3170904.3217288307</v>
      </c>
      <c r="AZ95" s="68">
        <f t="shared" si="90"/>
        <v>3313930.9919489105</v>
      </c>
      <c r="BA95" s="68">
        <f t="shared" si="91"/>
        <v>3451161.126972197</v>
      </c>
      <c r="BB95" s="68">
        <f t="shared" si="92"/>
        <v>3583139.488950491</v>
      </c>
      <c r="BC95" s="68">
        <f t="shared" si="93"/>
        <v>3710368.366664937</v>
      </c>
      <c r="BD95" s="68">
        <f t="shared" si="94"/>
        <v>3833310.9929592777</v>
      </c>
      <c r="BE95" s="68">
        <f t="shared" si="95"/>
        <v>3952394.688754514</v>
      </c>
      <c r="BF95" s="68">
        <f t="shared" si="96"/>
        <v>4068013.7555423724</v>
      </c>
      <c r="BG95" s="68">
        <f t="shared" si="97"/>
        <v>4180532.1365015632</v>
      </c>
      <c r="BH95" s="68">
        <f t="shared" si="98"/>
        <v>4290285.864767839</v>
      </c>
      <c r="BI95" s="68">
        <f t="shared" si="99"/>
        <v>4397585.315905033</v>
      </c>
      <c r="BJ95" s="68">
        <f t="shared" si="100"/>
        <v>4502717.280259254</v>
      </c>
      <c r="BK95" s="68">
        <f t="shared" si="101"/>
        <v>4605946.8696227055</v>
      </c>
      <c r="BL95" s="68">
        <f t="shared" si="102"/>
        <v>4707519.2714784285</v>
      </c>
      <c r="BM95" s="68"/>
    </row>
    <row r="96" spans="6:38" ht="12.75">
      <c r="F96" s="67"/>
      <c r="L96" s="63"/>
      <c r="Q96" s="68"/>
      <c r="R96" s="209"/>
      <c r="S96" s="68"/>
      <c r="T96" s="68"/>
      <c r="U96" s="209"/>
      <c r="V96" s="68"/>
      <c r="W96" s="68"/>
      <c r="X96" s="68"/>
      <c r="Y96" s="68"/>
      <c r="Z96" s="68"/>
      <c r="AA96" s="68"/>
      <c r="AB96" s="68"/>
      <c r="AC96" s="68"/>
      <c r="AD96" s="68"/>
      <c r="AE96" s="68"/>
      <c r="AF96" s="68"/>
      <c r="AG96" s="68"/>
      <c r="AH96" s="68"/>
      <c r="AI96" s="68"/>
      <c r="AJ96" s="68"/>
      <c r="AK96" s="68"/>
      <c r="AL96" s="68"/>
    </row>
    <row r="97" spans="6:65" ht="25.5" customHeight="1">
      <c r="F97" s="416" t="s">
        <v>284</v>
      </c>
      <c r="G97" s="416"/>
      <c r="H97" s="416"/>
      <c r="I97" s="416"/>
      <c r="J97" s="416"/>
      <c r="K97" s="416"/>
      <c r="L97" s="63"/>
      <c r="Q97" s="121">
        <f>'Data &amp; Assumptions'!$D$90</f>
        <v>0.2</v>
      </c>
      <c r="R97" s="249">
        <f>1.25*Q97</f>
        <v>0.25</v>
      </c>
      <c r="S97" s="121">
        <f>R97*(1+'Data &amp; Assumptions'!$D$91)</f>
        <v>0.26</v>
      </c>
      <c r="T97" s="121">
        <f>S97*(1+'Data &amp; Assumptions'!$D$91)</f>
        <v>0.27040000000000003</v>
      </c>
      <c r="U97" s="253">
        <f>T97*(1+'Data &amp; Assumptions'!$D$91)</f>
        <v>0.281216</v>
      </c>
      <c r="V97" s="121">
        <f>U97*(1+'Data &amp; Assumptions'!$D$91)</f>
        <v>0.29246464000000005</v>
      </c>
      <c r="W97" s="121">
        <f>V97*(1+'Data &amp; Assumptions'!$D$91)</f>
        <v>0.3041632256000001</v>
      </c>
      <c r="X97" s="121">
        <f>W97*(1+'Data &amp; Assumptions'!$D$91)</f>
        <v>0.3163297546240001</v>
      </c>
      <c r="Y97" s="121">
        <f>X97*(1+'Data &amp; Assumptions'!$D$91)</f>
        <v>0.3289829448089601</v>
      </c>
      <c r="Z97" s="121">
        <f>Y97*(1+'Data &amp; Assumptions'!$D$91)</f>
        <v>0.3421422626013185</v>
      </c>
      <c r="AA97" s="121">
        <f>Z97*(1+'Data &amp; Assumptions'!$D$91)</f>
        <v>0.3558279531053713</v>
      </c>
      <c r="AB97" s="121">
        <f>AA97*(1+'Data &amp; Assumptions'!$D$91)</f>
        <v>0.37006107122958615</v>
      </c>
      <c r="AC97" s="121">
        <f>AB97*(1+'Data &amp; Assumptions'!$D$91)</f>
        <v>0.3848635140787696</v>
      </c>
      <c r="AD97" s="121">
        <f>AC97*(1+'Data &amp; Assumptions'!$D$91)</f>
        <v>0.40025805464192044</v>
      </c>
      <c r="AE97" s="121">
        <f>AD97*(1+'Data &amp; Assumptions'!$D$91)</f>
        <v>0.41626837682759726</v>
      </c>
      <c r="AF97" s="121">
        <f>AE97*(1+'Data &amp; Assumptions'!$D$91)</f>
        <v>0.43291911190070115</v>
      </c>
      <c r="AG97" s="121">
        <f>AF97*(1+'Data &amp; Assumptions'!$D$91)</f>
        <v>0.4502358763767292</v>
      </c>
      <c r="AH97" s="121">
        <f>AG97*(1+'Data &amp; Assumptions'!$D$91)</f>
        <v>0.46824531143179837</v>
      </c>
      <c r="AI97" s="121">
        <f>AH97*(1+'Data &amp; Assumptions'!$D$91)</f>
        <v>0.4869751238890703</v>
      </c>
      <c r="AJ97" s="121">
        <f>AI97*(1+'Data &amp; Assumptions'!$D$91)</f>
        <v>0.5064541288446331</v>
      </c>
      <c r="AK97" s="121">
        <f>AJ97*(1+'Data &amp; Assumptions'!$D$91)</f>
        <v>0.5267122939984185</v>
      </c>
      <c r="AL97" s="121">
        <f>$R$97*(1+'Data &amp; Assumptions'!$D$91)^('Registry Upgrade, Khashaa Reg.'!AL5-'Registry Upgrade, Khashaa Reg.'!$Q$5)</f>
        <v>0.5696920171886897</v>
      </c>
      <c r="AR97" s="66">
        <f>Q97</f>
        <v>0.2</v>
      </c>
      <c r="AS97" s="66">
        <f>Q97+(R97-Q97)*'Data &amp; Assumptions'!$D$92</f>
        <v>0.2375</v>
      </c>
      <c r="AT97" s="121">
        <f>AS97*(1+'Data &amp; Assumptions'!$D$91*'Data &amp; Assumptions'!$D$92)</f>
        <v>0.24462499999999998</v>
      </c>
      <c r="AU97" s="121">
        <f>AT97*(1+'Data &amp; Assumptions'!$D$91*'Data &amp; Assumptions'!$D$92)</f>
        <v>0.25196375</v>
      </c>
      <c r="AV97" s="253">
        <f>AU97*(1+'Data &amp; Assumptions'!$D$91*'Data &amp; Assumptions'!$D$92)</f>
        <v>0.2595226625</v>
      </c>
      <c r="AW97" s="121">
        <f>AV97*(1+'Data &amp; Assumptions'!$D$91*'Data &amp; Assumptions'!$D$92)</f>
        <v>0.267308342375</v>
      </c>
      <c r="AX97" s="121">
        <f>AW97*(1+'Data &amp; Assumptions'!$D$91*'Data &amp; Assumptions'!$D$92)</f>
        <v>0.27532759264625</v>
      </c>
      <c r="AY97" s="121">
        <f>AX97*(1+'Data &amp; Assumptions'!$D$91*'Data &amp; Assumptions'!$D$92)</f>
        <v>0.2835874204256375</v>
      </c>
      <c r="AZ97" s="121">
        <f>AY97*(1+'Data &amp; Assumptions'!$D$91*'Data &amp; Assumptions'!$D$92)</f>
        <v>0.2920950430384066</v>
      </c>
      <c r="BA97" s="121">
        <f>AZ97*(1+'Data &amp; Assumptions'!$D$91*'Data &amp; Assumptions'!$D$92)</f>
        <v>0.30085789432955884</v>
      </c>
      <c r="BB97" s="121">
        <f>BA97*(1+'Data &amp; Assumptions'!$D$91*'Data &amp; Assumptions'!$D$92)</f>
        <v>0.3098836311594456</v>
      </c>
      <c r="BC97" s="121">
        <f>BB97*(1+'Data &amp; Assumptions'!$D$91*'Data &amp; Assumptions'!$D$92)</f>
        <v>0.319180140094229</v>
      </c>
      <c r="BD97" s="121">
        <f>BC97*(1+'Data &amp; Assumptions'!$D$91*'Data &amp; Assumptions'!$D$92)</f>
        <v>0.3287555442970559</v>
      </c>
      <c r="BE97" s="121">
        <f>BD97*(1+'Data &amp; Assumptions'!$D$91*'Data &amp; Assumptions'!$D$92)</f>
        <v>0.3386182106259676</v>
      </c>
      <c r="BF97" s="121">
        <f>BE97*(1+'Data &amp; Assumptions'!$D$91*'Data &amp; Assumptions'!$D$92)</f>
        <v>0.34877675694474664</v>
      </c>
      <c r="BG97" s="121">
        <f>BF97*(1+'Data &amp; Assumptions'!$D$91*'Data &amp; Assumptions'!$D$92)</f>
        <v>0.35924005965308903</v>
      </c>
      <c r="BH97" s="121">
        <f>BG97*(1+'Data &amp; Assumptions'!$D$91*'Data &amp; Assumptions'!$D$92)</f>
        <v>0.3700172614426817</v>
      </c>
      <c r="BI97" s="121">
        <f>BH97*(1+'Data &amp; Assumptions'!$D$91*'Data &amp; Assumptions'!$D$92)</f>
        <v>0.3811177792859622</v>
      </c>
      <c r="BJ97" s="121">
        <f>BI97*(1+'Data &amp; Assumptions'!$D$91*'Data &amp; Assumptions'!$D$92)</f>
        <v>0.3925513126645411</v>
      </c>
      <c r="BK97" s="121">
        <f>BJ97*(1+'Data &amp; Assumptions'!$D$91*'Data &amp; Assumptions'!$D$92)</f>
        <v>0.4043278520444773</v>
      </c>
      <c r="BL97" s="121">
        <f>BK97*(1+'Data &amp; Assumptions'!$D$91*'Data &amp; Assumptions'!$D$92)</f>
        <v>0.41645768760581164</v>
      </c>
      <c r="BM97" s="121"/>
    </row>
    <row r="98" spans="6:38" ht="12.75">
      <c r="F98" s="67"/>
      <c r="L98" s="63"/>
      <c r="Q98" s="68"/>
      <c r="R98" s="209"/>
      <c r="S98" s="68"/>
      <c r="T98" s="68"/>
      <c r="U98" s="209"/>
      <c r="V98" s="68"/>
      <c r="W98" s="68"/>
      <c r="X98" s="68"/>
      <c r="Y98" s="68"/>
      <c r="Z98" s="68"/>
      <c r="AA98" s="68"/>
      <c r="AB98" s="68"/>
      <c r="AC98" s="68"/>
      <c r="AD98" s="68"/>
      <c r="AE98" s="68"/>
      <c r="AF98" s="68"/>
      <c r="AG98" s="68"/>
      <c r="AH98" s="68"/>
      <c r="AI98" s="68"/>
      <c r="AJ98" s="68"/>
      <c r="AK98" s="68"/>
      <c r="AL98" s="68"/>
    </row>
    <row r="99" spans="1:73" s="1" customFormat="1" ht="12.75">
      <c r="A99" s="12"/>
      <c r="E99" s="189" t="s">
        <v>418</v>
      </c>
      <c r="F99" s="122"/>
      <c r="G99" s="122" t="s">
        <v>290</v>
      </c>
      <c r="K99" s="123"/>
      <c r="L99" s="182" t="s">
        <v>64</v>
      </c>
      <c r="Q99" s="125">
        <f>(Q59-P59)*Q97</f>
        <v>521.0652212598303</v>
      </c>
      <c r="R99" s="244">
        <f aca="true" t="shared" si="103" ref="R99:AK99">(R59-Q59)*R97</f>
        <v>590.7576946033323</v>
      </c>
      <c r="S99" s="125">
        <f t="shared" si="103"/>
        <v>995.8035117988559</v>
      </c>
      <c r="T99" s="125">
        <f t="shared" si="103"/>
        <v>3341.0635325007192</v>
      </c>
      <c r="U99" s="244">
        <f t="shared" si="103"/>
        <v>3341.8656499473423</v>
      </c>
      <c r="V99" s="125">
        <f t="shared" si="103"/>
        <v>3427.5837677305985</v>
      </c>
      <c r="W99" s="125">
        <f t="shared" si="103"/>
        <v>3519.450703371121</v>
      </c>
      <c r="X99" s="125">
        <f t="shared" si="103"/>
        <v>416.1531105876148</v>
      </c>
      <c r="Y99" s="125">
        <f t="shared" si="103"/>
        <v>392.54890615508737</v>
      </c>
      <c r="Z99" s="125">
        <f t="shared" si="103"/>
        <v>370.2835321979782</v>
      </c>
      <c r="AA99" s="125">
        <f t="shared" si="103"/>
        <v>349.2810502517018</v>
      </c>
      <c r="AB99" s="125">
        <f t="shared" si="103"/>
        <v>329.46982908142667</v>
      </c>
      <c r="AC99" s="125">
        <f t="shared" si="103"/>
        <v>310.78230037593056</v>
      </c>
      <c r="AD99" s="125">
        <f t="shared" si="103"/>
        <v>293.1547282986037</v>
      </c>
      <c r="AE99" s="125">
        <f t="shared" si="103"/>
        <v>276.5269921095103</v>
      </c>
      <c r="AF99" s="125">
        <f t="shared" si="103"/>
        <v>260.8423811170529</v>
      </c>
      <c r="AG99" s="125">
        <f t="shared" si="103"/>
        <v>246.04740126009938</v>
      </c>
      <c r="AH99" s="125">
        <f t="shared" si="103"/>
        <v>232.091592660624</v>
      </c>
      <c r="AI99" s="125">
        <f t="shared" si="103"/>
        <v>218.92735752491788</v>
      </c>
      <c r="AJ99" s="125">
        <f t="shared" si="103"/>
        <v>206.5097978060967</v>
      </c>
      <c r="AK99" s="125">
        <f t="shared" si="103"/>
        <v>194.79656207454104</v>
      </c>
      <c r="AL99" s="125"/>
      <c r="AM99" s="207"/>
      <c r="AR99" s="125">
        <f>(AR59-AQ59)*AR97</f>
        <v>521.0652212598303</v>
      </c>
      <c r="AS99" s="125">
        <f>(AS59-AR59)*AS97</f>
        <v>561.2198098731657</v>
      </c>
      <c r="AT99" s="125">
        <f>S99*'Data &amp; Assumptions'!$D$92</f>
        <v>746.852633849142</v>
      </c>
      <c r="AU99" s="125">
        <f>T99*'Data &amp; Assumptions'!$D$92</f>
        <v>2505.7976493755395</v>
      </c>
      <c r="AV99" s="244">
        <f>U99*'Data &amp; Assumptions'!$D$92</f>
        <v>2506.399237460507</v>
      </c>
      <c r="AW99" s="125">
        <f>V99*'Data &amp; Assumptions'!$D$92</f>
        <v>2570.687825797949</v>
      </c>
      <c r="AX99" s="125">
        <f>W99*'Data &amp; Assumptions'!$D$92</f>
        <v>2639.5880275283407</v>
      </c>
      <c r="AY99" s="125">
        <f>X99*'Data &amp; Assumptions'!$D$92</f>
        <v>312.1148329407111</v>
      </c>
      <c r="AZ99" s="125">
        <f>Y99*'Data &amp; Assumptions'!$D$92</f>
        <v>294.4116796163155</v>
      </c>
      <c r="BA99" s="125">
        <f>Z99*'Data &amp; Assumptions'!$D$92</f>
        <v>277.71264914848365</v>
      </c>
      <c r="BB99" s="125">
        <f>AA99*'Data &amp; Assumptions'!$D$92</f>
        <v>261.96078768877635</v>
      </c>
      <c r="BC99" s="125">
        <f>AB99*'Data &amp; Assumptions'!$D$92</f>
        <v>247.10237181107</v>
      </c>
      <c r="BD99" s="125">
        <f>AC99*'Data &amp; Assumptions'!$D$92</f>
        <v>233.0867252819479</v>
      </c>
      <c r="BE99" s="125">
        <f>AD99*'Data &amp; Assumptions'!$D$92</f>
        <v>219.86604622395276</v>
      </c>
      <c r="BF99" s="125">
        <f>AE99*'Data &amp; Assumptions'!$D$92</f>
        <v>207.3952440821327</v>
      </c>
      <c r="BG99" s="125">
        <f>AF99*'Data &amp; Assumptions'!$D$92</f>
        <v>195.6317858377897</v>
      </c>
      <c r="BH99" s="125">
        <f>AG99*'Data &amp; Assumptions'!$D$92</f>
        <v>184.53555094507453</v>
      </c>
      <c r="BI99" s="125">
        <f>AH99*'Data &amp; Assumptions'!$D$92</f>
        <v>174.068694495468</v>
      </c>
      <c r="BJ99" s="125">
        <f>AI99*'Data &amp; Assumptions'!$D$92</f>
        <v>164.19551814368842</v>
      </c>
      <c r="BK99" s="125">
        <f>AJ99*'Data &amp; Assumptions'!$D$92</f>
        <v>154.88234835457254</v>
      </c>
      <c r="BL99" s="125">
        <f>AK99*'Data &amp; Assumptions'!$D$92</f>
        <v>146.09742155590578</v>
      </c>
      <c r="BM99" s="125"/>
      <c r="BN99" s="207"/>
      <c r="BU99" s="233"/>
    </row>
    <row r="100" spans="4:64" ht="12.75">
      <c r="D100" s="428">
        <v>0.4</v>
      </c>
      <c r="E100" s="428"/>
      <c r="F100" s="67"/>
      <c r="H100" t="s">
        <v>286</v>
      </c>
      <c r="K100" s="74"/>
      <c r="L100" s="182" t="s">
        <v>64</v>
      </c>
      <c r="Q100" s="68">
        <f>Q99*$D$100</f>
        <v>208.42608850393214</v>
      </c>
      <c r="R100" s="209">
        <f>R99-R101-R102-R103</f>
        <v>106.16703883169016</v>
      </c>
      <c r="S100" s="68">
        <f aca="true" t="shared" si="104" ref="S100:AK100">S99-S101-S102-S103</f>
        <v>536.5327177912823</v>
      </c>
      <c r="T100" s="68">
        <f t="shared" si="104"/>
        <v>2582.6152497985404</v>
      </c>
      <c r="U100" s="209">
        <f t="shared" si="104"/>
        <v>390.59011916347794</v>
      </c>
      <c r="V100" s="68">
        <f t="shared" si="104"/>
        <v>399.06718007336417</v>
      </c>
      <c r="W100" s="68">
        <f t="shared" si="104"/>
        <v>733.1521773561963</v>
      </c>
      <c r="X100" s="68">
        <f t="shared" si="104"/>
        <v>-925.0055148790779</v>
      </c>
      <c r="Y100" s="68">
        <f t="shared" si="104"/>
        <v>297.70823703498456</v>
      </c>
      <c r="Z100" s="68">
        <f t="shared" si="104"/>
        <v>303.73605565265905</v>
      </c>
      <c r="AA100" s="68">
        <f t="shared" si="104"/>
        <v>553.3533252147611</v>
      </c>
      <c r="AB100" s="68">
        <f t="shared" si="104"/>
        <v>-687.3137823190349</v>
      </c>
      <c r="AC100" s="68">
        <f t="shared" si="104"/>
        <v>227.07660443778028</v>
      </c>
      <c r="AD100" s="68">
        <f t="shared" si="104"/>
        <v>231.3375558894317</v>
      </c>
      <c r="AE100" s="68">
        <f t="shared" si="104"/>
        <v>417.83016195889456</v>
      </c>
      <c r="AF100" s="68">
        <f t="shared" si="104"/>
        <v>-510.47417790924806</v>
      </c>
      <c r="AG100" s="68">
        <f t="shared" si="104"/>
        <v>173.32909719489655</v>
      </c>
      <c r="AH100" s="68">
        <f t="shared" si="104"/>
        <v>176.32003316030824</v>
      </c>
      <c r="AI100" s="68">
        <f t="shared" si="104"/>
        <v>315.6408688425142</v>
      </c>
      <c r="AJ100" s="68">
        <f t="shared" si="104"/>
        <v>-378.9538795301874</v>
      </c>
      <c r="AK100" s="68">
        <f t="shared" si="104"/>
        <v>132.40162966299877</v>
      </c>
      <c r="AL100" s="68"/>
      <c r="AR100" s="68">
        <f>AR99*$D$100</f>
        <v>208.42608850393214</v>
      </c>
      <c r="AS100" s="68">
        <f>AS99-AS101-AS102-AS103</f>
        <v>76.62915410152353</v>
      </c>
      <c r="AT100" s="214">
        <f>S100*'Data &amp; Assumptions'!$D$92</f>
        <v>402.3995383434617</v>
      </c>
      <c r="AU100" s="214">
        <f>T100*'Data &amp; Assumptions'!$D$92</f>
        <v>1936.9614373489053</v>
      </c>
      <c r="AV100" s="255">
        <f>U100*'Data &amp; Assumptions'!$D$92</f>
        <v>292.94258937260844</v>
      </c>
      <c r="AW100" s="214">
        <f>V100*'Data &amp; Assumptions'!$D$92</f>
        <v>299.3003850550231</v>
      </c>
      <c r="AX100" s="214">
        <f>W100*'Data &amp; Assumptions'!$D$92</f>
        <v>549.8641330171472</v>
      </c>
      <c r="AY100" s="214">
        <f>X100*'Data &amp; Assumptions'!$D$92</f>
        <v>-693.7541361593084</v>
      </c>
      <c r="AZ100" s="214">
        <f>Y100*'Data &amp; Assumptions'!$D$92</f>
        <v>223.28117777623842</v>
      </c>
      <c r="BA100" s="214">
        <f>Z100*'Data &amp; Assumptions'!$D$92</f>
        <v>227.80204173949429</v>
      </c>
      <c r="BB100" s="214">
        <f>AA100*'Data &amp; Assumptions'!$D$92</f>
        <v>415.0149939110708</v>
      </c>
      <c r="BC100" s="214">
        <f>AB100*'Data &amp; Assumptions'!$D$92</f>
        <v>-515.4853367392761</v>
      </c>
      <c r="BD100" s="214">
        <f>AC100*'Data &amp; Assumptions'!$D$92</f>
        <v>170.3074533283352</v>
      </c>
      <c r="BE100" s="214">
        <f>AD100*'Data &amp; Assumptions'!$D$92</f>
        <v>173.50316691707377</v>
      </c>
      <c r="BF100" s="214">
        <f>AE100*'Data &amp; Assumptions'!$D$92</f>
        <v>313.3726214691709</v>
      </c>
      <c r="BG100" s="214">
        <f>AF100*'Data &amp; Assumptions'!$D$92</f>
        <v>-382.85563343193604</v>
      </c>
      <c r="BH100" s="214">
        <f>AG100*'Data &amp; Assumptions'!$D$92</f>
        <v>129.9968228961724</v>
      </c>
      <c r="BI100" s="214">
        <f>AH100*'Data &amp; Assumptions'!$D$92</f>
        <v>132.2400248702312</v>
      </c>
      <c r="BJ100" s="214">
        <f>AI100*'Data &amp; Assumptions'!$D$92</f>
        <v>236.73065163188562</v>
      </c>
      <c r="BK100" s="214">
        <f>AJ100*'Data &amp; Assumptions'!$D$92</f>
        <v>-284.21540964764057</v>
      </c>
      <c r="BL100" s="214">
        <f>AK100*'Data &amp; Assumptions'!$D$92</f>
        <v>99.30122224724909</v>
      </c>
    </row>
    <row r="101" spans="4:64" ht="12.75">
      <c r="D101" s="428">
        <v>0.4</v>
      </c>
      <c r="E101" s="414"/>
      <c r="F101" s="67"/>
      <c r="H101" t="s">
        <v>287</v>
      </c>
      <c r="K101" s="74"/>
      <c r="L101" s="182" t="s">
        <v>64</v>
      </c>
      <c r="Q101" s="68">
        <f>Q99*$D$101</f>
        <v>208.42608850393214</v>
      </c>
      <c r="R101" s="209">
        <f>Q100*(1-'Data &amp; Assumptions'!$D$114)</f>
        <v>193.83626230865687</v>
      </c>
      <c r="S101" s="68">
        <f>R100*(1-'Data &amp; Assumptions'!$D$114)</f>
        <v>98.73534611347185</v>
      </c>
      <c r="T101" s="68">
        <f>S100*(1-'Data &amp; Assumptions'!$D$114)</f>
        <v>498.9754275458925</v>
      </c>
      <c r="U101" s="209">
        <f>T100*(1-'Data &amp; Assumptions'!$D$114)</f>
        <v>2401.8321823126425</v>
      </c>
      <c r="V101" s="68">
        <f>U100*(1-'Data &amp; Assumptions'!$D$114)</f>
        <v>363.24881082203444</v>
      </c>
      <c r="W101" s="68">
        <f>V100*(1-'Data &amp; Assumptions'!$D$114)</f>
        <v>371.13247746822867</v>
      </c>
      <c r="X101" s="68">
        <f>W100*(1-'Data &amp; Assumptions'!$D$114)</f>
        <v>681.8315249412625</v>
      </c>
      <c r="Y101" s="68">
        <f>X100*(1-'Data &amp; Assumptions'!$D$114)</f>
        <v>-860.2551288375423</v>
      </c>
      <c r="Z101" s="68">
        <f>Y100*(1-'Data &amp; Assumptions'!$D$114)</f>
        <v>276.8686604425356</v>
      </c>
      <c r="AA101" s="68">
        <f>Z100*(1-'Data &amp; Assumptions'!$D$114)</f>
        <v>282.4745317569729</v>
      </c>
      <c r="AB101" s="68">
        <f>AA100*(1-'Data &amp; Assumptions'!$D$114)</f>
        <v>514.6185924497278</v>
      </c>
      <c r="AC101" s="68">
        <f>AB100*(1-'Data &amp; Assumptions'!$D$114)</f>
        <v>-639.2018175567024</v>
      </c>
      <c r="AD101" s="68">
        <f>AC100*(1-'Data &amp; Assumptions'!$D$114)</f>
        <v>211.18124212713565</v>
      </c>
      <c r="AE101" s="68">
        <f>AD100*(1-'Data &amp; Assumptions'!$D$114)</f>
        <v>215.14392697717147</v>
      </c>
      <c r="AF101" s="68">
        <f>AE100*(1-'Data &amp; Assumptions'!$D$114)</f>
        <v>388.58205062177194</v>
      </c>
      <c r="AG101" s="68">
        <f>AF100*(1-'Data &amp; Assumptions'!$D$114)</f>
        <v>-474.74098545560065</v>
      </c>
      <c r="AH101" s="68">
        <f>AG100*(1-'Data &amp; Assumptions'!$D$114)</f>
        <v>161.19606039125378</v>
      </c>
      <c r="AI101" s="68">
        <f>AH100*(1-'Data &amp; Assumptions'!$D$114)</f>
        <v>163.97763083908666</v>
      </c>
      <c r="AJ101" s="68">
        <f>AI100*(1-'Data &amp; Assumptions'!$D$114)</f>
        <v>293.54600802353815</v>
      </c>
      <c r="AK101" s="68">
        <f>AJ100*(1-'Data &amp; Assumptions'!$D$114)</f>
        <v>-352.42710796307426</v>
      </c>
      <c r="AL101" s="68"/>
      <c r="AR101" s="68">
        <f>AR99*$D$101</f>
        <v>208.42608850393214</v>
      </c>
      <c r="AS101" s="68">
        <f>AR100*(1-'Data &amp; Assumptions'!$D$114)</f>
        <v>193.83626230865687</v>
      </c>
      <c r="AT101" s="214">
        <f>S101*'Data &amp; Assumptions'!$D$92</f>
        <v>74.05150958510389</v>
      </c>
      <c r="AU101" s="214">
        <f>T101*'Data &amp; Assumptions'!$D$92</f>
        <v>374.2315706594194</v>
      </c>
      <c r="AV101" s="255">
        <f>U101*'Data &amp; Assumptions'!$D$92</f>
        <v>1801.374136734482</v>
      </c>
      <c r="AW101" s="214">
        <f>V101*'Data &amp; Assumptions'!$D$92</f>
        <v>272.4366081165258</v>
      </c>
      <c r="AX101" s="214">
        <f>W101*'Data &amp; Assumptions'!$D$92</f>
        <v>278.3493581011715</v>
      </c>
      <c r="AY101" s="214">
        <f>X101*'Data &amp; Assumptions'!$D$92</f>
        <v>511.37364370594685</v>
      </c>
      <c r="AZ101" s="214">
        <f>Y101*'Data &amp; Assumptions'!$D$92</f>
        <v>-645.1913466281567</v>
      </c>
      <c r="BA101" s="214">
        <f>Z101*'Data &amp; Assumptions'!$D$92</f>
        <v>207.65149533190169</v>
      </c>
      <c r="BB101" s="214">
        <f>AA101*'Data &amp; Assumptions'!$D$92</f>
        <v>211.85589881772967</v>
      </c>
      <c r="BC101" s="214">
        <f>AB101*'Data &amp; Assumptions'!$D$92</f>
        <v>385.96394433729586</v>
      </c>
      <c r="BD101" s="214">
        <f>AC101*'Data &amp; Assumptions'!$D$92</f>
        <v>-479.4013631675268</v>
      </c>
      <c r="BE101" s="214">
        <f>AD101*'Data &amp; Assumptions'!$D$92</f>
        <v>158.38593159535174</v>
      </c>
      <c r="BF101" s="214">
        <f>AE101*'Data &amp; Assumptions'!$D$92</f>
        <v>161.3579452328786</v>
      </c>
      <c r="BG101" s="214">
        <f>AF101*'Data &amp; Assumptions'!$D$92</f>
        <v>291.43653796632896</v>
      </c>
      <c r="BH101" s="214">
        <f>AG101*'Data &amp; Assumptions'!$D$92</f>
        <v>-356.0557390917005</v>
      </c>
      <c r="BI101" s="214">
        <f>AH101*'Data &amp; Assumptions'!$D$92</f>
        <v>120.89704529344033</v>
      </c>
      <c r="BJ101" s="214">
        <f>AI101*'Data &amp; Assumptions'!$D$92</f>
        <v>122.983223129315</v>
      </c>
      <c r="BK101" s="214">
        <f>AJ101*'Data &amp; Assumptions'!$D$92</f>
        <v>220.1595060176536</v>
      </c>
      <c r="BL101" s="214">
        <f>AK101*'Data &amp; Assumptions'!$D$92</f>
        <v>-264.32033097230567</v>
      </c>
    </row>
    <row r="102" spans="4:64" ht="12.75">
      <c r="D102" s="428">
        <v>0.2</v>
      </c>
      <c r="E102" s="428"/>
      <c r="F102" s="67"/>
      <c r="H102" t="s">
        <v>288</v>
      </c>
      <c r="K102" s="74"/>
      <c r="L102" s="182" t="s">
        <v>64</v>
      </c>
      <c r="Q102" s="68">
        <f>Q99*$D$102</f>
        <v>104.21304425196607</v>
      </c>
      <c r="R102" s="209">
        <f>Q101*(1-'Data &amp; Assumptions'!$D$114)</f>
        <v>193.83626230865687</v>
      </c>
      <c r="S102" s="68">
        <f>R101*(1-'Data &amp; Assumptions'!$D$114)</f>
        <v>180.26772394705088</v>
      </c>
      <c r="T102" s="68">
        <f>S101*(1-'Data &amp; Assumptions'!$D$114)</f>
        <v>91.82387188552882</v>
      </c>
      <c r="U102" s="209">
        <f>T101*(1-'Data &amp; Assumptions'!$D$114)</f>
        <v>464.04714761767997</v>
      </c>
      <c r="V102" s="68">
        <f>U101*(1-'Data &amp; Assumptions'!$D$114)</f>
        <v>2233.7039295507575</v>
      </c>
      <c r="W102" s="68">
        <f>V101*(1-'Data &amp; Assumptions'!$D$114)</f>
        <v>337.821394064492</v>
      </c>
      <c r="X102" s="68">
        <f>W101*(1-'Data &amp; Assumptions'!$D$114)</f>
        <v>345.15320404545264</v>
      </c>
      <c r="Y102" s="68">
        <f>X101*(1-'Data &amp; Assumptions'!$D$114)</f>
        <v>634.1033181953741</v>
      </c>
      <c r="Z102" s="68">
        <f>Y101*(1-'Data &amp; Assumptions'!$D$114)</f>
        <v>-800.0372698189143</v>
      </c>
      <c r="AA102" s="68">
        <f>Z101*(1-'Data &amp; Assumptions'!$D$114)</f>
        <v>257.4878542115581</v>
      </c>
      <c r="AB102" s="68">
        <f>AA101*(1-'Data &amp; Assumptions'!$D$114)</f>
        <v>262.70131453398477</v>
      </c>
      <c r="AC102" s="68">
        <f>AB101*(1-'Data &amp; Assumptions'!$D$114)</f>
        <v>478.5952909782468</v>
      </c>
      <c r="AD102" s="68">
        <f>AC101*(1-'Data &amp; Assumptions'!$D$114)</f>
        <v>-594.4576903277332</v>
      </c>
      <c r="AE102" s="68">
        <f>AD101*(1-'Data &amp; Assumptions'!$D$114)</f>
        <v>196.39855517823614</v>
      </c>
      <c r="AF102" s="68">
        <f>AE101*(1-'Data &amp; Assumptions'!$D$114)</f>
        <v>200.08385208876945</v>
      </c>
      <c r="AG102" s="68">
        <f>AF101*(1-'Data &amp; Assumptions'!$D$114)</f>
        <v>361.38130707824786</v>
      </c>
      <c r="AH102" s="68">
        <f>AG101*(1-'Data &amp; Assumptions'!$D$114)</f>
        <v>-441.50911647370856</v>
      </c>
      <c r="AI102" s="68">
        <f>AH101*(1-'Data &amp; Assumptions'!$D$114)</f>
        <v>149.912336163866</v>
      </c>
      <c r="AJ102" s="68">
        <f>AI101*(1-'Data &amp; Assumptions'!$D$114)</f>
        <v>152.4991966803506</v>
      </c>
      <c r="AK102" s="68">
        <f>AJ101*(1-'Data &amp; Assumptions'!$D$114)</f>
        <v>272.9977874618905</v>
      </c>
      <c r="AL102" s="68"/>
      <c r="AR102" s="68">
        <f>AR99*$D$102</f>
        <v>104.21304425196607</v>
      </c>
      <c r="AS102" s="68">
        <f>AR101*(1-'Data &amp; Assumptions'!$D$114)</f>
        <v>193.83626230865687</v>
      </c>
      <c r="AT102" s="214">
        <f>S102*'Data &amp; Assumptions'!$D$92</f>
        <v>135.20079296028817</v>
      </c>
      <c r="AU102" s="214">
        <f>T102*'Data &amp; Assumptions'!$D$92</f>
        <v>68.86790391414661</v>
      </c>
      <c r="AV102" s="255">
        <f>U102*'Data &amp; Assumptions'!$D$92</f>
        <v>348.03536071326</v>
      </c>
      <c r="AW102" s="214">
        <f>V102*'Data &amp; Assumptions'!$D$92</f>
        <v>1675.2779471630681</v>
      </c>
      <c r="AX102" s="214">
        <f>W102*'Data &amp; Assumptions'!$D$92</f>
        <v>253.366045548369</v>
      </c>
      <c r="AY102" s="214">
        <f>X102*'Data &amp; Assumptions'!$D$92</f>
        <v>258.8649030340895</v>
      </c>
      <c r="AZ102" s="214">
        <f>Y102*'Data &amp; Assumptions'!$D$92</f>
        <v>475.5774886465306</v>
      </c>
      <c r="BA102" s="214">
        <f>Z102*'Data &amp; Assumptions'!$D$92</f>
        <v>-600.0279523641857</v>
      </c>
      <c r="BB102" s="214">
        <f>AA102*'Data &amp; Assumptions'!$D$92</f>
        <v>193.11589065866858</v>
      </c>
      <c r="BC102" s="214">
        <f>AB102*'Data &amp; Assumptions'!$D$92</f>
        <v>197.0259859004886</v>
      </c>
      <c r="BD102" s="214">
        <f>AC102*'Data &amp; Assumptions'!$D$92</f>
        <v>358.9464682336851</v>
      </c>
      <c r="BE102" s="214">
        <f>AD102*'Data &amp; Assumptions'!$D$92</f>
        <v>-445.8432677457999</v>
      </c>
      <c r="BF102" s="214">
        <f>AE102*'Data &amp; Assumptions'!$D$92</f>
        <v>147.2989163836771</v>
      </c>
      <c r="BG102" s="214">
        <f>AF102*'Data &amp; Assumptions'!$D$92</f>
        <v>150.0628890665771</v>
      </c>
      <c r="BH102" s="214">
        <f>AG102*'Data &amp; Assumptions'!$D$92</f>
        <v>271.0359803086859</v>
      </c>
      <c r="BI102" s="214">
        <f>AH102*'Data &amp; Assumptions'!$D$92</f>
        <v>-331.1318373552814</v>
      </c>
      <c r="BJ102" s="214">
        <f>AI102*'Data &amp; Assumptions'!$D$92</f>
        <v>112.4342521228995</v>
      </c>
      <c r="BK102" s="214">
        <f>AJ102*'Data &amp; Assumptions'!$D$92</f>
        <v>114.37439751026295</v>
      </c>
      <c r="BL102" s="214">
        <f>AK102*'Data &amp; Assumptions'!$D$92</f>
        <v>204.74834059641785</v>
      </c>
    </row>
    <row r="103" spans="4:64" ht="12.75">
      <c r="D103" s="428">
        <v>0</v>
      </c>
      <c r="E103" s="414"/>
      <c r="F103" s="67"/>
      <c r="H103" t="s">
        <v>289</v>
      </c>
      <c r="K103" s="74"/>
      <c r="L103" s="182" t="s">
        <v>64</v>
      </c>
      <c r="Q103" s="68">
        <f>Q99*$D$103</f>
        <v>0</v>
      </c>
      <c r="R103" s="209">
        <f>Q102*(1-'Data &amp; Assumptions'!$D$114)</f>
        <v>96.91813115432844</v>
      </c>
      <c r="S103" s="68">
        <f>R102*(1-'Data &amp; Assumptions'!$D$114)</f>
        <v>180.26772394705088</v>
      </c>
      <c r="T103" s="68">
        <f>S102*(1-'Data &amp; Assumptions'!$D$114)</f>
        <v>167.6489832707573</v>
      </c>
      <c r="U103" s="209">
        <f>T102*(1-'Data &amp; Assumptions'!$D$114)</f>
        <v>85.3962008535418</v>
      </c>
      <c r="V103" s="68">
        <f>U102*(1-'Data &amp; Assumptions'!$D$114)</f>
        <v>431.5638472844423</v>
      </c>
      <c r="W103" s="68">
        <f>V102*(1-'Data &amp; Assumptions'!$D$114)</f>
        <v>2077.3446544822045</v>
      </c>
      <c r="X103" s="68">
        <f>W102*(1-'Data &amp; Assumptions'!$D$114)</f>
        <v>314.17389647997754</v>
      </c>
      <c r="Y103" s="68">
        <f>X102*(1-'Data &amp; Assumptions'!$D$114)</f>
        <v>320.99247976227093</v>
      </c>
      <c r="Z103" s="68">
        <f>Y102*(1-'Data &amp; Assumptions'!$D$114)</f>
        <v>589.7160859216979</v>
      </c>
      <c r="AA103" s="68">
        <f>Z102*(1-'Data &amp; Assumptions'!$D$114)</f>
        <v>-744.0346609315902</v>
      </c>
      <c r="AB103" s="68">
        <f>AA102*(1-'Data &amp; Assumptions'!$D$114)</f>
        <v>239.463704416749</v>
      </c>
      <c r="AC103" s="68">
        <f>AB102*(1-'Data &amp; Assumptions'!$D$114)</f>
        <v>244.31222251660583</v>
      </c>
      <c r="AD103" s="68">
        <f>AC102*(1-'Data &amp; Assumptions'!$D$114)</f>
        <v>445.0936206097695</v>
      </c>
      <c r="AE103" s="68">
        <f>AD102*(1-'Data &amp; Assumptions'!$D$114)</f>
        <v>-552.8456520047919</v>
      </c>
      <c r="AF103" s="68">
        <f>AE102*(1-'Data &amp; Assumptions'!$D$114)</f>
        <v>182.6506563157596</v>
      </c>
      <c r="AG103" s="68">
        <f>AF102*(1-'Data &amp; Assumptions'!$D$114)</f>
        <v>186.07798244255557</v>
      </c>
      <c r="AH103" s="68">
        <f>AG102*(1-'Data &amp; Assumptions'!$D$114)</f>
        <v>336.0846155827705</v>
      </c>
      <c r="AI103" s="68">
        <f>AH102*(1-'Data &amp; Assumptions'!$D$114)</f>
        <v>-410.60347832054896</v>
      </c>
      <c r="AJ103" s="68">
        <f>AI102*(1-'Data &amp; Assumptions'!$D$114)</f>
        <v>139.41847263239538</v>
      </c>
      <c r="AK103" s="68">
        <f>AJ102*(1-'Data &amp; Assumptions'!$D$114)</f>
        <v>141.82425291272605</v>
      </c>
      <c r="AL103" s="68"/>
      <c r="AR103" s="68">
        <f>AR99*$D$103</f>
        <v>0</v>
      </c>
      <c r="AS103" s="68">
        <f>AR102*(1-'Data &amp; Assumptions'!$D$114)</f>
        <v>96.91813115432844</v>
      </c>
      <c r="AT103" s="214">
        <f>S103*'Data &amp; Assumptions'!$D$92</f>
        <v>135.20079296028817</v>
      </c>
      <c r="AU103" s="214">
        <f>T103*'Data &amp; Assumptions'!$D$92</f>
        <v>125.73673745306797</v>
      </c>
      <c r="AV103" s="255">
        <f>U103*'Data &amp; Assumptions'!$D$92</f>
        <v>64.04715064015635</v>
      </c>
      <c r="AW103" s="214">
        <f>V103*'Data &amp; Assumptions'!$D$92</f>
        <v>323.67288546333174</v>
      </c>
      <c r="AX103" s="214">
        <f>W103*'Data &amp; Assumptions'!$D$92</f>
        <v>1558.0084908616534</v>
      </c>
      <c r="AY103" s="214">
        <f>X103*'Data &amp; Assumptions'!$D$92</f>
        <v>235.63042235998316</v>
      </c>
      <c r="AZ103" s="214">
        <f>Y103*'Data &amp; Assumptions'!$D$92</f>
        <v>240.7443598217032</v>
      </c>
      <c r="BA103" s="214">
        <f>Z103*'Data &amp; Assumptions'!$D$92</f>
        <v>442.2870644412734</v>
      </c>
      <c r="BB103" s="214">
        <f>AA103*'Data &amp; Assumptions'!$D$92</f>
        <v>-558.0259956986927</v>
      </c>
      <c r="BC103" s="214">
        <f>AB103*'Data &amp; Assumptions'!$D$92</f>
        <v>179.59777831256176</v>
      </c>
      <c r="BD103" s="214">
        <f>AC103*'Data &amp; Assumptions'!$D$92</f>
        <v>183.23416688745436</v>
      </c>
      <c r="BE103" s="214">
        <f>AD103*'Data &amp; Assumptions'!$D$92</f>
        <v>333.82021545732715</v>
      </c>
      <c r="BF103" s="214">
        <f>AE103*'Data &amp; Assumptions'!$D$92</f>
        <v>-414.6342390035939</v>
      </c>
      <c r="BG103" s="214">
        <f>AF103*'Data &amp; Assumptions'!$D$92</f>
        <v>136.9879922368197</v>
      </c>
      <c r="BH103" s="214">
        <f>AG103*'Data &amp; Assumptions'!$D$92</f>
        <v>139.55848683191667</v>
      </c>
      <c r="BI103" s="214">
        <f>AH103*'Data &amp; Assumptions'!$D$92</f>
        <v>252.06346168707785</v>
      </c>
      <c r="BJ103" s="214">
        <f>AI103*'Data &amp; Assumptions'!$D$92</f>
        <v>-307.95260874041173</v>
      </c>
      <c r="BK103" s="214">
        <f>AJ103*'Data &amp; Assumptions'!$D$92</f>
        <v>104.56385447429653</v>
      </c>
      <c r="BL103" s="214">
        <f>AK103*'Data &amp; Assumptions'!$D$92</f>
        <v>106.36818968454455</v>
      </c>
    </row>
    <row r="104" spans="6:66" s="233" customFormat="1" ht="12.75">
      <c r="F104" s="235"/>
      <c r="G104" s="235" t="s">
        <v>291</v>
      </c>
      <c r="K104" s="252"/>
      <c r="L104" s="232" t="s">
        <v>64</v>
      </c>
      <c r="Q104" s="244">
        <f aca="true" t="shared" si="105" ref="Q104:AK104">(Q60-P60)*Q97</f>
        <v>52.18027516508565</v>
      </c>
      <c r="R104" s="244">
        <f t="shared" si="105"/>
        <v>59.15938696841579</v>
      </c>
      <c r="S104" s="244">
        <f t="shared" si="105"/>
        <v>99.72130001382739</v>
      </c>
      <c r="T104" s="244">
        <f t="shared" si="105"/>
        <v>334.5792567932425</v>
      </c>
      <c r="U104" s="244">
        <f t="shared" si="105"/>
        <v>334.65958207186765</v>
      </c>
      <c r="V104" s="244">
        <f t="shared" si="105"/>
        <v>343.2435266340265</v>
      </c>
      <c r="W104" s="244">
        <f t="shared" si="105"/>
        <v>352.44322330291146</v>
      </c>
      <c r="X104" s="244">
        <f t="shared" si="105"/>
        <v>41.67421454221351</v>
      </c>
      <c r="Y104" s="244">
        <f t="shared" si="105"/>
        <v>39.310453093379046</v>
      </c>
      <c r="Z104" s="244">
        <f t="shared" si="105"/>
        <v>37.0807641939231</v>
      </c>
      <c r="AA104" s="244">
        <f t="shared" si="105"/>
        <v>34.977543248843666</v>
      </c>
      <c r="AB104" s="244">
        <f t="shared" si="105"/>
        <v>32.993616995769344</v>
      </c>
      <c r="AC104" s="244">
        <f t="shared" si="105"/>
        <v>31.12221903976942</v>
      </c>
      <c r="AD104" s="244">
        <f t="shared" si="105"/>
        <v>29.356966775833225</v>
      </c>
      <c r="AE104" s="244">
        <f t="shared" si="105"/>
        <v>27.691839620308325</v>
      </c>
      <c r="AF104" s="244">
        <f t="shared" si="105"/>
        <v>26.12115847704416</v>
      </c>
      <c r="AG104" s="244">
        <f t="shared" si="105"/>
        <v>24.639566368226465</v>
      </c>
      <c r="AH104" s="244">
        <f t="shared" si="105"/>
        <v>23.242010163820716</v>
      </c>
      <c r="AI104" s="244">
        <f t="shared" si="105"/>
        <v>21.923723347328416</v>
      </c>
      <c r="AJ104" s="244">
        <f t="shared" si="105"/>
        <v>20.680209759068514</v>
      </c>
      <c r="AK104" s="244">
        <f t="shared" si="105"/>
        <v>19.507228261533403</v>
      </c>
      <c r="AL104" s="244"/>
      <c r="AM104" s="207"/>
      <c r="AR104" s="244">
        <f>(AR60-AQ60)*AR97</f>
        <v>52.18027516508565</v>
      </c>
      <c r="AS104" s="244">
        <f>(AS60-AR60)*AS97</f>
        <v>56.201417619995</v>
      </c>
      <c r="AT104" s="244">
        <f>S104*'Data &amp; Assumptions'!$D$92</f>
        <v>74.79097501037054</v>
      </c>
      <c r="AU104" s="244">
        <f>T104*'Data &amp; Assumptions'!$D$92</f>
        <v>250.93444259493188</v>
      </c>
      <c r="AV104" s="244">
        <f>U104*'Data &amp; Assumptions'!$D$92</f>
        <v>250.99468655390075</v>
      </c>
      <c r="AW104" s="244">
        <f>V104*'Data &amp; Assumptions'!$D$92</f>
        <v>257.4326449755199</v>
      </c>
      <c r="AX104" s="244">
        <f>W104*'Data &amp; Assumptions'!$D$92</f>
        <v>264.3324174771836</v>
      </c>
      <c r="AY104" s="244">
        <f>X104*'Data &amp; Assumptions'!$D$92</f>
        <v>31.255660906660133</v>
      </c>
      <c r="AZ104" s="244">
        <f>Y104*'Data &amp; Assumptions'!$D$92</f>
        <v>29.482839820034286</v>
      </c>
      <c r="BA104" s="244">
        <f>Z104*'Data &amp; Assumptions'!$D$92</f>
        <v>27.810573145442326</v>
      </c>
      <c r="BB104" s="244">
        <f>AA104*'Data &amp; Assumptions'!$D$92</f>
        <v>26.23315743663275</v>
      </c>
      <c r="BC104" s="244">
        <f>AB104*'Data &amp; Assumptions'!$D$92</f>
        <v>24.745212746827008</v>
      </c>
      <c r="BD104" s="244">
        <f>AC104*'Data &amp; Assumptions'!$D$92</f>
        <v>23.341664279827064</v>
      </c>
      <c r="BE104" s="244">
        <f>AD104*'Data &amp; Assumptions'!$D$92</f>
        <v>22.017725081874918</v>
      </c>
      <c r="BF104" s="244">
        <f>AE104*'Data &amp; Assumptions'!$D$92</f>
        <v>20.768879715231243</v>
      </c>
      <c r="BG104" s="244">
        <f>AF104*'Data &amp; Assumptions'!$D$92</f>
        <v>19.590868857783118</v>
      </c>
      <c r="BH104" s="244">
        <f>AG104*'Data &amp; Assumptions'!$D$92</f>
        <v>18.479674776169848</v>
      </c>
      <c r="BI104" s="244">
        <f>AH104*'Data &amp; Assumptions'!$D$92</f>
        <v>17.43150762286554</v>
      </c>
      <c r="BJ104" s="244">
        <f>AI104*'Data &amp; Assumptions'!$D$92</f>
        <v>16.44279251049631</v>
      </c>
      <c r="BK104" s="244">
        <f>AJ104*'Data &amp; Assumptions'!$D$92</f>
        <v>15.510157319301385</v>
      </c>
      <c r="BL104" s="244">
        <f>AK104*'Data &amp; Assumptions'!$D$92</f>
        <v>14.630421196150053</v>
      </c>
      <c r="BN104" s="207"/>
    </row>
    <row r="105" spans="6:64" ht="12.75">
      <c r="F105" s="67"/>
      <c r="H105" t="s">
        <v>286</v>
      </c>
      <c r="K105" s="74"/>
      <c r="L105" s="182" t="s">
        <v>64</v>
      </c>
      <c r="Q105" s="68">
        <f>Q104*$D$100</f>
        <v>20.87211006603426</v>
      </c>
      <c r="R105" s="209">
        <f>R104-R106-R107-R108</f>
        <v>10.63173106488613</v>
      </c>
      <c r="S105" s="68">
        <f aca="true" t="shared" si="106" ref="S105:AK105">S104-S106-S107-S108</f>
        <v>53.72921413125723</v>
      </c>
      <c r="T105" s="68">
        <f t="shared" si="106"/>
        <v>258.6270756167682</v>
      </c>
      <c r="U105" s="209">
        <f t="shared" si="106"/>
        <v>39.11429714199026</v>
      </c>
      <c r="V105" s="68">
        <f t="shared" si="106"/>
        <v>39.96320310005715</v>
      </c>
      <c r="W105" s="68">
        <f t="shared" si="106"/>
        <v>73.41899015987417</v>
      </c>
      <c r="X105" s="68">
        <f t="shared" si="106"/>
        <v>-92.63147937394875</v>
      </c>
      <c r="Y105" s="68">
        <f t="shared" si="106"/>
        <v>29.812962165923544</v>
      </c>
      <c r="Z105" s="68">
        <f t="shared" si="106"/>
        <v>30.416597222116565</v>
      </c>
      <c r="AA105" s="68">
        <f t="shared" si="106"/>
        <v>55.41365570975927</v>
      </c>
      <c r="AB105" s="68">
        <f t="shared" si="106"/>
        <v>-68.82866256061115</v>
      </c>
      <c r="AC105" s="68">
        <f t="shared" si="106"/>
        <v>22.73980150597698</v>
      </c>
      <c r="AD105" s="68">
        <f t="shared" si="106"/>
        <v>23.166499758212368</v>
      </c>
      <c r="AE105" s="68">
        <f t="shared" si="106"/>
        <v>41.84215705391682</v>
      </c>
      <c r="AF105" s="68">
        <f t="shared" si="106"/>
        <v>-51.11967174391948</v>
      </c>
      <c r="AG105" s="68">
        <f t="shared" si="106"/>
        <v>17.357443208122497</v>
      </c>
      <c r="AH105" s="68">
        <f t="shared" si="106"/>
        <v>17.656960150165375</v>
      </c>
      <c r="AI105" s="68">
        <f t="shared" si="106"/>
        <v>31.6087635818933</v>
      </c>
      <c r="AJ105" s="68">
        <f t="shared" si="106"/>
        <v>-37.949026152526066</v>
      </c>
      <c r="AK105" s="68">
        <f t="shared" si="106"/>
        <v>13.258903465896557</v>
      </c>
      <c r="AL105" s="68"/>
      <c r="AR105" s="68">
        <f>AR104*$D$100</f>
        <v>20.87211006603426</v>
      </c>
      <c r="AS105" s="68">
        <f>AS104-AS106-AS107-AS108</f>
        <v>7.673761716465341</v>
      </c>
      <c r="AT105" s="214">
        <f>S105*'Data &amp; Assumptions'!$D$92</f>
        <v>40.29691059844292</v>
      </c>
      <c r="AU105" s="214">
        <f>T105*'Data &amp; Assumptions'!$D$92</f>
        <v>193.97030671257613</v>
      </c>
      <c r="AV105" s="255">
        <f>U105*'Data &amp; Assumptions'!$D$92</f>
        <v>29.335722856492694</v>
      </c>
      <c r="AW105" s="214">
        <f>V105*'Data &amp; Assumptions'!$D$92</f>
        <v>29.972402325042864</v>
      </c>
      <c r="AX105" s="214">
        <f>W105*'Data &amp; Assumptions'!$D$92</f>
        <v>55.06424261990563</v>
      </c>
      <c r="AY105" s="214">
        <f>X105*'Data &amp; Assumptions'!$D$92</f>
        <v>-69.47360953046156</v>
      </c>
      <c r="AZ105" s="214">
        <f>Y105*'Data &amp; Assumptions'!$D$92</f>
        <v>22.359721624442656</v>
      </c>
      <c r="BA105" s="214">
        <f>Z105*'Data &amp; Assumptions'!$D$92</f>
        <v>22.812447916587423</v>
      </c>
      <c r="BB105" s="214">
        <f>AA105*'Data &amp; Assumptions'!$D$92</f>
        <v>41.56024178231945</v>
      </c>
      <c r="BC105" s="214">
        <f>AB105*'Data &amp; Assumptions'!$D$92</f>
        <v>-51.62149692045836</v>
      </c>
      <c r="BD105" s="214">
        <f>AC105*'Data &amp; Assumptions'!$D$92</f>
        <v>17.054851129482735</v>
      </c>
      <c r="BE105" s="214">
        <f>AD105*'Data &amp; Assumptions'!$D$92</f>
        <v>17.374874818659276</v>
      </c>
      <c r="BF105" s="214">
        <f>AE105*'Data &amp; Assumptions'!$D$92</f>
        <v>31.381617790437616</v>
      </c>
      <c r="BG105" s="214">
        <f>AF105*'Data &amp; Assumptions'!$D$92</f>
        <v>-38.339753807939616</v>
      </c>
      <c r="BH105" s="214">
        <f>AG105*'Data &amp; Assumptions'!$D$92</f>
        <v>13.018082406091873</v>
      </c>
      <c r="BI105" s="214">
        <f>AH105*'Data &amp; Assumptions'!$D$92</f>
        <v>13.242720112624031</v>
      </c>
      <c r="BJ105" s="214">
        <f>AI105*'Data &amp; Assumptions'!$D$92</f>
        <v>23.706572686419975</v>
      </c>
      <c r="BK105" s="214">
        <f>AJ105*'Data &amp; Assumptions'!$D$92</f>
        <v>-28.461769614394548</v>
      </c>
      <c r="BL105" s="214">
        <f>AK105*'Data &amp; Assumptions'!$D$92</f>
        <v>9.944177599422417</v>
      </c>
    </row>
    <row r="106" spans="6:64" ht="12.75">
      <c r="F106" s="67"/>
      <c r="H106" t="s">
        <v>287</v>
      </c>
      <c r="K106" s="74"/>
      <c r="L106" s="182" t="s">
        <v>64</v>
      </c>
      <c r="Q106" s="68">
        <f>Q104*$D$101</f>
        <v>20.87211006603426</v>
      </c>
      <c r="R106" s="209">
        <f>Q105*(1-'Data &amp; Assumptions'!$D$114)</f>
        <v>19.41106236141186</v>
      </c>
      <c r="S106" s="68">
        <f>R105*(1-'Data &amp; Assumptions'!$D$114)</f>
        <v>9.8875098903441</v>
      </c>
      <c r="T106" s="68">
        <f>S105*(1-'Data &amp; Assumptions'!$D$114)</f>
        <v>49.96816914206922</v>
      </c>
      <c r="U106" s="209">
        <f>T105*(1-'Data &amp; Assumptions'!$D$114)</f>
        <v>240.5231803235944</v>
      </c>
      <c r="V106" s="68">
        <f>U105*(1-'Data &amp; Assumptions'!$D$114)</f>
        <v>36.376296342050935</v>
      </c>
      <c r="W106" s="68">
        <f>V105*(1-'Data &amp; Assumptions'!$D$114)</f>
        <v>37.16577888305315</v>
      </c>
      <c r="X106" s="68">
        <f>W105*(1-'Data &amp; Assumptions'!$D$114)</f>
        <v>68.27966084868298</v>
      </c>
      <c r="Y106" s="68">
        <f>X105*(1-'Data &amp; Assumptions'!$D$114)</f>
        <v>-86.14727581777233</v>
      </c>
      <c r="Z106" s="68">
        <f>Y105*(1-'Data &amp; Assumptions'!$D$114)</f>
        <v>27.726054814308895</v>
      </c>
      <c r="AA106" s="68">
        <f>Z105*(1-'Data &amp; Assumptions'!$D$114)</f>
        <v>28.287435416568403</v>
      </c>
      <c r="AB106" s="68">
        <f>AA105*(1-'Data &amp; Assumptions'!$D$114)</f>
        <v>51.53469981007612</v>
      </c>
      <c r="AC106" s="68">
        <f>AB105*(1-'Data &amp; Assumptions'!$D$114)</f>
        <v>-64.01065618136836</v>
      </c>
      <c r="AD106" s="68">
        <f>AC105*(1-'Data &amp; Assumptions'!$D$114)</f>
        <v>21.14801540055859</v>
      </c>
      <c r="AE106" s="68">
        <f>AD105*(1-'Data &amp; Assumptions'!$D$114)</f>
        <v>21.544844775137502</v>
      </c>
      <c r="AF106" s="68">
        <f>AE105*(1-'Data &amp; Assumptions'!$D$114)</f>
        <v>38.91320606014264</v>
      </c>
      <c r="AG106" s="68">
        <f>AF105*(1-'Data &amp; Assumptions'!$D$114)</f>
        <v>-47.54129472184511</v>
      </c>
      <c r="AH106" s="68">
        <f>AG105*(1-'Data &amp; Assumptions'!$D$114)</f>
        <v>16.142422183553922</v>
      </c>
      <c r="AI106" s="68">
        <f>AH105*(1-'Data &amp; Assumptions'!$D$114)</f>
        <v>16.420972939653797</v>
      </c>
      <c r="AJ106" s="68">
        <f>AI105*(1-'Data &amp; Assumptions'!$D$114)</f>
        <v>29.396150131160766</v>
      </c>
      <c r="AK106" s="68">
        <f>AJ105*(1-'Data &amp; Assumptions'!$D$114)</f>
        <v>-35.292594321849236</v>
      </c>
      <c r="AL106" s="68"/>
      <c r="AR106" s="68">
        <f>AR104*$D$101</f>
        <v>20.87211006603426</v>
      </c>
      <c r="AS106" s="68">
        <f>AR105*(1-'Data &amp; Assumptions'!$D$114)</f>
        <v>19.41106236141186</v>
      </c>
      <c r="AT106" s="214">
        <f>S106*'Data &amp; Assumptions'!$D$92</f>
        <v>7.415632417758076</v>
      </c>
      <c r="AU106" s="214">
        <f>T106*'Data &amp; Assumptions'!$D$92</f>
        <v>37.476126856551915</v>
      </c>
      <c r="AV106" s="255">
        <f>U106*'Data &amp; Assumptions'!$D$92</f>
        <v>180.3923852426958</v>
      </c>
      <c r="AW106" s="214">
        <f>V106*'Data &amp; Assumptions'!$D$92</f>
        <v>27.2822222565382</v>
      </c>
      <c r="AX106" s="214">
        <f>W106*'Data &amp; Assumptions'!$D$92</f>
        <v>27.874334162289863</v>
      </c>
      <c r="AY106" s="214">
        <f>X106*'Data &amp; Assumptions'!$D$92</f>
        <v>51.20974563651224</v>
      </c>
      <c r="AZ106" s="214">
        <f>Y106*'Data &amp; Assumptions'!$D$92</f>
        <v>-64.61045686332925</v>
      </c>
      <c r="BA106" s="214">
        <f>Z106*'Data &amp; Assumptions'!$D$92</f>
        <v>20.79454111073167</v>
      </c>
      <c r="BB106" s="214">
        <f>AA106*'Data &amp; Assumptions'!$D$92</f>
        <v>21.215576562426303</v>
      </c>
      <c r="BC106" s="214">
        <f>AB106*'Data &amp; Assumptions'!$D$92</f>
        <v>38.65102485755709</v>
      </c>
      <c r="BD106" s="214">
        <f>AC106*'Data &amp; Assumptions'!$D$92</f>
        <v>-48.007992136026274</v>
      </c>
      <c r="BE106" s="214">
        <f>AD106*'Data &amp; Assumptions'!$D$92</f>
        <v>15.861011550418944</v>
      </c>
      <c r="BF106" s="214">
        <f>AE106*'Data &amp; Assumptions'!$D$92</f>
        <v>16.158633581353126</v>
      </c>
      <c r="BG106" s="214">
        <f>AF106*'Data &amp; Assumptions'!$D$92</f>
        <v>29.18490454510698</v>
      </c>
      <c r="BH106" s="214">
        <f>AG106*'Data &amp; Assumptions'!$D$92</f>
        <v>-35.655971041383836</v>
      </c>
      <c r="BI106" s="214">
        <f>AH106*'Data &amp; Assumptions'!$D$92</f>
        <v>12.106816637665442</v>
      </c>
      <c r="BJ106" s="214">
        <f>AI106*'Data &amp; Assumptions'!$D$92</f>
        <v>12.315729704740349</v>
      </c>
      <c r="BK106" s="214">
        <f>AJ106*'Data &amp; Assumptions'!$D$92</f>
        <v>22.047112598370575</v>
      </c>
      <c r="BL106" s="214">
        <f>AK106*'Data &amp; Assumptions'!$D$92</f>
        <v>-26.469445741386927</v>
      </c>
    </row>
    <row r="107" spans="6:64" ht="12.75">
      <c r="F107" s="67"/>
      <c r="H107" t="s">
        <v>288</v>
      </c>
      <c r="K107" s="74"/>
      <c r="L107" s="182" t="s">
        <v>64</v>
      </c>
      <c r="Q107" s="68">
        <f>Q104*$D$102</f>
        <v>10.43605503301713</v>
      </c>
      <c r="R107" s="209">
        <f>Q106*(1-'Data &amp; Assumptions'!$D$114)</f>
        <v>19.41106236141186</v>
      </c>
      <c r="S107" s="68">
        <f>R106*(1-'Data &amp; Assumptions'!$D$114)</f>
        <v>18.05228799611303</v>
      </c>
      <c r="T107" s="68">
        <f>S106*(1-'Data &amp; Assumptions'!$D$114)</f>
        <v>9.195384198020013</v>
      </c>
      <c r="U107" s="209">
        <f>T106*(1-'Data &amp; Assumptions'!$D$114)</f>
        <v>46.470397302124375</v>
      </c>
      <c r="V107" s="68">
        <f>U106*(1-'Data &amp; Assumptions'!$D$114)</f>
        <v>223.68655770094279</v>
      </c>
      <c r="W107" s="68">
        <f>V106*(1-'Data &amp; Assumptions'!$D$114)</f>
        <v>33.82995559810737</v>
      </c>
      <c r="X107" s="68">
        <f>W106*(1-'Data &amp; Assumptions'!$D$114)</f>
        <v>34.56417436123943</v>
      </c>
      <c r="Y107" s="68">
        <f>X106*(1-'Data &amp; Assumptions'!$D$114)</f>
        <v>63.50008458927517</v>
      </c>
      <c r="Z107" s="68">
        <f>Y106*(1-'Data &amp; Assumptions'!$D$114)</f>
        <v>-80.11696651052826</v>
      </c>
      <c r="AA107" s="68">
        <f>Z106*(1-'Data &amp; Assumptions'!$D$114)</f>
        <v>25.785230977307272</v>
      </c>
      <c r="AB107" s="68">
        <f>AA106*(1-'Data &amp; Assumptions'!$D$114)</f>
        <v>26.307314937408613</v>
      </c>
      <c r="AC107" s="68">
        <f>AB106*(1-'Data &amp; Assumptions'!$D$114)</f>
        <v>47.92727082337079</v>
      </c>
      <c r="AD107" s="68">
        <f>AC106*(1-'Data &amp; Assumptions'!$D$114)</f>
        <v>-59.52991024867257</v>
      </c>
      <c r="AE107" s="68">
        <f>AD106*(1-'Data &amp; Assumptions'!$D$114)</f>
        <v>19.66765432251949</v>
      </c>
      <c r="AF107" s="68">
        <f>AE106*(1-'Data &amp; Assumptions'!$D$114)</f>
        <v>20.036705640877877</v>
      </c>
      <c r="AG107" s="68">
        <f>AF106*(1-'Data &amp; Assumptions'!$D$114)</f>
        <v>36.18928163593265</v>
      </c>
      <c r="AH107" s="68">
        <f>AG106*(1-'Data &amp; Assumptions'!$D$114)</f>
        <v>-44.21340409131595</v>
      </c>
      <c r="AI107" s="68">
        <f>AH106*(1-'Data &amp; Assumptions'!$D$114)</f>
        <v>15.012452630705146</v>
      </c>
      <c r="AJ107" s="68">
        <f>AI106*(1-'Data &amp; Assumptions'!$D$114)</f>
        <v>15.27150483387803</v>
      </c>
      <c r="AK107" s="68">
        <f>AJ106*(1-'Data &amp; Assumptions'!$D$114)</f>
        <v>27.33841962197951</v>
      </c>
      <c r="AL107" s="68"/>
      <c r="AR107" s="68">
        <f>AR104*$D$102</f>
        <v>10.43605503301713</v>
      </c>
      <c r="AS107" s="68">
        <f>AR106*(1-'Data &amp; Assumptions'!$D$114)</f>
        <v>19.41106236141186</v>
      </c>
      <c r="AT107" s="214">
        <f>S107*'Data &amp; Assumptions'!$D$92</f>
        <v>13.539215997084773</v>
      </c>
      <c r="AU107" s="214">
        <f>T107*'Data &amp; Assumptions'!$D$92</f>
        <v>6.89653814851501</v>
      </c>
      <c r="AV107" s="255">
        <f>U107*'Data &amp; Assumptions'!$D$92</f>
        <v>34.85279797659328</v>
      </c>
      <c r="AW107" s="214">
        <f>V107*'Data &amp; Assumptions'!$D$92</f>
        <v>167.7649182757071</v>
      </c>
      <c r="AX107" s="214">
        <f>W107*'Data &amp; Assumptions'!$D$92</f>
        <v>25.372466698580524</v>
      </c>
      <c r="AY107" s="214">
        <f>X107*'Data &amp; Assumptions'!$D$92</f>
        <v>25.923130770929575</v>
      </c>
      <c r="AZ107" s="214">
        <f>Y107*'Data &amp; Assumptions'!$D$92</f>
        <v>47.62506344195638</v>
      </c>
      <c r="BA107" s="214">
        <f>Z107*'Data &amp; Assumptions'!$D$92</f>
        <v>-60.0877248828962</v>
      </c>
      <c r="BB107" s="214">
        <f>AA107*'Data &amp; Assumptions'!$D$92</f>
        <v>19.338923232980456</v>
      </c>
      <c r="BC107" s="214">
        <f>AB107*'Data &amp; Assumptions'!$D$92</f>
        <v>19.730486203056458</v>
      </c>
      <c r="BD107" s="214">
        <f>AC107*'Data &amp; Assumptions'!$D$92</f>
        <v>35.94545311752809</v>
      </c>
      <c r="BE107" s="214">
        <f>AD107*'Data &amp; Assumptions'!$D$92</f>
        <v>-44.64743268650443</v>
      </c>
      <c r="BF107" s="214">
        <f>AE107*'Data &amp; Assumptions'!$D$92</f>
        <v>14.750740741889617</v>
      </c>
      <c r="BG107" s="214">
        <f>AF107*'Data &amp; Assumptions'!$D$92</f>
        <v>15.027529230658407</v>
      </c>
      <c r="BH107" s="214">
        <f>AG107*'Data &amp; Assumptions'!$D$92</f>
        <v>27.14196122694949</v>
      </c>
      <c r="BI107" s="214">
        <f>AH107*'Data &amp; Assumptions'!$D$92</f>
        <v>-33.16005306848696</v>
      </c>
      <c r="BJ107" s="214">
        <f>AI107*'Data &amp; Assumptions'!$D$92</f>
        <v>11.25933947302886</v>
      </c>
      <c r="BK107" s="214">
        <f>AJ107*'Data &amp; Assumptions'!$D$92</f>
        <v>11.453628625408523</v>
      </c>
      <c r="BL107" s="214">
        <f>AK107*'Data &amp; Assumptions'!$D$92</f>
        <v>20.503814716484634</v>
      </c>
    </row>
    <row r="108" spans="8:64" ht="12.75">
      <c r="H108" t="s">
        <v>289</v>
      </c>
      <c r="L108" s="182" t="s">
        <v>64</v>
      </c>
      <c r="M108" s="63"/>
      <c r="Q108" s="68">
        <f>Q104*$D$103</f>
        <v>0</v>
      </c>
      <c r="R108" s="209">
        <f>Q107*(1-'Data &amp; Assumptions'!$D$114)</f>
        <v>9.70553118070593</v>
      </c>
      <c r="S108" s="68">
        <f>R107*(1-'Data &amp; Assumptions'!$D$114)</f>
        <v>18.05228799611303</v>
      </c>
      <c r="T108" s="68">
        <f>S107*(1-'Data &amp; Assumptions'!$D$114)</f>
        <v>16.788627836385118</v>
      </c>
      <c r="U108" s="209">
        <f>T107*(1-'Data &amp; Assumptions'!$D$114)</f>
        <v>8.551707304158612</v>
      </c>
      <c r="V108" s="68">
        <f>U107*(1-'Data &amp; Assumptions'!$D$114)</f>
        <v>43.21746949097567</v>
      </c>
      <c r="W108" s="68">
        <f>V107*(1-'Data &amp; Assumptions'!$D$114)</f>
        <v>208.02849866187677</v>
      </c>
      <c r="X108" s="68">
        <f>W107*(1-'Data &amp; Assumptions'!$D$114)</f>
        <v>31.461858706239852</v>
      </c>
      <c r="Y108" s="68">
        <f>X107*(1-'Data &amp; Assumptions'!$D$114)</f>
        <v>32.144682155952665</v>
      </c>
      <c r="Z108" s="68">
        <f>Y107*(1-'Data &amp; Assumptions'!$D$114)</f>
        <v>59.0550786680259</v>
      </c>
      <c r="AA108" s="68">
        <f>Z107*(1-'Data &amp; Assumptions'!$D$114)</f>
        <v>-74.50877885479127</v>
      </c>
      <c r="AB108" s="68">
        <f>AA107*(1-'Data &amp; Assumptions'!$D$114)</f>
        <v>23.98026480889576</v>
      </c>
      <c r="AC108" s="68">
        <f>AB107*(1-'Data &amp; Assumptions'!$D$114)</f>
        <v>24.46580289179001</v>
      </c>
      <c r="AD108" s="68">
        <f>AC107*(1-'Data &amp; Assumptions'!$D$114)</f>
        <v>44.572361865734834</v>
      </c>
      <c r="AE108" s="68">
        <f>AD107*(1-'Data &amp; Assumptions'!$D$114)</f>
        <v>-55.36281653126549</v>
      </c>
      <c r="AF108" s="68">
        <f>AE107*(1-'Data &amp; Assumptions'!$D$114)</f>
        <v>18.290918519943123</v>
      </c>
      <c r="AG108" s="68">
        <f>AF107*(1-'Data &amp; Assumptions'!$D$114)</f>
        <v>18.634136246016425</v>
      </c>
      <c r="AH108" s="68">
        <f>AG107*(1-'Data &amp; Assumptions'!$D$114)</f>
        <v>33.656031921417366</v>
      </c>
      <c r="AI108" s="68">
        <f>AH107*(1-'Data &amp; Assumptions'!$D$114)</f>
        <v>-41.11846580492383</v>
      </c>
      <c r="AJ108" s="68">
        <f>AI107*(1-'Data &amp; Assumptions'!$D$114)</f>
        <v>13.961580946555785</v>
      </c>
      <c r="AK108" s="68">
        <f>AJ107*(1-'Data &amp; Assumptions'!$D$114)</f>
        <v>14.202499495506567</v>
      </c>
      <c r="AL108" s="68"/>
      <c r="AR108" s="68">
        <f>AR104*$D$103</f>
        <v>0</v>
      </c>
      <c r="AS108" s="68">
        <f>AR107*(1-'Data &amp; Assumptions'!$D$114)</f>
        <v>9.70553118070593</v>
      </c>
      <c r="AT108" s="214">
        <f>S108*'Data &amp; Assumptions'!$D$92</f>
        <v>13.539215997084773</v>
      </c>
      <c r="AU108" s="214">
        <f>T108*'Data &amp; Assumptions'!$D$92</f>
        <v>12.591470877288838</v>
      </c>
      <c r="AV108" s="255">
        <f>U108*'Data &amp; Assumptions'!$D$92</f>
        <v>6.413780478118959</v>
      </c>
      <c r="AW108" s="214">
        <f>V108*'Data &amp; Assumptions'!$D$92</f>
        <v>32.41310211823175</v>
      </c>
      <c r="AX108" s="214">
        <f>W108*'Data &amp; Assumptions'!$D$92</f>
        <v>156.0213739964076</v>
      </c>
      <c r="AY108" s="214">
        <f>X108*'Data &amp; Assumptions'!$D$92</f>
        <v>23.59639402967989</v>
      </c>
      <c r="AZ108" s="214">
        <f>Y108*'Data &amp; Assumptions'!$D$92</f>
        <v>24.1085116169645</v>
      </c>
      <c r="BA108" s="214">
        <f>Z108*'Data &amp; Assumptions'!$D$92</f>
        <v>44.29130900101943</v>
      </c>
      <c r="BB108" s="214">
        <f>AA108*'Data &amp; Assumptions'!$D$92</f>
        <v>-55.881584141093455</v>
      </c>
      <c r="BC108" s="214">
        <f>AB108*'Data &amp; Assumptions'!$D$92</f>
        <v>17.985198606671823</v>
      </c>
      <c r="BD108" s="214">
        <f>AC108*'Data &amp; Assumptions'!$D$92</f>
        <v>18.349352168842508</v>
      </c>
      <c r="BE108" s="214">
        <f>AD108*'Data &amp; Assumptions'!$D$92</f>
        <v>33.42927139930113</v>
      </c>
      <c r="BF108" s="214">
        <f>AE108*'Data &amp; Assumptions'!$D$92</f>
        <v>-41.52211239844912</v>
      </c>
      <c r="BG108" s="214">
        <f>AF108*'Data &amp; Assumptions'!$D$92</f>
        <v>13.718188889957343</v>
      </c>
      <c r="BH108" s="214">
        <f>AG108*'Data &amp; Assumptions'!$D$92</f>
        <v>13.975602184512319</v>
      </c>
      <c r="BI108" s="214">
        <f>AH108*'Data &amp; Assumptions'!$D$92</f>
        <v>25.242023941063024</v>
      </c>
      <c r="BJ108" s="214">
        <f>AI108*'Data &amp; Assumptions'!$D$92</f>
        <v>-30.838849353692872</v>
      </c>
      <c r="BK108" s="214">
        <f>AJ108*'Data &amp; Assumptions'!$D$92</f>
        <v>10.471185709916838</v>
      </c>
      <c r="BL108" s="214">
        <f>AK108*'Data &amp; Assumptions'!$D$92</f>
        <v>10.651874621629926</v>
      </c>
    </row>
    <row r="109" spans="7:73" s="1" customFormat="1" ht="12.75">
      <c r="G109" s="122" t="s">
        <v>292</v>
      </c>
      <c r="L109" s="182" t="s">
        <v>64</v>
      </c>
      <c r="M109" s="124"/>
      <c r="Q109" s="125">
        <f aca="true" t="shared" si="107" ref="Q109:AK109">(Q61-P61)*Q97</f>
        <v>65.8245873990656</v>
      </c>
      <c r="R109" s="244">
        <f t="shared" si="107"/>
        <v>74.62862596369052</v>
      </c>
      <c r="S109" s="125">
        <f t="shared" si="107"/>
        <v>125.7968342930615</v>
      </c>
      <c r="T109" s="125">
        <f t="shared" si="107"/>
        <v>422.0664122798148</v>
      </c>
      <c r="U109" s="244">
        <f t="shared" si="107"/>
        <v>422.1677413415434</v>
      </c>
      <c r="V109" s="125">
        <f t="shared" si="107"/>
        <v>432.9962509128888</v>
      </c>
      <c r="W109" s="125">
        <f t="shared" si="107"/>
        <v>444.6015219757569</v>
      </c>
      <c r="X109" s="125">
        <f t="shared" si="107"/>
        <v>52.57135898081417</v>
      </c>
      <c r="Y109" s="125">
        <f t="shared" si="107"/>
        <v>49.58951149942149</v>
      </c>
      <c r="Z109" s="125">
        <f t="shared" si="107"/>
        <v>46.776794407175416</v>
      </c>
      <c r="AA109" s="125">
        <f t="shared" si="107"/>
        <v>44.123614628399416</v>
      </c>
      <c r="AB109" s="125">
        <f t="shared" si="107"/>
        <v>41.62092320667722</v>
      </c>
      <c r="AC109" s="125">
        <f t="shared" si="107"/>
        <v>39.26018444239498</v>
      </c>
      <c r="AD109" s="125">
        <f t="shared" si="107"/>
        <v>37.033346780820985</v>
      </c>
      <c r="AE109" s="125">
        <f t="shared" si="107"/>
        <v>34.932815351414035</v>
      </c>
      <c r="AF109" s="125">
        <f t="shared" si="107"/>
        <v>32.95142606468131</v>
      </c>
      <c r="AG109" s="125">
        <f t="shared" si="107"/>
        <v>31.082421178292762</v>
      </c>
      <c r="AH109" s="125">
        <f t="shared" si="107"/>
        <v>29.319426249058914</v>
      </c>
      <c r="AI109" s="125">
        <f t="shared" si="107"/>
        <v>27.656428392213197</v>
      </c>
      <c r="AJ109" s="125">
        <f t="shared" si="107"/>
        <v>26.087755773807622</v>
      </c>
      <c r="AK109" s="125">
        <f t="shared" si="107"/>
        <v>24.60805826631643</v>
      </c>
      <c r="AL109" s="125"/>
      <c r="AM109" s="207"/>
      <c r="AR109" s="125">
        <f>(AR61-AQ61)*AR97</f>
        <v>65.8245873990656</v>
      </c>
      <c r="AS109" s="125">
        <f>(AS61-AR61)*AS97</f>
        <v>70.89719466550599</v>
      </c>
      <c r="AT109" s="125">
        <f>S109*'Data &amp; Assumptions'!$D$92</f>
        <v>94.34762571979613</v>
      </c>
      <c r="AU109" s="125">
        <f>T109*'Data &amp; Assumptions'!$D$92</f>
        <v>316.5498092098611</v>
      </c>
      <c r="AV109" s="244">
        <f>U109*'Data &amp; Assumptions'!$D$92</f>
        <v>316.6258060061575</v>
      </c>
      <c r="AW109" s="125">
        <f>V109*'Data &amp; Assumptions'!$D$92</f>
        <v>324.7471881846666</v>
      </c>
      <c r="AX109" s="125">
        <f>W109*'Data &amp; Assumptions'!$D$92</f>
        <v>333.4511414818177</v>
      </c>
      <c r="AY109" s="125">
        <f>X109*'Data &amp; Assumptions'!$D$92</f>
        <v>39.42851923561062</v>
      </c>
      <c r="AZ109" s="125">
        <f>Y109*'Data &amp; Assumptions'!$D$92</f>
        <v>37.19213362456612</v>
      </c>
      <c r="BA109" s="125">
        <f>Z109*'Data &amp; Assumptions'!$D$92</f>
        <v>35.08259580538156</v>
      </c>
      <c r="BB109" s="125">
        <f>AA109*'Data &amp; Assumptions'!$D$92</f>
        <v>33.09271097129956</v>
      </c>
      <c r="BC109" s="125">
        <f>AB109*'Data &amp; Assumptions'!$D$92</f>
        <v>31.215692405007914</v>
      </c>
      <c r="BD109" s="125">
        <f>AC109*'Data &amp; Assumptions'!$D$92</f>
        <v>29.445138331796237</v>
      </c>
      <c r="BE109" s="125">
        <f>AD109*'Data &amp; Assumptions'!$D$92</f>
        <v>27.77501008561574</v>
      </c>
      <c r="BF109" s="125">
        <f>AE109*'Data &amp; Assumptions'!$D$92</f>
        <v>26.199611513560527</v>
      </c>
      <c r="BG109" s="125">
        <f>AF109*'Data &amp; Assumptions'!$D$92</f>
        <v>24.713569548510982</v>
      </c>
      <c r="BH109" s="125">
        <f>AG109*'Data &amp; Assumptions'!$D$92</f>
        <v>23.31181588371957</v>
      </c>
      <c r="BI109" s="125">
        <f>AH109*'Data &amp; Assumptions'!$D$92</f>
        <v>21.989569686794184</v>
      </c>
      <c r="BJ109" s="125">
        <f>AI109*'Data &amp; Assumptions'!$D$92</f>
        <v>20.742321294159897</v>
      </c>
      <c r="BK109" s="125">
        <f>AJ109*'Data &amp; Assumptions'!$D$92</f>
        <v>19.565816830355715</v>
      </c>
      <c r="BL109" s="125">
        <f>AK109*'Data &amp; Assumptions'!$D$92</f>
        <v>18.45604369973732</v>
      </c>
      <c r="BN109" s="207"/>
      <c r="BU109" s="233"/>
    </row>
    <row r="110" spans="8:64" ht="12.75">
      <c r="H110" t="s">
        <v>286</v>
      </c>
      <c r="L110" s="182" t="s">
        <v>64</v>
      </c>
      <c r="M110" s="63"/>
      <c r="Q110" s="68">
        <f>Q109*$D$100</f>
        <v>26.329834959626243</v>
      </c>
      <c r="R110" s="209">
        <f>R109-R111-R112-R113</f>
        <v>13.41175968255951</v>
      </c>
      <c r="S110" s="68">
        <f aca="true" t="shared" si="108" ref="S110:AK110">S109-S111-S112-S113</f>
        <v>67.7785492751197</v>
      </c>
      <c r="T110" s="68">
        <f t="shared" si="108"/>
        <v>326.25394344588767</v>
      </c>
      <c r="U110" s="209">
        <f t="shared" si="108"/>
        <v>49.342063885832346</v>
      </c>
      <c r="V110" s="68">
        <f t="shared" si="108"/>
        <v>50.412945253429086</v>
      </c>
      <c r="W110" s="68">
        <f t="shared" si="108"/>
        <v>92.61688864690768</v>
      </c>
      <c r="X110" s="68">
        <f t="shared" si="108"/>
        <v>-116.85313829151721</v>
      </c>
      <c r="Y110" s="68">
        <f t="shared" si="108"/>
        <v>37.6085777146096</v>
      </c>
      <c r="Z110" s="68">
        <f t="shared" si="108"/>
        <v>38.370053739561016</v>
      </c>
      <c r="AA110" s="68">
        <f t="shared" si="108"/>
        <v>69.90344554199173</v>
      </c>
      <c r="AB110" s="68">
        <f t="shared" si="108"/>
        <v>-86.82626337151163</v>
      </c>
      <c r="AC110" s="68">
        <f t="shared" si="108"/>
        <v>28.685898012840084</v>
      </c>
      <c r="AD110" s="68">
        <f t="shared" si="108"/>
        <v>29.224171073080285</v>
      </c>
      <c r="AE110" s="68">
        <f t="shared" si="108"/>
        <v>52.78321578886296</v>
      </c>
      <c r="AF110" s="68">
        <f t="shared" si="108"/>
        <v>-64.48665304798239</v>
      </c>
      <c r="AG110" s="68">
        <f t="shared" si="108"/>
        <v>21.89613860529917</v>
      </c>
      <c r="AH110" s="68">
        <f t="shared" si="108"/>
        <v>22.273974465048212</v>
      </c>
      <c r="AI110" s="68">
        <f t="shared" si="108"/>
        <v>39.87395264571108</v>
      </c>
      <c r="AJ110" s="68">
        <f t="shared" si="108"/>
        <v>-47.87209306166649</v>
      </c>
      <c r="AK110" s="68">
        <f t="shared" si="108"/>
        <v>16.725895891607973</v>
      </c>
      <c r="AL110" s="68"/>
      <c r="AR110" s="68">
        <f>AR109*$D$100</f>
        <v>26.329834959626243</v>
      </c>
      <c r="AS110" s="68">
        <f>AS109-AS111-AS112-AS113</f>
        <v>9.680328384374977</v>
      </c>
      <c r="AT110" s="214">
        <f>S110*'Data &amp; Assumptions'!$D$92</f>
        <v>50.833911956339776</v>
      </c>
      <c r="AU110" s="214">
        <f>T110*'Data &amp; Assumptions'!$D$92</f>
        <v>244.69045758441575</v>
      </c>
      <c r="AV110" s="255">
        <f>U110*'Data &amp; Assumptions'!$D$92</f>
        <v>37.00654791437426</v>
      </c>
      <c r="AW110" s="214">
        <f>V110*'Data &amp; Assumptions'!$D$92</f>
        <v>37.809708940071815</v>
      </c>
      <c r="AX110" s="214">
        <f>W110*'Data &amp; Assumptions'!$D$92</f>
        <v>69.46266648518076</v>
      </c>
      <c r="AY110" s="214">
        <f>X110*'Data &amp; Assumptions'!$D$92</f>
        <v>-87.63985371863791</v>
      </c>
      <c r="AZ110" s="214">
        <f>Y110*'Data &amp; Assumptions'!$D$92</f>
        <v>28.206433285957203</v>
      </c>
      <c r="BA110" s="214">
        <f>Z110*'Data &amp; Assumptions'!$D$92</f>
        <v>28.77754030467076</v>
      </c>
      <c r="BB110" s="214">
        <f>AA110*'Data &amp; Assumptions'!$D$92</f>
        <v>52.42758415649379</v>
      </c>
      <c r="BC110" s="214">
        <f>AB110*'Data &amp; Assumptions'!$D$92</f>
        <v>-65.11969752863372</v>
      </c>
      <c r="BD110" s="214">
        <f>AC110*'Data &amp; Assumptions'!$D$92</f>
        <v>21.514423509630063</v>
      </c>
      <c r="BE110" s="214">
        <f>AD110*'Data &amp; Assumptions'!$D$92</f>
        <v>21.918128304810214</v>
      </c>
      <c r="BF110" s="214">
        <f>AE110*'Data &amp; Assumptions'!$D$92</f>
        <v>39.587411841647224</v>
      </c>
      <c r="BG110" s="214">
        <f>AF110*'Data &amp; Assumptions'!$D$92</f>
        <v>-48.36498978598679</v>
      </c>
      <c r="BH110" s="214">
        <f>AG110*'Data &amp; Assumptions'!$D$92</f>
        <v>16.42210395397438</v>
      </c>
      <c r="BI110" s="214">
        <f>AH110*'Data &amp; Assumptions'!$D$92</f>
        <v>16.70548084878616</v>
      </c>
      <c r="BJ110" s="214">
        <f>AI110*'Data &amp; Assumptions'!$D$92</f>
        <v>29.905464484283307</v>
      </c>
      <c r="BK110" s="214">
        <f>AJ110*'Data &amp; Assumptions'!$D$92</f>
        <v>-35.90406979624987</v>
      </c>
      <c r="BL110" s="214">
        <f>AK110*'Data &amp; Assumptions'!$D$92</f>
        <v>12.544421918705979</v>
      </c>
    </row>
    <row r="111" spans="8:64" ht="12.75">
      <c r="H111" t="s">
        <v>287</v>
      </c>
      <c r="L111" s="182" t="s">
        <v>64</v>
      </c>
      <c r="M111" s="63"/>
      <c r="Q111" s="68">
        <f>Q109*$D$101</f>
        <v>26.329834959626243</v>
      </c>
      <c r="R111" s="209">
        <f>Q110*(1-'Data &amp; Assumptions'!$D$114)</f>
        <v>24.486746512452406</v>
      </c>
      <c r="S111" s="68">
        <f>R110*(1-'Data &amp; Assumptions'!$D$114)</f>
        <v>12.472936504780343</v>
      </c>
      <c r="T111" s="68">
        <f>S110*(1-'Data &amp; Assumptions'!$D$114)</f>
        <v>63.03405082586132</v>
      </c>
      <c r="U111" s="209">
        <f>T110*(1-'Data &amp; Assumptions'!$D$114)</f>
        <v>303.4161674046755</v>
      </c>
      <c r="V111" s="68">
        <f>U110*(1-'Data &amp; Assumptions'!$D$114)</f>
        <v>45.88811941382408</v>
      </c>
      <c r="W111" s="68">
        <f>V110*(1-'Data &amp; Assumptions'!$D$114)</f>
        <v>46.88403908568905</v>
      </c>
      <c r="X111" s="68">
        <f>W110*(1-'Data &amp; Assumptions'!$D$114)</f>
        <v>86.13370644162414</v>
      </c>
      <c r="Y111" s="68">
        <f>X110*(1-'Data &amp; Assumptions'!$D$114)</f>
        <v>-108.673418611111</v>
      </c>
      <c r="Z111" s="68">
        <f>Y110*(1-'Data &amp; Assumptions'!$D$114)</f>
        <v>34.975977274586924</v>
      </c>
      <c r="AA111" s="68">
        <f>Z110*(1-'Data &amp; Assumptions'!$D$114)</f>
        <v>35.68414997779174</v>
      </c>
      <c r="AB111" s="68">
        <f>AA110*(1-'Data &amp; Assumptions'!$D$114)</f>
        <v>65.0102043540523</v>
      </c>
      <c r="AC111" s="68">
        <f>AB110*(1-'Data &amp; Assumptions'!$D$114)</f>
        <v>-80.74842493550581</v>
      </c>
      <c r="AD111" s="68">
        <f>AC110*(1-'Data &amp; Assumptions'!$D$114)</f>
        <v>26.677885151941275</v>
      </c>
      <c r="AE111" s="68">
        <f>AD110*(1-'Data &amp; Assumptions'!$D$114)</f>
        <v>27.17847909796466</v>
      </c>
      <c r="AF111" s="68">
        <f>AE110*(1-'Data &amp; Assumptions'!$D$114)</f>
        <v>49.08839068364255</v>
      </c>
      <c r="AG111" s="68">
        <f>AF110*(1-'Data &amp; Assumptions'!$D$114)</f>
        <v>-59.97258733462362</v>
      </c>
      <c r="AH111" s="68">
        <f>AG110*(1-'Data &amp; Assumptions'!$D$114)</f>
        <v>20.363408902928228</v>
      </c>
      <c r="AI111" s="68">
        <f>AH110*(1-'Data &amp; Assumptions'!$D$114)</f>
        <v>20.714796252494835</v>
      </c>
      <c r="AJ111" s="68">
        <f>AI110*(1-'Data &amp; Assumptions'!$D$114)</f>
        <v>37.0827759605113</v>
      </c>
      <c r="AK111" s="68">
        <f>AJ110*(1-'Data &amp; Assumptions'!$D$114)</f>
        <v>-44.52104654734983</v>
      </c>
      <c r="AL111" s="68"/>
      <c r="AR111" s="68">
        <f>AR109*$D$101</f>
        <v>26.329834959626243</v>
      </c>
      <c r="AS111" s="68">
        <f>AR110*(1-'Data &amp; Assumptions'!$D$114)</f>
        <v>24.486746512452406</v>
      </c>
      <c r="AT111" s="214">
        <f>S111*'Data &amp; Assumptions'!$D$92</f>
        <v>9.354702378585257</v>
      </c>
      <c r="AU111" s="214">
        <f>T111*'Data &amp; Assumptions'!$D$92</f>
        <v>47.27553811939599</v>
      </c>
      <c r="AV111" s="255">
        <f>U111*'Data &amp; Assumptions'!$D$92</f>
        <v>227.56212555350663</v>
      </c>
      <c r="AW111" s="214">
        <f>V111*'Data &amp; Assumptions'!$D$92</f>
        <v>34.41608956036806</v>
      </c>
      <c r="AX111" s="214">
        <f>W111*'Data &amp; Assumptions'!$D$92</f>
        <v>35.16302931426679</v>
      </c>
      <c r="AY111" s="214">
        <f>X111*'Data &amp; Assumptions'!$D$92</f>
        <v>64.6002798312181</v>
      </c>
      <c r="AZ111" s="214">
        <f>Y111*'Data &amp; Assumptions'!$D$92</f>
        <v>-81.50506395833325</v>
      </c>
      <c r="BA111" s="214">
        <f>Z111*'Data &amp; Assumptions'!$D$92</f>
        <v>26.231982955940193</v>
      </c>
      <c r="BB111" s="214">
        <f>AA111*'Data &amp; Assumptions'!$D$92</f>
        <v>26.763112483343804</v>
      </c>
      <c r="BC111" s="214">
        <f>AB111*'Data &amp; Assumptions'!$D$92</f>
        <v>48.75765326553923</v>
      </c>
      <c r="BD111" s="214">
        <f>AC111*'Data &amp; Assumptions'!$D$92</f>
        <v>-60.56131870162936</v>
      </c>
      <c r="BE111" s="214">
        <f>AD111*'Data &amp; Assumptions'!$D$92</f>
        <v>20.00841386395596</v>
      </c>
      <c r="BF111" s="214">
        <f>AE111*'Data &amp; Assumptions'!$D$92</f>
        <v>20.383859323473494</v>
      </c>
      <c r="BG111" s="214">
        <f>AF111*'Data &amp; Assumptions'!$D$92</f>
        <v>36.81629301273191</v>
      </c>
      <c r="BH111" s="214">
        <f>AG111*'Data &amp; Assumptions'!$D$92</f>
        <v>-44.97944050096771</v>
      </c>
      <c r="BI111" s="214">
        <f>AH111*'Data &amp; Assumptions'!$D$92</f>
        <v>15.272556677196171</v>
      </c>
      <c r="BJ111" s="214">
        <f>AI111*'Data &amp; Assumptions'!$D$92</f>
        <v>15.536097189371127</v>
      </c>
      <c r="BK111" s="214">
        <f>AJ111*'Data &amp; Assumptions'!$D$92</f>
        <v>27.812081970383474</v>
      </c>
      <c r="BL111" s="214">
        <f>AK111*'Data &amp; Assumptions'!$D$92</f>
        <v>-33.39078491051237</v>
      </c>
    </row>
    <row r="112" spans="8:64" ht="12.75">
      <c r="H112" t="s">
        <v>288</v>
      </c>
      <c r="L112" s="182" t="s">
        <v>64</v>
      </c>
      <c r="M112" s="63"/>
      <c r="Q112" s="68">
        <f>Q109*$D$102</f>
        <v>13.164917479813122</v>
      </c>
      <c r="R112" s="209">
        <f>Q111*(1-'Data &amp; Assumptions'!$D$114)</f>
        <v>24.486746512452406</v>
      </c>
      <c r="S112" s="68">
        <f>R111*(1-'Data &amp; Assumptions'!$D$114)</f>
        <v>22.772674256580736</v>
      </c>
      <c r="T112" s="68">
        <f>S111*(1-'Data &amp; Assumptions'!$D$114)</f>
        <v>11.599830949445717</v>
      </c>
      <c r="U112" s="209">
        <f>T111*(1-'Data &amp; Assumptions'!$D$114)</f>
        <v>58.62166726805103</v>
      </c>
      <c r="V112" s="68">
        <f>U111*(1-'Data &amp; Assumptions'!$D$114)</f>
        <v>282.1770356863482</v>
      </c>
      <c r="W112" s="68">
        <f>V111*(1-'Data &amp; Assumptions'!$D$114)</f>
        <v>42.67595105485639</v>
      </c>
      <c r="X112" s="68">
        <f>W111*(1-'Data &amp; Assumptions'!$D$114)</f>
        <v>43.60215634969081</v>
      </c>
      <c r="Y112" s="68">
        <f>X111*(1-'Data &amp; Assumptions'!$D$114)</f>
        <v>80.10434699071044</v>
      </c>
      <c r="Z112" s="68">
        <f>Y111*(1-'Data &amp; Assumptions'!$D$114)</f>
        <v>-101.06627930833322</v>
      </c>
      <c r="AA112" s="68">
        <f>Z111*(1-'Data &amp; Assumptions'!$D$114)</f>
        <v>32.52765886536584</v>
      </c>
      <c r="AB112" s="68">
        <f>AA111*(1-'Data &amp; Assumptions'!$D$114)</f>
        <v>33.18625947934632</v>
      </c>
      <c r="AC112" s="68">
        <f>AB111*(1-'Data &amp; Assumptions'!$D$114)</f>
        <v>60.45949004926864</v>
      </c>
      <c r="AD112" s="68">
        <f>AC111*(1-'Data &amp; Assumptions'!$D$114)</f>
        <v>-75.0960351900204</v>
      </c>
      <c r="AE112" s="68">
        <f>AD111*(1-'Data &amp; Assumptions'!$D$114)</f>
        <v>24.810433191305385</v>
      </c>
      <c r="AF112" s="68">
        <f>AE111*(1-'Data &amp; Assumptions'!$D$114)</f>
        <v>25.275985561107134</v>
      </c>
      <c r="AG112" s="68">
        <f>AF111*(1-'Data &amp; Assumptions'!$D$114)</f>
        <v>45.65220333578757</v>
      </c>
      <c r="AH112" s="68">
        <f>AG111*(1-'Data &amp; Assumptions'!$D$114)</f>
        <v>-55.774506221199964</v>
      </c>
      <c r="AI112" s="68">
        <f>AH111*(1-'Data &amp; Assumptions'!$D$114)</f>
        <v>18.93797027972325</v>
      </c>
      <c r="AJ112" s="68">
        <f>AI111*(1-'Data &amp; Assumptions'!$D$114)</f>
        <v>19.264760514820196</v>
      </c>
      <c r="AK112" s="68">
        <f>AJ111*(1-'Data &amp; Assumptions'!$D$114)</f>
        <v>34.486981643275506</v>
      </c>
      <c r="AL112" s="68"/>
      <c r="AR112" s="68">
        <f>AR109*$D$102</f>
        <v>13.164917479813122</v>
      </c>
      <c r="AS112" s="68">
        <f>AR111*(1-'Data &amp; Assumptions'!$D$114)</f>
        <v>24.486746512452406</v>
      </c>
      <c r="AT112" s="214">
        <f>S112*'Data &amp; Assumptions'!$D$92</f>
        <v>17.079505692435553</v>
      </c>
      <c r="AU112" s="214">
        <f>T112*'Data &amp; Assumptions'!$D$92</f>
        <v>8.699873212084288</v>
      </c>
      <c r="AV112" s="255">
        <f>U112*'Data &amp; Assumptions'!$D$92</f>
        <v>43.96625045103827</v>
      </c>
      <c r="AW112" s="214">
        <f>V112*'Data &amp; Assumptions'!$D$92</f>
        <v>211.63277676476113</v>
      </c>
      <c r="AX112" s="214">
        <f>W112*'Data &amp; Assumptions'!$D$92</f>
        <v>32.00696329114229</v>
      </c>
      <c r="AY112" s="214">
        <f>X112*'Data &amp; Assumptions'!$D$92</f>
        <v>32.70161726226811</v>
      </c>
      <c r="AZ112" s="214">
        <f>Y112*'Data &amp; Assumptions'!$D$92</f>
        <v>60.07826024303283</v>
      </c>
      <c r="BA112" s="214">
        <f>Z112*'Data &amp; Assumptions'!$D$92</f>
        <v>-75.79970948124992</v>
      </c>
      <c r="BB112" s="214">
        <f>AA112*'Data &amp; Assumptions'!$D$92</f>
        <v>24.395744149024377</v>
      </c>
      <c r="BC112" s="214">
        <f>AB112*'Data &amp; Assumptions'!$D$92</f>
        <v>24.88969460950974</v>
      </c>
      <c r="BD112" s="214">
        <f>AC112*'Data &amp; Assumptions'!$D$92</f>
        <v>45.344617536951475</v>
      </c>
      <c r="BE112" s="214">
        <f>AD112*'Data &amp; Assumptions'!$D$92</f>
        <v>-56.3220263925153</v>
      </c>
      <c r="BF112" s="214">
        <f>AE112*'Data &amp; Assumptions'!$D$92</f>
        <v>18.60782489347904</v>
      </c>
      <c r="BG112" s="214">
        <f>AF112*'Data &amp; Assumptions'!$D$92</f>
        <v>18.95698917083035</v>
      </c>
      <c r="BH112" s="214">
        <f>AG112*'Data &amp; Assumptions'!$D$92</f>
        <v>34.23915250184068</v>
      </c>
      <c r="BI112" s="214">
        <f>AH112*'Data &amp; Assumptions'!$D$92</f>
        <v>-41.83087966589997</v>
      </c>
      <c r="BJ112" s="214">
        <f>AI112*'Data &amp; Assumptions'!$D$92</f>
        <v>14.203477709792438</v>
      </c>
      <c r="BK112" s="214">
        <f>AJ112*'Data &amp; Assumptions'!$D$92</f>
        <v>14.448570386115147</v>
      </c>
      <c r="BL112" s="214">
        <f>AK112*'Data &amp; Assumptions'!$D$92</f>
        <v>25.86523623245663</v>
      </c>
    </row>
    <row r="113" spans="8:64" ht="12.75">
      <c r="H113" t="s">
        <v>289</v>
      </c>
      <c r="L113" s="182" t="s">
        <v>64</v>
      </c>
      <c r="M113" s="63"/>
      <c r="Q113" s="68">
        <f>Q109*$D$103</f>
        <v>0</v>
      </c>
      <c r="R113" s="209">
        <f>Q112*(1-'Data &amp; Assumptions'!$D$114)</f>
        <v>12.243373256226203</v>
      </c>
      <c r="S113" s="68">
        <f>R112*(1-'Data &amp; Assumptions'!$D$114)</f>
        <v>22.772674256580736</v>
      </c>
      <c r="T113" s="68">
        <f>S112*(1-'Data &amp; Assumptions'!$D$114)</f>
        <v>21.17858705862008</v>
      </c>
      <c r="U113" s="209">
        <f>T112*(1-'Data &amp; Assumptions'!$D$114)</f>
        <v>10.787842782984516</v>
      </c>
      <c r="V113" s="68">
        <f>U112*(1-'Data &amp; Assumptions'!$D$114)</f>
        <v>54.51815055928745</v>
      </c>
      <c r="W113" s="68">
        <f>V112*(1-'Data &amp; Assumptions'!$D$114)</f>
        <v>262.4246431883038</v>
      </c>
      <c r="X113" s="68">
        <f>W112*(1-'Data &amp; Assumptions'!$D$114)</f>
        <v>39.68863448101644</v>
      </c>
      <c r="Y113" s="68">
        <f>X112*(1-'Data &amp; Assumptions'!$D$114)</f>
        <v>40.55000540521245</v>
      </c>
      <c r="Z113" s="68">
        <f>Y112*(1-'Data &amp; Assumptions'!$D$114)</f>
        <v>74.4970427013607</v>
      </c>
      <c r="AA113" s="68">
        <f>Z112*(1-'Data &amp; Assumptions'!$D$114)</f>
        <v>-93.99163975674989</v>
      </c>
      <c r="AB113" s="68">
        <f>AA112*(1-'Data &amp; Assumptions'!$D$114)</f>
        <v>30.250722744790227</v>
      </c>
      <c r="AC113" s="68">
        <f>AB112*(1-'Data &amp; Assumptions'!$D$114)</f>
        <v>30.863221315792075</v>
      </c>
      <c r="AD113" s="68">
        <f>AC112*(1-'Data &amp; Assumptions'!$D$114)</f>
        <v>56.227325745819826</v>
      </c>
      <c r="AE113" s="68">
        <f>AD112*(1-'Data &amp; Assumptions'!$D$114)</f>
        <v>-69.83931272671897</v>
      </c>
      <c r="AF113" s="68">
        <f>AE112*(1-'Data &amp; Assumptions'!$D$114)</f>
        <v>23.073702867914008</v>
      </c>
      <c r="AG113" s="68">
        <f>AF112*(1-'Data &amp; Assumptions'!$D$114)</f>
        <v>23.506666571829633</v>
      </c>
      <c r="AH113" s="68">
        <f>AG112*(1-'Data &amp; Assumptions'!$D$114)</f>
        <v>42.45654910228244</v>
      </c>
      <c r="AI113" s="68">
        <f>AH112*(1-'Data &amp; Assumptions'!$D$114)</f>
        <v>-51.870290785715966</v>
      </c>
      <c r="AJ113" s="68">
        <f>AI112*(1-'Data &amp; Assumptions'!$D$114)</f>
        <v>17.61231236014262</v>
      </c>
      <c r="AK113" s="68">
        <f>AJ112*(1-'Data &amp; Assumptions'!$D$114)</f>
        <v>17.91622727878278</v>
      </c>
      <c r="AL113" s="68"/>
      <c r="AR113" s="68">
        <f>AR109*$D$103</f>
        <v>0</v>
      </c>
      <c r="AS113" s="68">
        <f>AR112*(1-'Data &amp; Assumptions'!$D$114)</f>
        <v>12.243373256226203</v>
      </c>
      <c r="AT113" s="214">
        <f>S113*'Data &amp; Assumptions'!$D$92</f>
        <v>17.079505692435553</v>
      </c>
      <c r="AU113" s="214">
        <f>T113*'Data &amp; Assumptions'!$D$92</f>
        <v>15.883940293965061</v>
      </c>
      <c r="AV113" s="255">
        <f>U113*'Data &amp; Assumptions'!$D$92</f>
        <v>8.090882087238388</v>
      </c>
      <c r="AW113" s="214">
        <f>V113*'Data &amp; Assumptions'!$D$92</f>
        <v>40.88861291946559</v>
      </c>
      <c r="AX113" s="214">
        <f>W113*'Data &amp; Assumptions'!$D$92</f>
        <v>196.81848239122783</v>
      </c>
      <c r="AY113" s="214">
        <f>X113*'Data &amp; Assumptions'!$D$92</f>
        <v>29.766475860762334</v>
      </c>
      <c r="AZ113" s="214">
        <f>Y113*'Data &amp; Assumptions'!$D$92</f>
        <v>30.412504053909338</v>
      </c>
      <c r="BA113" s="214">
        <f>Z113*'Data &amp; Assumptions'!$D$92</f>
        <v>55.87278202602052</v>
      </c>
      <c r="BB113" s="214">
        <f>AA113*'Data &amp; Assumptions'!$D$92</f>
        <v>-70.49372981756241</v>
      </c>
      <c r="BC113" s="214">
        <f>AB113*'Data &amp; Assumptions'!$D$92</f>
        <v>22.68804205859267</v>
      </c>
      <c r="BD113" s="214">
        <f>AC113*'Data &amp; Assumptions'!$D$92</f>
        <v>23.147415986844056</v>
      </c>
      <c r="BE113" s="214">
        <f>AD113*'Data &amp; Assumptions'!$D$92</f>
        <v>42.17049430936487</v>
      </c>
      <c r="BF113" s="214">
        <f>AE113*'Data &amp; Assumptions'!$D$92</f>
        <v>-52.37948454503923</v>
      </c>
      <c r="BG113" s="214">
        <f>AF113*'Data &amp; Assumptions'!$D$92</f>
        <v>17.305277150935506</v>
      </c>
      <c r="BH113" s="214">
        <f>AG113*'Data &amp; Assumptions'!$D$92</f>
        <v>17.629999928872223</v>
      </c>
      <c r="BI113" s="214">
        <f>AH113*'Data &amp; Assumptions'!$D$92</f>
        <v>31.842411826711828</v>
      </c>
      <c r="BJ113" s="214">
        <f>AI113*'Data &amp; Assumptions'!$D$92</f>
        <v>-38.90271808928698</v>
      </c>
      <c r="BK113" s="214">
        <f>AJ113*'Data &amp; Assumptions'!$D$92</f>
        <v>13.209234270106965</v>
      </c>
      <c r="BL113" s="214">
        <f>AK113*'Data &amp; Assumptions'!$D$92</f>
        <v>13.437170459087085</v>
      </c>
    </row>
    <row r="114" spans="7:73" s="1" customFormat="1" ht="12.75">
      <c r="G114" s="122" t="s">
        <v>293</v>
      </c>
      <c r="L114" s="182" t="s">
        <v>64</v>
      </c>
      <c r="M114" s="124"/>
      <c r="Q114" s="125">
        <f aca="true" t="shared" si="109" ref="Q114:AK114">(Q62-P62)*Q97</f>
        <v>36.489316096008636</v>
      </c>
      <c r="R114" s="244">
        <f t="shared" si="109"/>
        <v>41.369762123849796</v>
      </c>
      <c r="S114" s="125">
        <f t="shared" si="109"/>
        <v>69.73443559270827</v>
      </c>
      <c r="T114" s="125">
        <f t="shared" si="109"/>
        <v>233.96902798368458</v>
      </c>
      <c r="U114" s="244">
        <f t="shared" si="109"/>
        <v>234.02519891174063</v>
      </c>
      <c r="V114" s="125">
        <f t="shared" si="109"/>
        <v>240.02789371333506</v>
      </c>
      <c r="W114" s="125">
        <f t="shared" si="109"/>
        <v>246.4611798291385</v>
      </c>
      <c r="X114" s="125">
        <f t="shared" si="109"/>
        <v>29.142498437823612</v>
      </c>
      <c r="Y114" s="125">
        <f t="shared" si="109"/>
        <v>27.489535926429998</v>
      </c>
      <c r="Z114" s="125">
        <f t="shared" si="109"/>
        <v>25.930329448683285</v>
      </c>
      <c r="AA114" s="125">
        <f t="shared" si="109"/>
        <v>24.45956116235389</v>
      </c>
      <c r="AB114" s="125">
        <f t="shared" si="109"/>
        <v>23.072214853225336</v>
      </c>
      <c r="AC114" s="125">
        <f t="shared" si="109"/>
        <v>21.763558826750483</v>
      </c>
      <c r="AD114" s="125">
        <f t="shared" si="109"/>
        <v>20.52912977009654</v>
      </c>
      <c r="AE114" s="125">
        <f t="shared" si="109"/>
        <v>19.36471752953748</v>
      </c>
      <c r="AF114" s="125">
        <f t="shared" si="109"/>
        <v>18.266350751261637</v>
      </c>
      <c r="AG114" s="125">
        <f t="shared" si="109"/>
        <v>17.230283336650178</v>
      </c>
      <c r="AH114" s="125">
        <f t="shared" si="109"/>
        <v>16.252981665795343</v>
      </c>
      <c r="AI114" s="125">
        <f t="shared" si="109"/>
        <v>15.331112545711134</v>
      </c>
      <c r="AJ114" s="125">
        <f t="shared" si="109"/>
        <v>14.461531842119</v>
      </c>
      <c r="AK114" s="125">
        <f t="shared" si="109"/>
        <v>13.641273756033828</v>
      </c>
      <c r="AL114" s="125"/>
      <c r="AM114" s="207"/>
      <c r="AR114" s="125">
        <f>(AR62-AQ62)*AR97</f>
        <v>36.489316096008636</v>
      </c>
      <c r="AS114" s="125">
        <f>(AS62-AR62)*AS97</f>
        <v>39.301274017657306</v>
      </c>
      <c r="AT114" s="125">
        <f>S114*'Data &amp; Assumptions'!$D$92</f>
        <v>52.300826694531196</v>
      </c>
      <c r="AU114" s="125">
        <f>T114*'Data &amp; Assumptions'!$D$92</f>
        <v>175.47677098776344</v>
      </c>
      <c r="AV114" s="244">
        <f>U114*'Data &amp; Assumptions'!$D$92</f>
        <v>175.51889918380547</v>
      </c>
      <c r="AW114" s="125">
        <f>V114*'Data &amp; Assumptions'!$D$92</f>
        <v>180.0209202850013</v>
      </c>
      <c r="AX114" s="125">
        <f>W114*'Data &amp; Assumptions'!$D$92</f>
        <v>184.84588487185388</v>
      </c>
      <c r="AY114" s="125">
        <f>X114*'Data &amp; Assumptions'!$D$92</f>
        <v>21.85687382836771</v>
      </c>
      <c r="AZ114" s="125">
        <f>Y114*'Data &amp; Assumptions'!$D$92</f>
        <v>20.6171519448225</v>
      </c>
      <c r="BA114" s="125">
        <f>Z114*'Data &amp; Assumptions'!$D$92</f>
        <v>19.447747086512464</v>
      </c>
      <c r="BB114" s="125">
        <f>AA114*'Data &amp; Assumptions'!$D$92</f>
        <v>18.344670871765416</v>
      </c>
      <c r="BC114" s="125">
        <f>AB114*'Data &amp; Assumptions'!$D$92</f>
        <v>17.304161139919003</v>
      </c>
      <c r="BD114" s="125">
        <f>AC114*'Data &amp; Assumptions'!$D$92</f>
        <v>16.322669120062862</v>
      </c>
      <c r="BE114" s="125">
        <f>AD114*'Data &amp; Assumptions'!$D$92</f>
        <v>15.396847327572404</v>
      </c>
      <c r="BF114" s="125">
        <f>AE114*'Data &amp; Assumptions'!$D$92</f>
        <v>14.52353814715311</v>
      </c>
      <c r="BG114" s="125">
        <f>AF114*'Data &amp; Assumptions'!$D$92</f>
        <v>13.699763063446227</v>
      </c>
      <c r="BH114" s="125">
        <f>AG114*'Data &amp; Assumptions'!$D$92</f>
        <v>12.922712502487634</v>
      </c>
      <c r="BI114" s="125">
        <f>AH114*'Data &amp; Assumptions'!$D$92</f>
        <v>12.189736249346506</v>
      </c>
      <c r="BJ114" s="125">
        <f>AI114*'Data &amp; Assumptions'!$D$92</f>
        <v>11.49833440928335</v>
      </c>
      <c r="BK114" s="125">
        <f>AJ114*'Data &amp; Assumptions'!$D$92</f>
        <v>10.846148881589249</v>
      </c>
      <c r="BL114" s="125">
        <f>AK114*'Data &amp; Assumptions'!$D$92</f>
        <v>10.230955317025371</v>
      </c>
      <c r="BN114" s="207"/>
      <c r="BU114" s="233"/>
    </row>
    <row r="115" spans="8:64" ht="12.75">
      <c r="H115" t="s">
        <v>286</v>
      </c>
      <c r="L115" s="182" t="s">
        <v>64</v>
      </c>
      <c r="M115" s="63"/>
      <c r="Q115" s="68">
        <f>Q114*$D$100</f>
        <v>14.595726438403455</v>
      </c>
      <c r="R115" s="209">
        <f>R114-R116-R117-R118</f>
        <v>7.434698154561765</v>
      </c>
      <c r="S115" s="68">
        <f aca="true" t="shared" si="110" ref="S115:AK115">S114-S116-S117-S118</f>
        <v>37.572478715815535</v>
      </c>
      <c r="T115" s="68">
        <f t="shared" si="110"/>
        <v>180.85617761328078</v>
      </c>
      <c r="U115" s="209">
        <f t="shared" si="110"/>
        <v>27.35236538657184</v>
      </c>
      <c r="V115" s="68">
        <f t="shared" si="110"/>
        <v>27.94599962367953</v>
      </c>
      <c r="W115" s="68">
        <f t="shared" si="110"/>
        <v>51.341406899784914</v>
      </c>
      <c r="X115" s="68">
        <f t="shared" si="110"/>
        <v>-64.77657161874353</v>
      </c>
      <c r="Y115" s="68">
        <f t="shared" si="110"/>
        <v>20.848004284933513</v>
      </c>
      <c r="Z115" s="68">
        <f t="shared" si="110"/>
        <v>21.2701222270561</v>
      </c>
      <c r="AA115" s="68">
        <f t="shared" si="110"/>
        <v>38.75039740269041</v>
      </c>
      <c r="AB115" s="68">
        <f t="shared" si="110"/>
        <v>-48.131421628073824</v>
      </c>
      <c r="AC115" s="68">
        <f t="shared" si="110"/>
        <v>15.901790523084053</v>
      </c>
      <c r="AD115" s="68">
        <f t="shared" si="110"/>
        <v>16.20017774611358</v>
      </c>
      <c r="AE115" s="68">
        <f t="shared" si="110"/>
        <v>29.259939508729026</v>
      </c>
      <c r="AF115" s="68">
        <f t="shared" si="110"/>
        <v>-35.747643244246305</v>
      </c>
      <c r="AG115" s="68">
        <f t="shared" si="110"/>
        <v>12.137943501368825</v>
      </c>
      <c r="AH115" s="68">
        <f t="shared" si="110"/>
        <v>12.347393688048207</v>
      </c>
      <c r="AI115" s="68">
        <f t="shared" si="110"/>
        <v>22.103796158504625</v>
      </c>
      <c r="AJ115" s="68">
        <f t="shared" si="110"/>
        <v>-26.537499207013717</v>
      </c>
      <c r="AK115" s="68">
        <f t="shared" si="110"/>
        <v>9.271862176328549</v>
      </c>
      <c r="AL115" s="68"/>
      <c r="AR115" s="68">
        <f>AR114*$D$100</f>
        <v>14.595726438403455</v>
      </c>
      <c r="AS115" s="68">
        <f>AS114-AS116-AS117-AS118</f>
        <v>5.366210048369275</v>
      </c>
      <c r="AT115" s="214">
        <f>S115*'Data &amp; Assumptions'!$D$92</f>
        <v>28.17935903686165</v>
      </c>
      <c r="AU115" s="214">
        <f>T115*'Data &amp; Assumptions'!$D$92</f>
        <v>135.64213320996058</v>
      </c>
      <c r="AV115" s="255">
        <f>U115*'Data &amp; Assumptions'!$D$92</f>
        <v>20.51427403992888</v>
      </c>
      <c r="AW115" s="214">
        <f>V115*'Data &amp; Assumptions'!$D$92</f>
        <v>20.95949971775965</v>
      </c>
      <c r="AX115" s="214">
        <f>W115*'Data &amp; Assumptions'!$D$92</f>
        <v>38.506055174838686</v>
      </c>
      <c r="AY115" s="214">
        <f>X115*'Data &amp; Assumptions'!$D$92</f>
        <v>-48.58242871405765</v>
      </c>
      <c r="AZ115" s="214">
        <f>Y115*'Data &amp; Assumptions'!$D$92</f>
        <v>15.636003213700135</v>
      </c>
      <c r="BA115" s="214">
        <f>Z115*'Data &amp; Assumptions'!$D$92</f>
        <v>15.952591670292074</v>
      </c>
      <c r="BB115" s="214">
        <f>AA115*'Data &amp; Assumptions'!$D$92</f>
        <v>29.062798052017808</v>
      </c>
      <c r="BC115" s="214">
        <f>AB115*'Data &amp; Assumptions'!$D$92</f>
        <v>-36.098566221055364</v>
      </c>
      <c r="BD115" s="214">
        <f>AC115*'Data &amp; Assumptions'!$D$92</f>
        <v>11.92634289231304</v>
      </c>
      <c r="BE115" s="214">
        <f>AD115*'Data &amp; Assumptions'!$D$92</f>
        <v>12.150133309585186</v>
      </c>
      <c r="BF115" s="214">
        <f>AE115*'Data &amp; Assumptions'!$D$92</f>
        <v>21.94495463154677</v>
      </c>
      <c r="BG115" s="214">
        <f>AF115*'Data &amp; Assumptions'!$D$92</f>
        <v>-26.81073243318473</v>
      </c>
      <c r="BH115" s="214">
        <f>AG115*'Data &amp; Assumptions'!$D$92</f>
        <v>9.10345762602662</v>
      </c>
      <c r="BI115" s="214">
        <f>AH115*'Data &amp; Assumptions'!$D$92</f>
        <v>9.260545266036155</v>
      </c>
      <c r="BJ115" s="214">
        <f>AI115*'Data &amp; Assumptions'!$D$92</f>
        <v>16.57784711887847</v>
      </c>
      <c r="BK115" s="214">
        <f>AJ115*'Data &amp; Assumptions'!$D$92</f>
        <v>-19.903124405260286</v>
      </c>
      <c r="BL115" s="214">
        <f>AK115*'Data &amp; Assumptions'!$D$92</f>
        <v>6.953896632246412</v>
      </c>
    </row>
    <row r="116" spans="8:64" ht="12.75">
      <c r="H116" t="s">
        <v>287</v>
      </c>
      <c r="L116" s="182" t="s">
        <v>64</v>
      </c>
      <c r="M116" s="63"/>
      <c r="Q116" s="68">
        <f>Q114*$D$101</f>
        <v>14.595726438403455</v>
      </c>
      <c r="R116" s="209">
        <f>Q115*(1-'Data &amp; Assumptions'!$D$114)</f>
        <v>13.574025587715212</v>
      </c>
      <c r="S116" s="68">
        <f>R115*(1-'Data &amp; Assumptions'!$D$114)</f>
        <v>6.914269283742441</v>
      </c>
      <c r="T116" s="68">
        <f>S115*(1-'Data &amp; Assumptions'!$D$114)</f>
        <v>34.94240520570845</v>
      </c>
      <c r="U116" s="209">
        <f>T115*(1-'Data &amp; Assumptions'!$D$114)</f>
        <v>168.1962451803511</v>
      </c>
      <c r="V116" s="68">
        <f>U115*(1-'Data &amp; Assumptions'!$D$114)</f>
        <v>25.43769980951181</v>
      </c>
      <c r="W116" s="68">
        <f>V115*(1-'Data &amp; Assumptions'!$D$114)</f>
        <v>25.989779650021962</v>
      </c>
      <c r="X116" s="68">
        <f>W115*(1-'Data &amp; Assumptions'!$D$114)</f>
        <v>47.74750841679997</v>
      </c>
      <c r="Y116" s="68">
        <f>X115*(1-'Data &amp; Assumptions'!$D$114)</f>
        <v>-60.24221160543148</v>
      </c>
      <c r="Z116" s="68">
        <f>Y115*(1-'Data &amp; Assumptions'!$D$114)</f>
        <v>19.388643984988164</v>
      </c>
      <c r="AA116" s="68">
        <f>Z115*(1-'Data &amp; Assumptions'!$D$114)</f>
        <v>19.78121367116217</v>
      </c>
      <c r="AB116" s="68">
        <f>AA115*(1-'Data &amp; Assumptions'!$D$114)</f>
        <v>36.037869584502076</v>
      </c>
      <c r="AC116" s="68">
        <f>AB115*(1-'Data &amp; Assumptions'!$D$114)</f>
        <v>-44.76222211410865</v>
      </c>
      <c r="AD116" s="68">
        <f>AC115*(1-'Data &amp; Assumptions'!$D$114)</f>
        <v>14.788665186468167</v>
      </c>
      <c r="AE116" s="68">
        <f>AD115*(1-'Data &amp; Assumptions'!$D$114)</f>
        <v>15.06616530388563</v>
      </c>
      <c r="AF116" s="68">
        <f>AE115*(1-'Data &amp; Assumptions'!$D$114)</f>
        <v>27.211743743117992</v>
      </c>
      <c r="AG116" s="68">
        <f>AF115*(1-'Data &amp; Assumptions'!$D$114)</f>
        <v>-33.24530821714906</v>
      </c>
      <c r="AH116" s="68">
        <f>AG115*(1-'Data &amp; Assumptions'!$D$114)</f>
        <v>11.288287456273007</v>
      </c>
      <c r="AI116" s="68">
        <f>AH115*(1-'Data &amp; Assumptions'!$D$114)</f>
        <v>11.483076129884832</v>
      </c>
      <c r="AJ116" s="68">
        <f>AI115*(1-'Data &amp; Assumptions'!$D$114)</f>
        <v>20.5565304274093</v>
      </c>
      <c r="AK116" s="68">
        <f>AJ115*(1-'Data &amp; Assumptions'!$D$114)</f>
        <v>-24.679874262522755</v>
      </c>
      <c r="AL116" s="68"/>
      <c r="AR116" s="68">
        <f>AR114*$D$101</f>
        <v>14.595726438403455</v>
      </c>
      <c r="AS116" s="68">
        <f>AR115*(1-'Data &amp; Assumptions'!$D$114)</f>
        <v>13.574025587715212</v>
      </c>
      <c r="AT116" s="214">
        <f>S116*'Data &amp; Assumptions'!$D$92</f>
        <v>5.185701962806831</v>
      </c>
      <c r="AU116" s="214">
        <f>T116*'Data &amp; Assumptions'!$D$92</f>
        <v>26.206803904281337</v>
      </c>
      <c r="AV116" s="255">
        <f>U116*'Data &amp; Assumptions'!$D$92</f>
        <v>126.14718388526333</v>
      </c>
      <c r="AW116" s="214">
        <f>V116*'Data &amp; Assumptions'!$D$92</f>
        <v>19.078274857133856</v>
      </c>
      <c r="AX116" s="214">
        <f>W116*'Data &amp; Assumptions'!$D$92</f>
        <v>19.492334737516472</v>
      </c>
      <c r="AY116" s="214">
        <f>X116*'Data &amp; Assumptions'!$D$92</f>
        <v>35.81063131259997</v>
      </c>
      <c r="AZ116" s="214">
        <f>Y116*'Data &amp; Assumptions'!$D$92</f>
        <v>-45.18165870407361</v>
      </c>
      <c r="BA116" s="214">
        <f>Z116*'Data &amp; Assumptions'!$D$92</f>
        <v>14.541482988741123</v>
      </c>
      <c r="BB116" s="214">
        <f>AA116*'Data &amp; Assumptions'!$D$92</f>
        <v>14.835910253371628</v>
      </c>
      <c r="BC116" s="214">
        <f>AB116*'Data &amp; Assumptions'!$D$92</f>
        <v>27.028402188376557</v>
      </c>
      <c r="BD116" s="214">
        <f>AC116*'Data &amp; Assumptions'!$D$92</f>
        <v>-33.57166658558149</v>
      </c>
      <c r="BE116" s="214">
        <f>AD116*'Data &amp; Assumptions'!$D$92</f>
        <v>11.091498889851126</v>
      </c>
      <c r="BF116" s="214">
        <f>AE116*'Data &amp; Assumptions'!$D$92</f>
        <v>11.299623977914223</v>
      </c>
      <c r="BG116" s="214">
        <f>AF116*'Data &amp; Assumptions'!$D$92</f>
        <v>20.408807807338494</v>
      </c>
      <c r="BH116" s="214">
        <f>AG116*'Data &amp; Assumptions'!$D$92</f>
        <v>-24.933981162861794</v>
      </c>
      <c r="BI116" s="214">
        <f>AH116*'Data &amp; Assumptions'!$D$92</f>
        <v>8.466215592204755</v>
      </c>
      <c r="BJ116" s="214">
        <f>AI116*'Data &amp; Assumptions'!$D$92</f>
        <v>8.612307097413623</v>
      </c>
      <c r="BK116" s="214">
        <f>AJ116*'Data &amp; Assumptions'!$D$92</f>
        <v>15.417397820556975</v>
      </c>
      <c r="BL116" s="214">
        <f>AK116*'Data &amp; Assumptions'!$D$92</f>
        <v>-18.509905696892066</v>
      </c>
    </row>
    <row r="117" spans="8:64" ht="12.75">
      <c r="H117" t="s">
        <v>288</v>
      </c>
      <c r="L117" s="182" t="s">
        <v>64</v>
      </c>
      <c r="M117" s="63"/>
      <c r="Q117" s="68">
        <f>Q114*$D$102</f>
        <v>7.297863219201727</v>
      </c>
      <c r="R117" s="209">
        <f>Q116*(1-'Data &amp; Assumptions'!$D$114)</f>
        <v>13.574025587715212</v>
      </c>
      <c r="S117" s="68">
        <f>R116*(1-'Data &amp; Assumptions'!$D$114)</f>
        <v>12.623843796575146</v>
      </c>
      <c r="T117" s="68">
        <f>S116*(1-'Data &amp; Assumptions'!$D$114)</f>
        <v>6.4302704338804695</v>
      </c>
      <c r="U117" s="209">
        <f>T116*(1-'Data &amp; Assumptions'!$D$114)</f>
        <v>32.49643684130886</v>
      </c>
      <c r="V117" s="68">
        <f>U116*(1-'Data &amp; Assumptions'!$D$114)</f>
        <v>156.4225080177265</v>
      </c>
      <c r="W117" s="68">
        <f>V116*(1-'Data &amp; Assumptions'!$D$114)</f>
        <v>23.65706082284598</v>
      </c>
      <c r="X117" s="68">
        <f>W116*(1-'Data &amp; Assumptions'!$D$114)</f>
        <v>24.170495074520424</v>
      </c>
      <c r="Y117" s="68">
        <f>X116*(1-'Data &amp; Assumptions'!$D$114)</f>
        <v>44.40518282762397</v>
      </c>
      <c r="Z117" s="68">
        <f>Y116*(1-'Data &amp; Assumptions'!$D$114)</f>
        <v>-56.02525679305127</v>
      </c>
      <c r="AA117" s="68">
        <f>Z116*(1-'Data &amp; Assumptions'!$D$114)</f>
        <v>18.031438906038993</v>
      </c>
      <c r="AB117" s="68">
        <f>AA116*(1-'Data &amp; Assumptions'!$D$114)</f>
        <v>18.396528714180818</v>
      </c>
      <c r="AC117" s="68">
        <f>AB116*(1-'Data &amp; Assumptions'!$D$114)</f>
        <v>33.515218713586926</v>
      </c>
      <c r="AD117" s="68">
        <f>AC116*(1-'Data &amp; Assumptions'!$D$114)</f>
        <v>-41.62886656612105</v>
      </c>
      <c r="AE117" s="68">
        <f>AD116*(1-'Data &amp; Assumptions'!$D$114)</f>
        <v>13.753458623415394</v>
      </c>
      <c r="AF117" s="68">
        <f>AE116*(1-'Data &amp; Assumptions'!$D$114)</f>
        <v>14.011533732613634</v>
      </c>
      <c r="AG117" s="68">
        <f>AF116*(1-'Data &amp; Assumptions'!$D$114)</f>
        <v>25.30692168109973</v>
      </c>
      <c r="AH117" s="68">
        <f>AG116*(1-'Data &amp; Assumptions'!$D$114)</f>
        <v>-30.918136641948625</v>
      </c>
      <c r="AI117" s="68">
        <f>AH116*(1-'Data &amp; Assumptions'!$D$114)</f>
        <v>10.498107334333897</v>
      </c>
      <c r="AJ117" s="68">
        <f>AI116*(1-'Data &amp; Assumptions'!$D$114)</f>
        <v>10.679260800792893</v>
      </c>
      <c r="AK117" s="68">
        <f>AJ116*(1-'Data &amp; Assumptions'!$D$114)</f>
        <v>19.117573297490647</v>
      </c>
      <c r="AL117" s="68"/>
      <c r="AR117" s="68">
        <f>AR114*$D$102</f>
        <v>7.297863219201727</v>
      </c>
      <c r="AS117" s="68">
        <f>AR116*(1-'Data &amp; Assumptions'!$D$114)</f>
        <v>13.574025587715212</v>
      </c>
      <c r="AT117" s="214">
        <f>S117*'Data &amp; Assumptions'!$D$92</f>
        <v>9.46788284743136</v>
      </c>
      <c r="AU117" s="214">
        <f>T117*'Data &amp; Assumptions'!$D$92</f>
        <v>4.822702825410352</v>
      </c>
      <c r="AV117" s="255">
        <f>U117*'Data &amp; Assumptions'!$D$92</f>
        <v>24.372327630981644</v>
      </c>
      <c r="AW117" s="214">
        <f>V117*'Data &amp; Assumptions'!$D$92</f>
        <v>117.31688101329487</v>
      </c>
      <c r="AX117" s="214">
        <f>W117*'Data &amp; Assumptions'!$D$92</f>
        <v>17.742795617134487</v>
      </c>
      <c r="AY117" s="214">
        <f>X117*'Data &amp; Assumptions'!$D$92</f>
        <v>18.127871305890316</v>
      </c>
      <c r="AZ117" s="214">
        <f>Y117*'Data &amp; Assumptions'!$D$92</f>
        <v>33.303887120717974</v>
      </c>
      <c r="BA117" s="214">
        <f>Z117*'Data &amp; Assumptions'!$D$92</f>
        <v>-42.018942594788456</v>
      </c>
      <c r="BB117" s="214">
        <f>AA117*'Data &amp; Assumptions'!$D$92</f>
        <v>13.523579179529245</v>
      </c>
      <c r="BC117" s="214">
        <f>AB117*'Data &amp; Assumptions'!$D$92</f>
        <v>13.797396535635613</v>
      </c>
      <c r="BD117" s="214">
        <f>AC117*'Data &amp; Assumptions'!$D$92</f>
        <v>25.136414035190192</v>
      </c>
      <c r="BE117" s="214">
        <f>AD117*'Data &amp; Assumptions'!$D$92</f>
        <v>-31.221649924590785</v>
      </c>
      <c r="BF117" s="214">
        <f>AE117*'Data &amp; Assumptions'!$D$92</f>
        <v>10.315093967561545</v>
      </c>
      <c r="BG117" s="214">
        <f>AF117*'Data &amp; Assumptions'!$D$92</f>
        <v>10.508650299460225</v>
      </c>
      <c r="BH117" s="214">
        <f>AG117*'Data &amp; Assumptions'!$D$92</f>
        <v>18.980191260824796</v>
      </c>
      <c r="BI117" s="214">
        <f>AH117*'Data &amp; Assumptions'!$D$92</f>
        <v>-23.18860248146147</v>
      </c>
      <c r="BJ117" s="214">
        <f>AI117*'Data &amp; Assumptions'!$D$92</f>
        <v>7.873580500750423</v>
      </c>
      <c r="BK117" s="214">
        <f>AJ117*'Data &amp; Assumptions'!$D$92</f>
        <v>8.00944560059467</v>
      </c>
      <c r="BL117" s="214">
        <f>AK117*'Data &amp; Assumptions'!$D$92</f>
        <v>14.338179973117985</v>
      </c>
    </row>
    <row r="118" spans="8:64" ht="12.75">
      <c r="H118" t="s">
        <v>289</v>
      </c>
      <c r="L118" s="182" t="s">
        <v>64</v>
      </c>
      <c r="M118" s="63"/>
      <c r="Q118" s="68">
        <f>Q114*$D$103</f>
        <v>0</v>
      </c>
      <c r="R118" s="209">
        <f>Q117*(1-'Data &amp; Assumptions'!$D$114)</f>
        <v>6.787012793857606</v>
      </c>
      <c r="S118" s="68">
        <f>R117*(1-'Data &amp; Assumptions'!$D$114)</f>
        <v>12.623843796575146</v>
      </c>
      <c r="T118" s="68">
        <f>S117*(1-'Data &amp; Assumptions'!$D$114)</f>
        <v>11.740174730814886</v>
      </c>
      <c r="U118" s="209">
        <f>T117*(1-'Data &amp; Assumptions'!$D$114)</f>
        <v>5.980151503508837</v>
      </c>
      <c r="V118" s="68">
        <f>U117*(1-'Data &amp; Assumptions'!$D$114)</f>
        <v>30.221686262417233</v>
      </c>
      <c r="W118" s="68">
        <f>V117*(1-'Data &amp; Assumptions'!$D$114)</f>
        <v>145.47293245648564</v>
      </c>
      <c r="X118" s="68">
        <f>W117*(1-'Data &amp; Assumptions'!$D$114)</f>
        <v>22.00106656524676</v>
      </c>
      <c r="Y118" s="68">
        <f>X117*(1-'Data &amp; Assumptions'!$D$114)</f>
        <v>22.478560419303992</v>
      </c>
      <c r="Z118" s="68">
        <f>Y117*(1-'Data &amp; Assumptions'!$D$114)</f>
        <v>41.29682002969029</v>
      </c>
      <c r="AA118" s="68">
        <f>Z117*(1-'Data &amp; Assumptions'!$D$114)</f>
        <v>-52.10348881753768</v>
      </c>
      <c r="AB118" s="68">
        <f>AA117*(1-'Data &amp; Assumptions'!$D$114)</f>
        <v>16.769238182616263</v>
      </c>
      <c r="AC118" s="68">
        <f>AB117*(1-'Data &amp; Assumptions'!$D$114)</f>
        <v>17.108771704188158</v>
      </c>
      <c r="AD118" s="68">
        <f>AC117*(1-'Data &amp; Assumptions'!$D$114)</f>
        <v>31.16915340363584</v>
      </c>
      <c r="AE118" s="68">
        <f>AD117*(1-'Data &amp; Assumptions'!$D$114)</f>
        <v>-38.71484590649257</v>
      </c>
      <c r="AF118" s="68">
        <f>AE117*(1-'Data &amp; Assumptions'!$D$114)</f>
        <v>12.790716519776316</v>
      </c>
      <c r="AG118" s="68">
        <f>AF117*(1-'Data &amp; Assumptions'!$D$114)</f>
        <v>13.030726371330678</v>
      </c>
      <c r="AH118" s="68">
        <f>AG117*(1-'Data &amp; Assumptions'!$D$114)</f>
        <v>23.53543716342275</v>
      </c>
      <c r="AI118" s="68">
        <f>AH117*(1-'Data &amp; Assumptions'!$D$114)</f>
        <v>-28.75386707701222</v>
      </c>
      <c r="AJ118" s="68">
        <f>AI117*(1-'Data &amp; Assumptions'!$D$114)</f>
        <v>9.763239820930524</v>
      </c>
      <c r="AK118" s="68">
        <f>AJ117*(1-'Data &amp; Assumptions'!$D$114)</f>
        <v>9.931712544737389</v>
      </c>
      <c r="AL118" s="68"/>
      <c r="AR118" s="68">
        <f>AR114*$D$103</f>
        <v>0</v>
      </c>
      <c r="AS118" s="68">
        <f>AR117*(1-'Data &amp; Assumptions'!$D$114)</f>
        <v>6.787012793857606</v>
      </c>
      <c r="AT118" s="214">
        <f>S118*'Data &amp; Assumptions'!$D$92</f>
        <v>9.46788284743136</v>
      </c>
      <c r="AU118" s="214">
        <f>T118*'Data &amp; Assumptions'!$D$92</f>
        <v>8.805131048111164</v>
      </c>
      <c r="AV118" s="255">
        <f>U118*'Data &amp; Assumptions'!$D$92</f>
        <v>4.485113627631628</v>
      </c>
      <c r="AW118" s="214">
        <f>V118*'Data &amp; Assumptions'!$D$92</f>
        <v>22.666264696812924</v>
      </c>
      <c r="AX118" s="214">
        <f>W118*'Data &amp; Assumptions'!$D$92</f>
        <v>109.10469934236423</v>
      </c>
      <c r="AY118" s="214">
        <f>X118*'Data &amp; Assumptions'!$D$92</f>
        <v>16.50079992393507</v>
      </c>
      <c r="AZ118" s="214">
        <f>Y118*'Data &amp; Assumptions'!$D$92</f>
        <v>16.858920314477995</v>
      </c>
      <c r="BA118" s="214">
        <f>Z118*'Data &amp; Assumptions'!$D$92</f>
        <v>30.972615022267718</v>
      </c>
      <c r="BB118" s="214">
        <f>AA118*'Data &amp; Assumptions'!$D$92</f>
        <v>-39.07761661315326</v>
      </c>
      <c r="BC118" s="214">
        <f>AB118*'Data &amp; Assumptions'!$D$92</f>
        <v>12.576928636962197</v>
      </c>
      <c r="BD118" s="214">
        <f>AC118*'Data &amp; Assumptions'!$D$92</f>
        <v>12.831578778141118</v>
      </c>
      <c r="BE118" s="214">
        <f>AD118*'Data &amp; Assumptions'!$D$92</f>
        <v>23.376865052726878</v>
      </c>
      <c r="BF118" s="214">
        <f>AE118*'Data &amp; Assumptions'!$D$92</f>
        <v>-29.036134429869428</v>
      </c>
      <c r="BG118" s="214">
        <f>AF118*'Data &amp; Assumptions'!$D$92</f>
        <v>9.593037389832237</v>
      </c>
      <c r="BH118" s="214">
        <f>AG118*'Data &amp; Assumptions'!$D$92</f>
        <v>9.773044778498008</v>
      </c>
      <c r="BI118" s="214">
        <f>AH118*'Data &amp; Assumptions'!$D$92</f>
        <v>17.65157787256706</v>
      </c>
      <c r="BJ118" s="214">
        <f>AI118*'Data &amp; Assumptions'!$D$92</f>
        <v>-21.565400307759166</v>
      </c>
      <c r="BK118" s="214">
        <f>AJ118*'Data &amp; Assumptions'!$D$92</f>
        <v>7.3224298656978934</v>
      </c>
      <c r="BL118" s="214">
        <f>AK118*'Data &amp; Assumptions'!$D$92</f>
        <v>7.448784408553042</v>
      </c>
    </row>
    <row r="119" spans="7:73" s="1" customFormat="1" ht="12.75">
      <c r="G119" s="122" t="s">
        <v>294</v>
      </c>
      <c r="L119" s="182" t="s">
        <v>64</v>
      </c>
      <c r="M119" s="124"/>
      <c r="Q119" s="125">
        <f aca="true" t="shared" si="111" ref="Q119:AK119">(Q63-P63)*Q97</f>
        <v>66.4699264912134</v>
      </c>
      <c r="R119" s="244">
        <f t="shared" si="111"/>
        <v>75.36027915941293</v>
      </c>
      <c r="S119" s="125">
        <f t="shared" si="111"/>
        <v>127.03013659005227</v>
      </c>
      <c r="T119" s="125">
        <f t="shared" si="111"/>
        <v>426.2043182825582</v>
      </c>
      <c r="U119" s="244">
        <f t="shared" si="111"/>
        <v>426.30664076646053</v>
      </c>
      <c r="V119" s="125">
        <f t="shared" si="111"/>
        <v>437.24131219634825</v>
      </c>
      <c r="W119" s="125">
        <f t="shared" si="111"/>
        <v>448.96036042650024</v>
      </c>
      <c r="X119" s="125">
        <f t="shared" si="111"/>
        <v>53.08676446101785</v>
      </c>
      <c r="Y119" s="125">
        <f t="shared" si="111"/>
        <v>50.07568318078834</v>
      </c>
      <c r="Z119" s="125">
        <f t="shared" si="111"/>
        <v>47.235390430775176</v>
      </c>
      <c r="AA119" s="125">
        <f t="shared" si="111"/>
        <v>44.55619908554054</v>
      </c>
      <c r="AB119" s="125">
        <f t="shared" si="111"/>
        <v>42.02897147340956</v>
      </c>
      <c r="AC119" s="125">
        <f t="shared" si="111"/>
        <v>39.64508821143797</v>
      </c>
      <c r="AD119" s="125">
        <f t="shared" si="111"/>
        <v>37.3964188080842</v>
      </c>
      <c r="AE119" s="125">
        <f t="shared" si="111"/>
        <v>35.27529393329002</v>
      </c>
      <c r="AF119" s="125">
        <f t="shared" si="111"/>
        <v>33.27447926139361</v>
      </c>
      <c r="AG119" s="125">
        <f t="shared" si="111"/>
        <v>31.387150797688182</v>
      </c>
      <c r="AH119" s="125">
        <f t="shared" si="111"/>
        <v>29.606871604442688</v>
      </c>
      <c r="AI119" s="125">
        <f t="shared" si="111"/>
        <v>27.927569847038548</v>
      </c>
      <c r="AJ119" s="125">
        <f t="shared" si="111"/>
        <v>26.34351808531488</v>
      </c>
      <c r="AK119" s="125">
        <f t="shared" si="111"/>
        <v>24.84931373951531</v>
      </c>
      <c r="AL119" s="125"/>
      <c r="AM119" s="207"/>
      <c r="AR119" s="125">
        <f>(AR63-AQ63)*AR97</f>
        <v>66.4699264912134</v>
      </c>
      <c r="AS119" s="125">
        <f>(AS63-AR63)*AS97</f>
        <v>71.59226520144227</v>
      </c>
      <c r="AT119" s="125">
        <f>S119*'Data &amp; Assumptions'!$D$92</f>
        <v>95.2726024425392</v>
      </c>
      <c r="AU119" s="125">
        <f>T119*'Data &amp; Assumptions'!$D$92</f>
        <v>319.6532387119186</v>
      </c>
      <c r="AV119" s="244">
        <f>U119*'Data &amp; Assumptions'!$D$92</f>
        <v>319.7299805748454</v>
      </c>
      <c r="AW119" s="125">
        <f>V119*'Data &amp; Assumptions'!$D$92</f>
        <v>327.9309841472612</v>
      </c>
      <c r="AX119" s="125">
        <f>W119*'Data &amp; Assumptions'!$D$92</f>
        <v>336.72027031987517</v>
      </c>
      <c r="AY119" s="125">
        <f>X119*'Data &amp; Assumptions'!$D$92</f>
        <v>39.81507334576339</v>
      </c>
      <c r="AZ119" s="125">
        <f>Y119*'Data &amp; Assumptions'!$D$92</f>
        <v>37.556762385591256</v>
      </c>
      <c r="BA119" s="125">
        <f>Z119*'Data &amp; Assumptions'!$D$92</f>
        <v>35.426542823081384</v>
      </c>
      <c r="BB119" s="125">
        <f>AA119*'Data &amp; Assumptions'!$D$92</f>
        <v>33.41714931415541</v>
      </c>
      <c r="BC119" s="125">
        <f>AB119*'Data &amp; Assumptions'!$D$92</f>
        <v>31.52172860505717</v>
      </c>
      <c r="BD119" s="125">
        <f>AC119*'Data &amp; Assumptions'!$D$92</f>
        <v>29.733816158578477</v>
      </c>
      <c r="BE119" s="125">
        <f>AD119*'Data &amp; Assumptions'!$D$92</f>
        <v>28.047314106063148</v>
      </c>
      <c r="BF119" s="125">
        <f>AE119*'Data &amp; Assumptions'!$D$92</f>
        <v>26.45647044996752</v>
      </c>
      <c r="BG119" s="125">
        <f>AF119*'Data &amp; Assumptions'!$D$92</f>
        <v>24.955859446045206</v>
      </c>
      <c r="BH119" s="125">
        <f>AG119*'Data &amp; Assumptions'!$D$92</f>
        <v>23.540363098266138</v>
      </c>
      <c r="BI119" s="125">
        <f>AH119*'Data &amp; Assumptions'!$D$92</f>
        <v>22.205153703332016</v>
      </c>
      <c r="BJ119" s="125">
        <f>AI119*'Data &amp; Assumptions'!$D$92</f>
        <v>20.945677385278913</v>
      </c>
      <c r="BK119" s="125">
        <f>AJ119*'Data &amp; Assumptions'!$D$92</f>
        <v>19.75763856398616</v>
      </c>
      <c r="BL119" s="125">
        <f>AK119*'Data &amp; Assumptions'!$D$92</f>
        <v>18.636985304636482</v>
      </c>
      <c r="BN119" s="207"/>
      <c r="BU119" s="233"/>
    </row>
    <row r="120" spans="8:64" ht="12.75">
      <c r="H120" t="s">
        <v>286</v>
      </c>
      <c r="L120" s="182" t="s">
        <v>64</v>
      </c>
      <c r="M120" s="63"/>
      <c r="Q120" s="68">
        <f>Q119*$D$100</f>
        <v>26.587970596485363</v>
      </c>
      <c r="R120" s="209">
        <f>R119-R121-R122-R123</f>
        <v>13.543247522584457</v>
      </c>
      <c r="S120" s="68">
        <f aca="true" t="shared" si="112" ref="S120:AK120">S119-S121-S122-S123</f>
        <v>68.44304485624835</v>
      </c>
      <c r="T120" s="68">
        <f t="shared" si="112"/>
        <v>329.4525115188868</v>
      </c>
      <c r="U120" s="209">
        <f t="shared" si="112"/>
        <v>49.82580961020319</v>
      </c>
      <c r="V120" s="68">
        <f t="shared" si="112"/>
        <v>50.9071898147368</v>
      </c>
      <c r="W120" s="68">
        <f t="shared" si="112"/>
        <v>93.52489735913309</v>
      </c>
      <c r="X120" s="68">
        <f t="shared" si="112"/>
        <v>-117.99875729437596</v>
      </c>
      <c r="Y120" s="68">
        <f t="shared" si="112"/>
        <v>37.97728926083154</v>
      </c>
      <c r="Z120" s="68">
        <f t="shared" si="112"/>
        <v>38.74623073700741</v>
      </c>
      <c r="AA120" s="68">
        <f t="shared" si="112"/>
        <v>70.58877343946281</v>
      </c>
      <c r="AB120" s="68">
        <f t="shared" si="112"/>
        <v>-87.67750124770322</v>
      </c>
      <c r="AC120" s="68">
        <f t="shared" si="112"/>
        <v>28.96713230708352</v>
      </c>
      <c r="AD120" s="68">
        <f t="shared" si="112"/>
        <v>29.510682554189053</v>
      </c>
      <c r="AE120" s="68">
        <f t="shared" si="112"/>
        <v>53.30069829659648</v>
      </c>
      <c r="AF120" s="68">
        <f t="shared" si="112"/>
        <v>-65.118875136688</v>
      </c>
      <c r="AG120" s="68">
        <f t="shared" si="112"/>
        <v>22.110806630841893</v>
      </c>
      <c r="AH120" s="68">
        <f t="shared" si="112"/>
        <v>22.492346763725727</v>
      </c>
      <c r="AI120" s="68">
        <f t="shared" si="112"/>
        <v>40.26487375007941</v>
      </c>
      <c r="AJ120" s="68">
        <f t="shared" si="112"/>
        <v>-48.34142730736944</v>
      </c>
      <c r="AK120" s="68">
        <f t="shared" si="112"/>
        <v>16.889875263095085</v>
      </c>
      <c r="AL120" s="68"/>
      <c r="AR120" s="68">
        <f>AR119*$D$100</f>
        <v>26.587970596485363</v>
      </c>
      <c r="AS120" s="68">
        <f>AS119-AS121-AS122-AS123</f>
        <v>9.775233564613805</v>
      </c>
      <c r="AT120" s="214">
        <f>S120*'Data &amp; Assumptions'!$D$92</f>
        <v>51.33228364218626</v>
      </c>
      <c r="AU120" s="214">
        <f>T120*'Data &amp; Assumptions'!$D$92</f>
        <v>247.0893836391651</v>
      </c>
      <c r="AV120" s="255">
        <f>U120*'Data &amp; Assumptions'!$D$92</f>
        <v>37.36935720765239</v>
      </c>
      <c r="AW120" s="214">
        <f>V120*'Data &amp; Assumptions'!$D$92</f>
        <v>38.180392361052604</v>
      </c>
      <c r="AX120" s="214">
        <f>W120*'Data &amp; Assumptions'!$D$92</f>
        <v>70.14367301934982</v>
      </c>
      <c r="AY120" s="214">
        <f>X120*'Data &amp; Assumptions'!$D$92</f>
        <v>-88.49906797078197</v>
      </c>
      <c r="AZ120" s="214">
        <f>Y120*'Data &amp; Assumptions'!$D$92</f>
        <v>28.482966945623655</v>
      </c>
      <c r="BA120" s="214">
        <f>Z120*'Data &amp; Assumptions'!$D$92</f>
        <v>29.059673052755556</v>
      </c>
      <c r="BB120" s="214">
        <f>AA120*'Data &amp; Assumptions'!$D$92</f>
        <v>52.94158007959711</v>
      </c>
      <c r="BC120" s="214">
        <f>AB120*'Data &amp; Assumptions'!$D$92</f>
        <v>-65.75812593577741</v>
      </c>
      <c r="BD120" s="214">
        <f>AC120*'Data &amp; Assumptions'!$D$92</f>
        <v>21.72534923031264</v>
      </c>
      <c r="BE120" s="214">
        <f>AD120*'Data &amp; Assumptions'!$D$92</f>
        <v>22.133011915641788</v>
      </c>
      <c r="BF120" s="214">
        <f>AE120*'Data &amp; Assumptions'!$D$92</f>
        <v>39.97552372244736</v>
      </c>
      <c r="BG120" s="214">
        <f>AF120*'Data &amp; Assumptions'!$D$92</f>
        <v>-48.839156352516</v>
      </c>
      <c r="BH120" s="214">
        <f>AG120*'Data &amp; Assumptions'!$D$92</f>
        <v>16.58310497313142</v>
      </c>
      <c r="BI120" s="214">
        <f>AH120*'Data &amp; Assumptions'!$D$92</f>
        <v>16.869260072794297</v>
      </c>
      <c r="BJ120" s="214">
        <f>AI120*'Data &amp; Assumptions'!$D$92</f>
        <v>30.19865531255956</v>
      </c>
      <c r="BK120" s="214">
        <f>AJ120*'Data &amp; Assumptions'!$D$92</f>
        <v>-36.256070480527086</v>
      </c>
      <c r="BL120" s="214">
        <f>AK120*'Data &amp; Assumptions'!$D$92</f>
        <v>12.667406447321314</v>
      </c>
    </row>
    <row r="121" spans="8:64" ht="12.75">
      <c r="H121" t="s">
        <v>287</v>
      </c>
      <c r="L121" s="182" t="s">
        <v>64</v>
      </c>
      <c r="M121" s="63"/>
      <c r="Q121" s="68">
        <f>Q119*$D$101</f>
        <v>26.587970596485363</v>
      </c>
      <c r="R121" s="209">
        <f>Q120*(1-'Data &amp; Assumptions'!$D$114)</f>
        <v>24.726812654731386</v>
      </c>
      <c r="S121" s="68">
        <f>R120*(1-'Data &amp; Assumptions'!$D$114)</f>
        <v>12.595220196003543</v>
      </c>
      <c r="T121" s="68">
        <f>S120*(1-'Data &amp; Assumptions'!$D$114)</f>
        <v>63.65203171631096</v>
      </c>
      <c r="U121" s="209">
        <f>T120*(1-'Data &amp; Assumptions'!$D$114)</f>
        <v>306.3908357125647</v>
      </c>
      <c r="V121" s="68">
        <f>U120*(1-'Data &amp; Assumptions'!$D$114)</f>
        <v>46.33800293748896</v>
      </c>
      <c r="W121" s="68">
        <f>V120*(1-'Data &amp; Assumptions'!$D$114)</f>
        <v>47.34368652770522</v>
      </c>
      <c r="X121" s="68">
        <f>W120*(1-'Data &amp; Assumptions'!$D$114)</f>
        <v>86.97815454399377</v>
      </c>
      <c r="Y121" s="68">
        <f>X120*(1-'Data &amp; Assumptions'!$D$114)</f>
        <v>-109.73884428376964</v>
      </c>
      <c r="Z121" s="68">
        <f>Y120*(1-'Data &amp; Assumptions'!$D$114)</f>
        <v>35.31887901257333</v>
      </c>
      <c r="AA121" s="68">
        <f>Z120*(1-'Data &amp; Assumptions'!$D$114)</f>
        <v>36.033994585416885</v>
      </c>
      <c r="AB121" s="68">
        <f>AA120*(1-'Data &amp; Assumptions'!$D$114)</f>
        <v>65.64755929870041</v>
      </c>
      <c r="AC121" s="68">
        <f>AB120*(1-'Data &amp; Assumptions'!$D$114)</f>
        <v>-81.540076160364</v>
      </c>
      <c r="AD121" s="68">
        <f>AC120*(1-'Data &amp; Assumptions'!$D$114)</f>
        <v>26.939433045587673</v>
      </c>
      <c r="AE121" s="68">
        <f>AD120*(1-'Data &amp; Assumptions'!$D$114)</f>
        <v>27.44493477539582</v>
      </c>
      <c r="AF121" s="68">
        <f>AE120*(1-'Data &amp; Assumptions'!$D$114)</f>
        <v>49.569649415834725</v>
      </c>
      <c r="AG121" s="68">
        <f>AF120*(1-'Data &amp; Assumptions'!$D$114)</f>
        <v>-60.56055387711984</v>
      </c>
      <c r="AH121" s="68">
        <f>AG120*(1-'Data &amp; Assumptions'!$D$114)</f>
        <v>20.56305016668296</v>
      </c>
      <c r="AI121" s="68">
        <f>AH120*(1-'Data &amp; Assumptions'!$D$114)</f>
        <v>20.917882490264926</v>
      </c>
      <c r="AJ121" s="68">
        <f>AI120*(1-'Data &amp; Assumptions'!$D$114)</f>
        <v>37.44633258757385</v>
      </c>
      <c r="AK121" s="68">
        <f>AJ120*(1-'Data &amp; Assumptions'!$D$114)</f>
        <v>-44.95752739585358</v>
      </c>
      <c r="AL121" s="68"/>
      <c r="AR121" s="68">
        <f>AR119*$D$101</f>
        <v>26.587970596485363</v>
      </c>
      <c r="AS121" s="68">
        <f>AR120*(1-'Data &amp; Assumptions'!$D$114)</f>
        <v>24.726812654731386</v>
      </c>
      <c r="AT121" s="214">
        <f>S121*'Data &amp; Assumptions'!$D$92</f>
        <v>9.446415147002657</v>
      </c>
      <c r="AU121" s="214">
        <f>T121*'Data &amp; Assumptions'!$D$92</f>
        <v>47.73902378723322</v>
      </c>
      <c r="AV121" s="255">
        <f>U121*'Data &amp; Assumptions'!$D$92</f>
        <v>229.79312678442352</v>
      </c>
      <c r="AW121" s="214">
        <f>V121*'Data &amp; Assumptions'!$D$92</f>
        <v>34.75350220311672</v>
      </c>
      <c r="AX121" s="214">
        <f>W121*'Data &amp; Assumptions'!$D$92</f>
        <v>35.50776489577892</v>
      </c>
      <c r="AY121" s="214">
        <f>X121*'Data &amp; Assumptions'!$D$92</f>
        <v>65.23361590799533</v>
      </c>
      <c r="AZ121" s="214">
        <f>Y121*'Data &amp; Assumptions'!$D$92</f>
        <v>-82.30413321282722</v>
      </c>
      <c r="BA121" s="214">
        <f>Z121*'Data &amp; Assumptions'!$D$92</f>
        <v>26.48915925943</v>
      </c>
      <c r="BB121" s="214">
        <f>AA121*'Data &amp; Assumptions'!$D$92</f>
        <v>27.025495939062665</v>
      </c>
      <c r="BC121" s="214">
        <f>AB121*'Data &amp; Assumptions'!$D$92</f>
        <v>49.235669474025315</v>
      </c>
      <c r="BD121" s="214">
        <f>AC121*'Data &amp; Assumptions'!$D$92</f>
        <v>-61.155057120273</v>
      </c>
      <c r="BE121" s="214">
        <f>AD121*'Data &amp; Assumptions'!$D$92</f>
        <v>20.204574784190754</v>
      </c>
      <c r="BF121" s="214">
        <f>AE121*'Data &amp; Assumptions'!$D$92</f>
        <v>20.583701081546863</v>
      </c>
      <c r="BG121" s="214">
        <f>AF121*'Data &amp; Assumptions'!$D$92</f>
        <v>37.17723706187604</v>
      </c>
      <c r="BH121" s="214">
        <f>AG121*'Data &amp; Assumptions'!$D$92</f>
        <v>-45.420415407839876</v>
      </c>
      <c r="BI121" s="214">
        <f>AH121*'Data &amp; Assumptions'!$D$92</f>
        <v>15.42228762501222</v>
      </c>
      <c r="BJ121" s="214">
        <f>AI121*'Data &amp; Assumptions'!$D$92</f>
        <v>15.688411867698694</v>
      </c>
      <c r="BK121" s="214">
        <f>AJ121*'Data &amp; Assumptions'!$D$92</f>
        <v>28.084749440680387</v>
      </c>
      <c r="BL121" s="214">
        <f>AK121*'Data &amp; Assumptions'!$D$92</f>
        <v>-33.718145546890185</v>
      </c>
    </row>
    <row r="122" spans="8:64" ht="12.75">
      <c r="H122" t="s">
        <v>288</v>
      </c>
      <c r="L122" s="182" t="s">
        <v>64</v>
      </c>
      <c r="M122" s="63"/>
      <c r="Q122" s="68">
        <f>Q119*$D$102</f>
        <v>13.293985298242681</v>
      </c>
      <c r="R122" s="209">
        <f>Q121*(1-'Data &amp; Assumptions'!$D$114)</f>
        <v>24.726812654731386</v>
      </c>
      <c r="S122" s="68">
        <f>R121*(1-'Data &amp; Assumptions'!$D$114)</f>
        <v>22.99593576890019</v>
      </c>
      <c r="T122" s="68">
        <f>S121*(1-'Data &amp; Assumptions'!$D$114)</f>
        <v>11.713554782283294</v>
      </c>
      <c r="U122" s="209">
        <f>T121*(1-'Data &amp; Assumptions'!$D$114)</f>
        <v>59.19638949616919</v>
      </c>
      <c r="V122" s="68">
        <f>U121*(1-'Data &amp; Assumptions'!$D$114)</f>
        <v>284.94347721268514</v>
      </c>
      <c r="W122" s="68">
        <f>V121*(1-'Data &amp; Assumptions'!$D$114)</f>
        <v>43.09434273186473</v>
      </c>
      <c r="X122" s="68">
        <f>W121*(1-'Data &amp; Assumptions'!$D$114)</f>
        <v>44.02962847076586</v>
      </c>
      <c r="Y122" s="68">
        <f>X121*(1-'Data &amp; Assumptions'!$D$114)</f>
        <v>80.8896837259142</v>
      </c>
      <c r="Z122" s="68">
        <f>Y121*(1-'Data &amp; Assumptions'!$D$114)</f>
        <v>-102.05712518390575</v>
      </c>
      <c r="AA122" s="68">
        <f>Z121*(1-'Data &amp; Assumptions'!$D$114)</f>
        <v>32.846557481693196</v>
      </c>
      <c r="AB122" s="68">
        <f>AA121*(1-'Data &amp; Assumptions'!$D$114)</f>
        <v>33.5116149644377</v>
      </c>
      <c r="AC122" s="68">
        <f>AB121*(1-'Data &amp; Assumptions'!$D$114)</f>
        <v>61.052230147791384</v>
      </c>
      <c r="AD122" s="68">
        <f>AC121*(1-'Data &amp; Assumptions'!$D$114)</f>
        <v>-75.83227082913851</v>
      </c>
      <c r="AE122" s="68">
        <f>AD121*(1-'Data &amp; Assumptions'!$D$114)</f>
        <v>25.053672732396535</v>
      </c>
      <c r="AF122" s="68">
        <f>AE121*(1-'Data &amp; Assumptions'!$D$114)</f>
        <v>25.52378934111811</v>
      </c>
      <c r="AG122" s="68">
        <f>AF121*(1-'Data &amp; Assumptions'!$D$114)</f>
        <v>46.09977395672629</v>
      </c>
      <c r="AH122" s="68">
        <f>AG121*(1-'Data &amp; Assumptions'!$D$114)</f>
        <v>-56.321315105721446</v>
      </c>
      <c r="AI122" s="68">
        <f>AH121*(1-'Data &amp; Assumptions'!$D$114)</f>
        <v>19.12363665501515</v>
      </c>
      <c r="AJ122" s="68">
        <f>AI121*(1-'Data &amp; Assumptions'!$D$114)</f>
        <v>19.45363071594638</v>
      </c>
      <c r="AK122" s="68">
        <f>AJ121*(1-'Data &amp; Assumptions'!$D$114)</f>
        <v>34.82508930644368</v>
      </c>
      <c r="AL122" s="68"/>
      <c r="AR122" s="68">
        <f>AR119*$D$102</f>
        <v>13.293985298242681</v>
      </c>
      <c r="AS122" s="68">
        <f>AR121*(1-'Data &amp; Assumptions'!$D$114)</f>
        <v>24.726812654731386</v>
      </c>
      <c r="AT122" s="214">
        <f>S122*'Data &amp; Assumptions'!$D$92</f>
        <v>17.246951826675144</v>
      </c>
      <c r="AU122" s="214">
        <f>T122*'Data &amp; Assumptions'!$D$92</f>
        <v>8.78516608671247</v>
      </c>
      <c r="AV122" s="255">
        <f>U122*'Data &amp; Assumptions'!$D$92</f>
        <v>44.39729212212689</v>
      </c>
      <c r="AW122" s="214">
        <f>V122*'Data &amp; Assumptions'!$D$92</f>
        <v>213.70760790951385</v>
      </c>
      <c r="AX122" s="214">
        <f>W122*'Data &amp; Assumptions'!$D$92</f>
        <v>32.32075704889854</v>
      </c>
      <c r="AY122" s="214">
        <f>X122*'Data &amp; Assumptions'!$D$92</f>
        <v>33.02222135307439</v>
      </c>
      <c r="AZ122" s="214">
        <f>Y122*'Data &amp; Assumptions'!$D$92</f>
        <v>60.66726279443564</v>
      </c>
      <c r="BA122" s="214">
        <f>Z122*'Data &amp; Assumptions'!$D$92</f>
        <v>-76.54284388792931</v>
      </c>
      <c r="BB122" s="214">
        <f>AA122*'Data &amp; Assumptions'!$D$92</f>
        <v>24.634918111269897</v>
      </c>
      <c r="BC122" s="214">
        <f>AB122*'Data &amp; Assumptions'!$D$92</f>
        <v>25.133711223328273</v>
      </c>
      <c r="BD122" s="214">
        <f>AC122*'Data &amp; Assumptions'!$D$92</f>
        <v>45.789172610843536</v>
      </c>
      <c r="BE122" s="214">
        <f>AD122*'Data &amp; Assumptions'!$D$92</f>
        <v>-56.87420312185388</v>
      </c>
      <c r="BF122" s="214">
        <f>AE122*'Data &amp; Assumptions'!$D$92</f>
        <v>18.7902545492974</v>
      </c>
      <c r="BG122" s="214">
        <f>AF122*'Data &amp; Assumptions'!$D$92</f>
        <v>19.14284200583858</v>
      </c>
      <c r="BH122" s="214">
        <f>AG122*'Data &amp; Assumptions'!$D$92</f>
        <v>34.574830467544714</v>
      </c>
      <c r="BI122" s="214">
        <f>AH122*'Data &amp; Assumptions'!$D$92</f>
        <v>-42.24098632929108</v>
      </c>
      <c r="BJ122" s="214">
        <f>AI122*'Data &amp; Assumptions'!$D$92</f>
        <v>14.342727491261364</v>
      </c>
      <c r="BK122" s="214">
        <f>AJ122*'Data &amp; Assumptions'!$D$92</f>
        <v>14.590223036959786</v>
      </c>
      <c r="BL122" s="214">
        <f>AK122*'Data &amp; Assumptions'!$D$92</f>
        <v>26.118816979832758</v>
      </c>
    </row>
    <row r="123" spans="8:64" ht="12.75">
      <c r="H123" t="s">
        <v>289</v>
      </c>
      <c r="L123" s="182" t="s">
        <v>64</v>
      </c>
      <c r="M123" s="63"/>
      <c r="Q123" s="68">
        <f>Q119*$D$103</f>
        <v>0</v>
      </c>
      <c r="R123" s="209">
        <f>Q122*(1-'Data &amp; Assumptions'!$D$114)</f>
        <v>12.363406327365693</v>
      </c>
      <c r="S123" s="68">
        <f>R122*(1-'Data &amp; Assumptions'!$D$114)</f>
        <v>22.99593576890019</v>
      </c>
      <c r="T123" s="68">
        <f>S122*(1-'Data &amp; Assumptions'!$D$114)</f>
        <v>21.386220265077174</v>
      </c>
      <c r="U123" s="209">
        <f>T122*(1-'Data &amp; Assumptions'!$D$114)</f>
        <v>10.893605947523463</v>
      </c>
      <c r="V123" s="68">
        <f>U122*(1-'Data &amp; Assumptions'!$D$114)</f>
        <v>55.05264223143734</v>
      </c>
      <c r="W123" s="68">
        <f>V122*(1-'Data &amp; Assumptions'!$D$114)</f>
        <v>264.99743380779717</v>
      </c>
      <c r="X123" s="68">
        <f>W122*(1-'Data &amp; Assumptions'!$D$114)</f>
        <v>40.077738740634196</v>
      </c>
      <c r="Y123" s="68">
        <f>X122*(1-'Data &amp; Assumptions'!$D$114)</f>
        <v>40.94755447781225</v>
      </c>
      <c r="Z123" s="68">
        <f>Y122*(1-'Data &amp; Assumptions'!$D$114)</f>
        <v>75.2274058651002</v>
      </c>
      <c r="AA123" s="68">
        <f>Z122*(1-'Data &amp; Assumptions'!$D$114)</f>
        <v>-94.91312642103235</v>
      </c>
      <c r="AB123" s="68">
        <f>AA122*(1-'Data &amp; Assumptions'!$D$114)</f>
        <v>30.54729845797467</v>
      </c>
      <c r="AC123" s="68">
        <f>AB122*(1-'Data &amp; Assumptions'!$D$114)</f>
        <v>31.165801916927055</v>
      </c>
      <c r="AD123" s="68">
        <f>AC122*(1-'Data &amp; Assumptions'!$D$114)</f>
        <v>56.778574037445985</v>
      </c>
      <c r="AE123" s="68">
        <f>AD122*(1-'Data &amp; Assumptions'!$D$114)</f>
        <v>-70.5240118710988</v>
      </c>
      <c r="AF123" s="68">
        <f>AE122*(1-'Data &amp; Assumptions'!$D$114)</f>
        <v>23.299915641128777</v>
      </c>
      <c r="AG123" s="68">
        <f>AF122*(1-'Data &amp; Assumptions'!$D$114)</f>
        <v>23.73712408723984</v>
      </c>
      <c r="AH123" s="68">
        <f>AG122*(1-'Data &amp; Assumptions'!$D$114)</f>
        <v>42.87278977975544</v>
      </c>
      <c r="AI123" s="68">
        <f>AH122*(1-'Data &amp; Assumptions'!$D$114)</f>
        <v>-52.37882304832094</v>
      </c>
      <c r="AJ123" s="68">
        <f>AI122*(1-'Data &amp; Assumptions'!$D$114)</f>
        <v>17.78498208916409</v>
      </c>
      <c r="AK123" s="68">
        <f>AJ122*(1-'Data &amp; Assumptions'!$D$114)</f>
        <v>18.091876565830134</v>
      </c>
      <c r="AL123" s="68"/>
      <c r="AR123" s="68">
        <f>AR119*$D$103</f>
        <v>0</v>
      </c>
      <c r="AS123" s="68">
        <f>AR122*(1-'Data &amp; Assumptions'!$D$114)</f>
        <v>12.363406327365693</v>
      </c>
      <c r="AT123" s="214">
        <f>S123*'Data &amp; Assumptions'!$D$92</f>
        <v>17.246951826675144</v>
      </c>
      <c r="AU123" s="214">
        <f>T123*'Data &amp; Assumptions'!$D$92</f>
        <v>16.03966519880788</v>
      </c>
      <c r="AV123" s="255">
        <f>U123*'Data &amp; Assumptions'!$D$92</f>
        <v>8.170204460642598</v>
      </c>
      <c r="AW123" s="214">
        <f>V123*'Data &amp; Assumptions'!$D$92</f>
        <v>41.289481673578</v>
      </c>
      <c r="AX123" s="214">
        <f>W123*'Data &amp; Assumptions'!$D$92</f>
        <v>198.74807535584787</v>
      </c>
      <c r="AY123" s="214">
        <f>X123*'Data &amp; Assumptions'!$D$92</f>
        <v>30.058304055475645</v>
      </c>
      <c r="AZ123" s="214">
        <f>Y123*'Data &amp; Assumptions'!$D$92</f>
        <v>30.710665858359185</v>
      </c>
      <c r="BA123" s="214">
        <f>Z123*'Data &amp; Assumptions'!$D$92</f>
        <v>56.420554398825146</v>
      </c>
      <c r="BB123" s="214">
        <f>AA123*'Data &amp; Assumptions'!$D$92</f>
        <v>-71.18484481577426</v>
      </c>
      <c r="BC123" s="214">
        <f>AB123*'Data &amp; Assumptions'!$D$92</f>
        <v>22.910473843481</v>
      </c>
      <c r="BD123" s="214">
        <f>AC123*'Data &amp; Assumptions'!$D$92</f>
        <v>23.374351437695292</v>
      </c>
      <c r="BE123" s="214">
        <f>AD123*'Data &amp; Assumptions'!$D$92</f>
        <v>42.58393052808449</v>
      </c>
      <c r="BF123" s="214">
        <f>AE123*'Data &amp; Assumptions'!$D$92</f>
        <v>-52.8930089033241</v>
      </c>
      <c r="BG123" s="214">
        <f>AF123*'Data &amp; Assumptions'!$D$92</f>
        <v>17.474936730846583</v>
      </c>
      <c r="BH123" s="214">
        <f>AG123*'Data &amp; Assumptions'!$D$92</f>
        <v>17.802843065429883</v>
      </c>
      <c r="BI123" s="214">
        <f>AH123*'Data &amp; Assumptions'!$D$92</f>
        <v>32.154592334816584</v>
      </c>
      <c r="BJ123" s="214">
        <f>AI123*'Data &amp; Assumptions'!$D$92</f>
        <v>-39.2841172862407</v>
      </c>
      <c r="BK123" s="214">
        <f>AJ123*'Data &amp; Assumptions'!$D$92</f>
        <v>13.338736566873067</v>
      </c>
      <c r="BL123" s="214">
        <f>AK123*'Data &amp; Assumptions'!$D$92</f>
        <v>13.5689074243726</v>
      </c>
    </row>
    <row r="124" spans="7:73" s="1" customFormat="1" ht="12.75">
      <c r="G124" s="122" t="s">
        <v>295</v>
      </c>
      <c r="L124" s="182" t="s">
        <v>64</v>
      </c>
      <c r="M124" s="124"/>
      <c r="Q124" s="125">
        <f aca="true" t="shared" si="113" ref="Q124:AK124">(Q64-P64)*Q97</f>
        <v>9.504922914346867</v>
      </c>
      <c r="R124" s="244">
        <f t="shared" si="113"/>
        <v>10.776206354140754</v>
      </c>
      <c r="S124" s="125">
        <f t="shared" si="113"/>
        <v>18.164780974250196</v>
      </c>
      <c r="T124" s="125">
        <f t="shared" si="113"/>
        <v>60.94544412611893</v>
      </c>
      <c r="U124" s="244">
        <f t="shared" si="113"/>
        <v>60.96007581556456</v>
      </c>
      <c r="V124" s="125">
        <f t="shared" si="113"/>
        <v>62.52368833209919</v>
      </c>
      <c r="W124" s="125">
        <f t="shared" si="113"/>
        <v>64.19946346736776</v>
      </c>
      <c r="X124" s="125">
        <f t="shared" si="113"/>
        <v>7.59118642986258</v>
      </c>
      <c r="Y124" s="125">
        <f t="shared" si="113"/>
        <v>7.160614335560812</v>
      </c>
      <c r="Z124" s="125">
        <f t="shared" si="113"/>
        <v>6.754464290447839</v>
      </c>
      <c r="AA124" s="125">
        <f t="shared" si="113"/>
        <v>6.371351075893592</v>
      </c>
      <c r="AB124" s="125">
        <f t="shared" si="113"/>
        <v>6.009968042868898</v>
      </c>
      <c r="AC124" s="125">
        <f t="shared" si="113"/>
        <v>5.669082655477437</v>
      </c>
      <c r="AD124" s="125">
        <f t="shared" si="113"/>
        <v>5.347532287258687</v>
      </c>
      <c r="AE124" s="125">
        <f t="shared" si="113"/>
        <v>5.044220255925418</v>
      </c>
      <c r="AF124" s="125">
        <f t="shared" si="113"/>
        <v>4.758112083009311</v>
      </c>
      <c r="AG124" s="125">
        <f t="shared" si="113"/>
        <v>4.488231965660998</v>
      </c>
      <c r="AH124" s="125">
        <f t="shared" si="113"/>
        <v>4.2336594485687264</v>
      </c>
      <c r="AI124" s="125">
        <f t="shared" si="113"/>
        <v>3.993526284645904</v>
      </c>
      <c r="AJ124" s="125">
        <f t="shared" si="113"/>
        <v>3.767013473780715</v>
      </c>
      <c r="AK124" s="125">
        <f t="shared" si="113"/>
        <v>3.5533484695479847</v>
      </c>
      <c r="AL124" s="125"/>
      <c r="AM124" s="207"/>
      <c r="AR124" s="125">
        <f>(AR64-AQ64)*AR97</f>
        <v>9.504922914346867</v>
      </c>
      <c r="AS124" s="125">
        <f>(AS64-AR64)*AS97</f>
        <v>10.237396036433717</v>
      </c>
      <c r="AT124" s="125">
        <f>S124*'Data &amp; Assumptions'!$D$92</f>
        <v>13.623585730687648</v>
      </c>
      <c r="AU124" s="125">
        <f>T124*'Data &amp; Assumptions'!$D$92</f>
        <v>45.7090830945892</v>
      </c>
      <c r="AV124" s="244">
        <f>U124*'Data &amp; Assumptions'!$D$92</f>
        <v>45.72005686167342</v>
      </c>
      <c r="AW124" s="125">
        <f>V124*'Data &amp; Assumptions'!$D$92</f>
        <v>46.89276624907439</v>
      </c>
      <c r="AX124" s="125">
        <f>W124*'Data &amp; Assumptions'!$D$92</f>
        <v>48.14959760052582</v>
      </c>
      <c r="AY124" s="125">
        <f>X124*'Data &amp; Assumptions'!$D$92</f>
        <v>5.693389822396934</v>
      </c>
      <c r="AZ124" s="125">
        <f>Y124*'Data &amp; Assumptions'!$D$92</f>
        <v>5.370460751670609</v>
      </c>
      <c r="BA124" s="125">
        <f>Z124*'Data &amp; Assumptions'!$D$92</f>
        <v>5.065848217835879</v>
      </c>
      <c r="BB124" s="125">
        <f>AA124*'Data &amp; Assumptions'!$D$92</f>
        <v>4.7785133069201935</v>
      </c>
      <c r="BC124" s="125">
        <f>AB124*'Data &amp; Assumptions'!$D$92</f>
        <v>4.507476032151674</v>
      </c>
      <c r="BD124" s="125">
        <f>AC124*'Data &amp; Assumptions'!$D$92</f>
        <v>4.251811991608077</v>
      </c>
      <c r="BE124" s="125">
        <f>AD124*'Data &amp; Assumptions'!$D$92</f>
        <v>4.010649215444015</v>
      </c>
      <c r="BF124" s="125">
        <f>AE124*'Data &amp; Assumptions'!$D$92</f>
        <v>3.7831651919440636</v>
      </c>
      <c r="BG124" s="125">
        <f>AF124*'Data &amp; Assumptions'!$D$92</f>
        <v>3.568584062256983</v>
      </c>
      <c r="BH124" s="125">
        <f>AG124*'Data &amp; Assumptions'!$D$92</f>
        <v>3.366173974245749</v>
      </c>
      <c r="BI124" s="125">
        <f>AH124*'Data &amp; Assumptions'!$D$92</f>
        <v>3.175244586426545</v>
      </c>
      <c r="BJ124" s="125">
        <f>AI124*'Data &amp; Assumptions'!$D$92</f>
        <v>2.995144713484428</v>
      </c>
      <c r="BK124" s="125">
        <f>AJ124*'Data &amp; Assumptions'!$D$92</f>
        <v>2.8252601053355364</v>
      </c>
      <c r="BL124" s="125">
        <f>AK124*'Data &amp; Assumptions'!$D$92</f>
        <v>2.6650113521609886</v>
      </c>
      <c r="BN124" s="207"/>
      <c r="BU124" s="233"/>
    </row>
    <row r="125" spans="8:64" ht="12.75">
      <c r="H125" t="s">
        <v>286</v>
      </c>
      <c r="L125" s="182" t="s">
        <v>64</v>
      </c>
      <c r="M125" s="63"/>
      <c r="Q125" s="68">
        <f>Q124*$D$100</f>
        <v>3.801969165738747</v>
      </c>
      <c r="R125" s="209">
        <f>R124-R126-R127-R128</f>
        <v>1.936628043798168</v>
      </c>
      <c r="S125" s="68">
        <f aca="true" t="shared" si="114" ref="S125:AK125">S124-S126-S127-S128</f>
        <v>9.787070630623017</v>
      </c>
      <c r="T125" s="68">
        <f t="shared" si="114"/>
        <v>47.11033833231237</v>
      </c>
      <c r="U125" s="209">
        <f t="shared" si="114"/>
        <v>7.1248834546628546</v>
      </c>
      <c r="V125" s="68">
        <f t="shared" si="114"/>
        <v>7.2795163244097445</v>
      </c>
      <c r="W125" s="68">
        <f t="shared" si="114"/>
        <v>13.373671175765033</v>
      </c>
      <c r="X125" s="68">
        <f t="shared" si="114"/>
        <v>-16.873331313523135</v>
      </c>
      <c r="Y125" s="68">
        <f t="shared" si="114"/>
        <v>5.430594345064903</v>
      </c>
      <c r="Z125" s="68">
        <f t="shared" si="114"/>
        <v>5.540549776678803</v>
      </c>
      <c r="AA125" s="68">
        <f t="shared" si="114"/>
        <v>10.093900889887195</v>
      </c>
      <c r="AB125" s="68">
        <f t="shared" si="114"/>
        <v>-12.537517862189059</v>
      </c>
      <c r="AC125" s="68">
        <f t="shared" si="114"/>
        <v>4.1421793909297975</v>
      </c>
      <c r="AD125" s="68">
        <f t="shared" si="114"/>
        <v>4.219904814614299</v>
      </c>
      <c r="AE125" s="68">
        <f t="shared" si="114"/>
        <v>7.621778078195743</v>
      </c>
      <c r="AF125" s="68">
        <f t="shared" si="114"/>
        <v>-9.311728192222755</v>
      </c>
      <c r="AG125" s="68">
        <f t="shared" si="114"/>
        <v>3.1617533476279496</v>
      </c>
      <c r="AH125" s="68">
        <f t="shared" si="114"/>
        <v>3.216311999084901</v>
      </c>
      <c r="AI125" s="68">
        <f t="shared" si="114"/>
        <v>5.757709408645249</v>
      </c>
      <c r="AJ125" s="68">
        <f t="shared" si="114"/>
        <v>-6.912622961705873</v>
      </c>
      <c r="AK125" s="68">
        <f t="shared" si="114"/>
        <v>2.415181885749237</v>
      </c>
      <c r="AL125" s="68"/>
      <c r="AR125" s="68">
        <f>AR124*$D$100</f>
        <v>3.801969165738747</v>
      </c>
      <c r="AS125" s="68">
        <f>AS124-AS126-AS127-AS128</f>
        <v>1.3978177260911306</v>
      </c>
      <c r="AT125" s="214">
        <f>S125*'Data &amp; Assumptions'!$D$92</f>
        <v>7.340302972967263</v>
      </c>
      <c r="AU125" s="214">
        <f>T125*'Data &amp; Assumptions'!$D$92</f>
        <v>35.33275374923427</v>
      </c>
      <c r="AV125" s="255">
        <f>U125*'Data &amp; Assumptions'!$D$92</f>
        <v>5.343662590997141</v>
      </c>
      <c r="AW125" s="214">
        <f>V125*'Data &amp; Assumptions'!$D$92</f>
        <v>5.459637243307308</v>
      </c>
      <c r="AX125" s="214">
        <f>W125*'Data &amp; Assumptions'!$D$92</f>
        <v>10.030253381823774</v>
      </c>
      <c r="AY125" s="214">
        <f>X125*'Data &amp; Assumptions'!$D$92</f>
        <v>-12.65499848514235</v>
      </c>
      <c r="AZ125" s="214">
        <f>Y125*'Data &amp; Assumptions'!$D$92</f>
        <v>4.072945758798677</v>
      </c>
      <c r="BA125" s="214">
        <f>Z125*'Data &amp; Assumptions'!$D$92</f>
        <v>4.155412332509103</v>
      </c>
      <c r="BB125" s="214">
        <f>AA125*'Data &amp; Assumptions'!$D$92</f>
        <v>7.570425667415396</v>
      </c>
      <c r="BC125" s="214">
        <f>AB125*'Data &amp; Assumptions'!$D$92</f>
        <v>-9.403138396641793</v>
      </c>
      <c r="BD125" s="214">
        <f>AC125*'Data &amp; Assumptions'!$D$92</f>
        <v>3.106634543197348</v>
      </c>
      <c r="BE125" s="214">
        <f>AD125*'Data &amp; Assumptions'!$D$92</f>
        <v>3.1649286109607244</v>
      </c>
      <c r="BF125" s="214">
        <f>AE125*'Data &amp; Assumptions'!$D$92</f>
        <v>5.716333558646808</v>
      </c>
      <c r="BG125" s="214">
        <f>AF125*'Data &amp; Assumptions'!$D$92</f>
        <v>-6.983796144167067</v>
      </c>
      <c r="BH125" s="214">
        <f>AG125*'Data &amp; Assumptions'!$D$92</f>
        <v>2.371315010720962</v>
      </c>
      <c r="BI125" s="214">
        <f>AH125*'Data &amp; Assumptions'!$D$92</f>
        <v>2.412233999313676</v>
      </c>
      <c r="BJ125" s="214">
        <f>AI125*'Data &amp; Assumptions'!$D$92</f>
        <v>4.3182820564839375</v>
      </c>
      <c r="BK125" s="214">
        <f>AJ125*'Data &amp; Assumptions'!$D$92</f>
        <v>-5.184467221279405</v>
      </c>
      <c r="BL125" s="214">
        <f>AK125*'Data &amp; Assumptions'!$D$92</f>
        <v>1.8113864143119278</v>
      </c>
    </row>
    <row r="126" spans="8:64" ht="12.75">
      <c r="H126" t="s">
        <v>287</v>
      </c>
      <c r="L126" s="182" t="s">
        <v>64</v>
      </c>
      <c r="M126" s="63"/>
      <c r="Q126" s="68">
        <f>Q124*$D$101</f>
        <v>3.801969165738747</v>
      </c>
      <c r="R126" s="209">
        <f>Q125*(1-'Data &amp; Assumptions'!$D$114)</f>
        <v>3.5358313241370345</v>
      </c>
      <c r="S126" s="68">
        <f>R125*(1-'Data &amp; Assumptions'!$D$114)</f>
        <v>1.8010640807322962</v>
      </c>
      <c r="T126" s="68">
        <f>S125*(1-'Data &amp; Assumptions'!$D$114)</f>
        <v>9.101975686479404</v>
      </c>
      <c r="U126" s="209">
        <f>T125*(1-'Data &amp; Assumptions'!$D$114)</f>
        <v>43.812614649050495</v>
      </c>
      <c r="V126" s="68">
        <f>U125*(1-'Data &amp; Assumptions'!$D$114)</f>
        <v>6.626141612836454</v>
      </c>
      <c r="W126" s="68">
        <f>V125*(1-'Data &amp; Assumptions'!$D$114)</f>
        <v>6.769950181701062</v>
      </c>
      <c r="X126" s="68">
        <f>W125*(1-'Data &amp; Assumptions'!$D$114)</f>
        <v>12.43751419346148</v>
      </c>
      <c r="Y126" s="68">
        <f>X125*(1-'Data &amp; Assumptions'!$D$114)</f>
        <v>-15.692198121576514</v>
      </c>
      <c r="Z126" s="68">
        <f>Y125*(1-'Data &amp; Assumptions'!$D$114)</f>
        <v>5.05045274091036</v>
      </c>
      <c r="AA126" s="68">
        <f>Z125*(1-'Data &amp; Assumptions'!$D$114)</f>
        <v>5.152711292311287</v>
      </c>
      <c r="AB126" s="68">
        <f>AA125*(1-'Data &amp; Assumptions'!$D$114)</f>
        <v>9.38732782759509</v>
      </c>
      <c r="AC126" s="68">
        <f>AB125*(1-'Data &amp; Assumptions'!$D$114)</f>
        <v>-11.659891611835825</v>
      </c>
      <c r="AD126" s="68">
        <f>AC125*(1-'Data &amp; Assumptions'!$D$114)</f>
        <v>3.8522268335647114</v>
      </c>
      <c r="AE126" s="68">
        <f>AD125*(1-'Data &amp; Assumptions'!$D$114)</f>
        <v>3.924511477591298</v>
      </c>
      <c r="AF126" s="68">
        <f>AE125*(1-'Data &amp; Assumptions'!$D$114)</f>
        <v>7.088253612722041</v>
      </c>
      <c r="AG126" s="68">
        <f>AF125*(1-'Data &amp; Assumptions'!$D$114)</f>
        <v>-8.659907218767161</v>
      </c>
      <c r="AH126" s="68">
        <f>AG125*(1-'Data &amp; Assumptions'!$D$114)</f>
        <v>2.940430613293993</v>
      </c>
      <c r="AI126" s="68">
        <f>AH125*(1-'Data &amp; Assumptions'!$D$114)</f>
        <v>2.991170159148958</v>
      </c>
      <c r="AJ126" s="68">
        <f>AI125*(1-'Data &amp; Assumptions'!$D$114)</f>
        <v>5.354669750040082</v>
      </c>
      <c r="AK126" s="68">
        <f>AJ125*(1-'Data &amp; Assumptions'!$D$114)</f>
        <v>-6.428739354386462</v>
      </c>
      <c r="AL126" s="68"/>
      <c r="AR126" s="68">
        <f>AR124*$D$101</f>
        <v>3.801969165738747</v>
      </c>
      <c r="AS126" s="68">
        <f>AR125*(1-'Data &amp; Assumptions'!$D$114)</f>
        <v>3.5358313241370345</v>
      </c>
      <c r="AT126" s="214">
        <f>S126*'Data &amp; Assumptions'!$D$92</f>
        <v>1.3507980605492222</v>
      </c>
      <c r="AU126" s="214">
        <f>T126*'Data &amp; Assumptions'!$D$92</f>
        <v>6.826481764859553</v>
      </c>
      <c r="AV126" s="255">
        <f>U126*'Data &amp; Assumptions'!$D$92</f>
        <v>32.85946098678787</v>
      </c>
      <c r="AW126" s="214">
        <f>V126*'Data &amp; Assumptions'!$D$92</f>
        <v>4.96960620962734</v>
      </c>
      <c r="AX126" s="214">
        <f>W126*'Data &amp; Assumptions'!$D$92</f>
        <v>5.077462636275796</v>
      </c>
      <c r="AY126" s="214">
        <f>X126*'Data &amp; Assumptions'!$D$92</f>
        <v>9.32813564509611</v>
      </c>
      <c r="AZ126" s="214">
        <f>Y126*'Data &amp; Assumptions'!$D$92</f>
        <v>-11.769148591182386</v>
      </c>
      <c r="BA126" s="214">
        <f>Z126*'Data &amp; Assumptions'!$D$92</f>
        <v>3.78783955568277</v>
      </c>
      <c r="BB126" s="214">
        <f>AA126*'Data &amp; Assumptions'!$D$92</f>
        <v>3.864533469233465</v>
      </c>
      <c r="BC126" s="214">
        <f>AB126*'Data &amp; Assumptions'!$D$92</f>
        <v>7.040495870696318</v>
      </c>
      <c r="BD126" s="214">
        <f>AC126*'Data &amp; Assumptions'!$D$92</f>
        <v>-8.744918708876869</v>
      </c>
      <c r="BE126" s="214">
        <f>AD126*'Data &amp; Assumptions'!$D$92</f>
        <v>2.8891701251735338</v>
      </c>
      <c r="BF126" s="214">
        <f>AE126*'Data &amp; Assumptions'!$D$92</f>
        <v>2.9433836081934732</v>
      </c>
      <c r="BG126" s="214">
        <f>AF126*'Data &amp; Assumptions'!$D$92</f>
        <v>5.3161902095415305</v>
      </c>
      <c r="BH126" s="214">
        <f>AG126*'Data &amp; Assumptions'!$D$92</f>
        <v>-6.494930414075371</v>
      </c>
      <c r="BI126" s="214">
        <f>AH126*'Data &amp; Assumptions'!$D$92</f>
        <v>2.205322959970495</v>
      </c>
      <c r="BJ126" s="214">
        <f>AI126*'Data &amp; Assumptions'!$D$92</f>
        <v>2.2433776193617185</v>
      </c>
      <c r="BK126" s="214">
        <f>AJ126*'Data &amp; Assumptions'!$D$92</f>
        <v>4.016002312530062</v>
      </c>
      <c r="BL126" s="214">
        <f>AK126*'Data &amp; Assumptions'!$D$92</f>
        <v>-4.821554515789846</v>
      </c>
    </row>
    <row r="127" spans="8:64" ht="12.75">
      <c r="H127" t="s">
        <v>288</v>
      </c>
      <c r="L127" s="182" t="s">
        <v>64</v>
      </c>
      <c r="M127" s="63"/>
      <c r="Q127" s="68">
        <f>Q124*$D$102</f>
        <v>1.9009845828693734</v>
      </c>
      <c r="R127" s="209">
        <f>Q126*(1-'Data &amp; Assumptions'!$D$114)</f>
        <v>3.5358313241370345</v>
      </c>
      <c r="S127" s="68">
        <f>R126*(1-'Data &amp; Assumptions'!$D$114)</f>
        <v>3.288323131447442</v>
      </c>
      <c r="T127" s="68">
        <f>S126*(1-'Data &amp; Assumptions'!$D$114)</f>
        <v>1.6749895950810354</v>
      </c>
      <c r="U127" s="209">
        <f>T126*(1-'Data &amp; Assumptions'!$D$114)</f>
        <v>8.464837388425845</v>
      </c>
      <c r="V127" s="68">
        <f>U126*(1-'Data &amp; Assumptions'!$D$114)</f>
        <v>40.745731623616955</v>
      </c>
      <c r="W127" s="68">
        <f>V126*(1-'Data &amp; Assumptions'!$D$114)</f>
        <v>6.162311699937902</v>
      </c>
      <c r="X127" s="68">
        <f>W126*(1-'Data &amp; Assumptions'!$D$114)</f>
        <v>6.296053668981987</v>
      </c>
      <c r="Y127" s="68">
        <f>X126*(1-'Data &amp; Assumptions'!$D$114)</f>
        <v>11.566888199919175</v>
      </c>
      <c r="Z127" s="68">
        <f>Y126*(1-'Data &amp; Assumptions'!$D$114)</f>
        <v>-14.593744253066157</v>
      </c>
      <c r="AA127" s="68">
        <f>Z126*(1-'Data &amp; Assumptions'!$D$114)</f>
        <v>4.696921049046634</v>
      </c>
      <c r="AB127" s="68">
        <f>AA126*(1-'Data &amp; Assumptions'!$D$114)</f>
        <v>4.792021501849497</v>
      </c>
      <c r="AC127" s="68">
        <f>AB126*(1-'Data &amp; Assumptions'!$D$114)</f>
        <v>8.730214879663434</v>
      </c>
      <c r="AD127" s="68">
        <f>AC126*(1-'Data &amp; Assumptions'!$D$114)</f>
        <v>-10.843699199007316</v>
      </c>
      <c r="AE127" s="68">
        <f>AD126*(1-'Data &amp; Assumptions'!$D$114)</f>
        <v>3.582570955215181</v>
      </c>
      <c r="AF127" s="68">
        <f>AE126*(1-'Data &amp; Assumptions'!$D$114)</f>
        <v>3.6497956741599067</v>
      </c>
      <c r="AG127" s="68">
        <f>AF126*(1-'Data &amp; Assumptions'!$D$114)</f>
        <v>6.592075859831498</v>
      </c>
      <c r="AH127" s="68">
        <f>AG126*(1-'Data &amp; Assumptions'!$D$114)</f>
        <v>-8.05371371345346</v>
      </c>
      <c r="AI127" s="68">
        <f>AH126*(1-'Data &amp; Assumptions'!$D$114)</f>
        <v>2.7346004703634135</v>
      </c>
      <c r="AJ127" s="68">
        <f>AI126*(1-'Data &amp; Assumptions'!$D$114)</f>
        <v>2.7817882480085308</v>
      </c>
      <c r="AK127" s="68">
        <f>AJ126*(1-'Data &amp; Assumptions'!$D$114)</f>
        <v>4.9798428675372755</v>
      </c>
      <c r="AL127" s="68"/>
      <c r="AR127" s="68">
        <f>AR124*$D$102</f>
        <v>1.9009845828693734</v>
      </c>
      <c r="AS127" s="68">
        <f>AR126*(1-'Data &amp; Assumptions'!$D$114)</f>
        <v>3.5358313241370345</v>
      </c>
      <c r="AT127" s="214">
        <f>S127*'Data &amp; Assumptions'!$D$92</f>
        <v>2.4662423485855816</v>
      </c>
      <c r="AU127" s="214">
        <f>T127*'Data &amp; Assumptions'!$D$92</f>
        <v>1.2562421963107766</v>
      </c>
      <c r="AV127" s="255">
        <f>U127*'Data &amp; Assumptions'!$D$92</f>
        <v>6.348628041319384</v>
      </c>
      <c r="AW127" s="214">
        <f>V127*'Data &amp; Assumptions'!$D$92</f>
        <v>30.559298717712714</v>
      </c>
      <c r="AX127" s="214">
        <f>W127*'Data &amp; Assumptions'!$D$92</f>
        <v>4.621733774953427</v>
      </c>
      <c r="AY127" s="214">
        <f>X127*'Data &amp; Assumptions'!$D$92</f>
        <v>4.72204025173649</v>
      </c>
      <c r="AZ127" s="214">
        <f>Y127*'Data &amp; Assumptions'!$D$92</f>
        <v>8.67516614993938</v>
      </c>
      <c r="BA127" s="214">
        <f>Z127*'Data &amp; Assumptions'!$D$92</f>
        <v>-10.945308189799619</v>
      </c>
      <c r="BB127" s="214">
        <f>AA127*'Data &amp; Assumptions'!$D$92</f>
        <v>3.5226907867849757</v>
      </c>
      <c r="BC127" s="214">
        <f>AB127*'Data &amp; Assumptions'!$D$92</f>
        <v>3.594016126387123</v>
      </c>
      <c r="BD127" s="214">
        <f>AC127*'Data &amp; Assumptions'!$D$92</f>
        <v>6.547661159747575</v>
      </c>
      <c r="BE127" s="214">
        <f>AD127*'Data &amp; Assumptions'!$D$92</f>
        <v>-8.132774399255487</v>
      </c>
      <c r="BF127" s="214">
        <f>AE127*'Data &amp; Assumptions'!$D$92</f>
        <v>2.6869282164113857</v>
      </c>
      <c r="BG127" s="214">
        <f>AF127*'Data &amp; Assumptions'!$D$92</f>
        <v>2.73734675561993</v>
      </c>
      <c r="BH127" s="214">
        <f>AG127*'Data &amp; Assumptions'!$D$92</f>
        <v>4.944056894873624</v>
      </c>
      <c r="BI127" s="214">
        <f>AH127*'Data &amp; Assumptions'!$D$92</f>
        <v>-6.0402852850900945</v>
      </c>
      <c r="BJ127" s="214">
        <f>AI127*'Data &amp; Assumptions'!$D$92</f>
        <v>2.05095035277256</v>
      </c>
      <c r="BK127" s="214">
        <f>AJ127*'Data &amp; Assumptions'!$D$92</f>
        <v>2.086341186006398</v>
      </c>
      <c r="BL127" s="214">
        <f>AK127*'Data &amp; Assumptions'!$D$92</f>
        <v>3.7348821506529566</v>
      </c>
    </row>
    <row r="128" spans="7:64" ht="12.75">
      <c r="G128" s="67"/>
      <c r="H128" t="s">
        <v>289</v>
      </c>
      <c r="L128" s="182" t="s">
        <v>64</v>
      </c>
      <c r="M128" s="63"/>
      <c r="Q128" s="68">
        <f>Q124*$D$103</f>
        <v>0</v>
      </c>
      <c r="R128" s="209">
        <f>Q127*(1-'Data &amp; Assumptions'!$D$114)</f>
        <v>1.7679156620685172</v>
      </c>
      <c r="S128" s="68">
        <f>R127*(1-'Data &amp; Assumptions'!$D$114)</f>
        <v>3.288323131447442</v>
      </c>
      <c r="T128" s="68">
        <f>S127*(1-'Data &amp; Assumptions'!$D$114)</f>
        <v>3.058140512246121</v>
      </c>
      <c r="U128" s="209">
        <f>T127*(1-'Data &amp; Assumptions'!$D$114)</f>
        <v>1.5577403234253628</v>
      </c>
      <c r="V128" s="68">
        <f>U127*(1-'Data &amp; Assumptions'!$D$114)</f>
        <v>7.872298771236036</v>
      </c>
      <c r="W128" s="68">
        <f>V127*(1-'Data &amp; Assumptions'!$D$114)</f>
        <v>37.893530409963766</v>
      </c>
      <c r="X128" s="68">
        <f>W127*(1-'Data &amp; Assumptions'!$D$114)</f>
        <v>5.730949880942249</v>
      </c>
      <c r="Y128" s="68">
        <f>X127*(1-'Data &amp; Assumptions'!$D$114)</f>
        <v>5.855329912153247</v>
      </c>
      <c r="Z128" s="68">
        <f>Y127*(1-'Data &amp; Assumptions'!$D$114)</f>
        <v>10.757206025924832</v>
      </c>
      <c r="AA128" s="68">
        <f>Z127*(1-'Data &amp; Assumptions'!$D$114)</f>
        <v>-13.572182155351525</v>
      </c>
      <c r="AB128" s="68">
        <f>AA127*(1-'Data &amp; Assumptions'!$D$114)</f>
        <v>4.368136575613369</v>
      </c>
      <c r="AC128" s="68">
        <f>AB127*(1-'Data &amp; Assumptions'!$D$114)</f>
        <v>4.456579996720032</v>
      </c>
      <c r="AD128" s="68">
        <f>AC127*(1-'Data &amp; Assumptions'!$D$114)</f>
        <v>8.119099838086992</v>
      </c>
      <c r="AE128" s="68">
        <f>AD127*(1-'Data &amp; Assumptions'!$D$114)</f>
        <v>-10.084640255076804</v>
      </c>
      <c r="AF128" s="68">
        <f>AE127*(1-'Data &amp; Assumptions'!$D$114)</f>
        <v>3.3317909883501184</v>
      </c>
      <c r="AG128" s="68">
        <f>AF127*(1-'Data &amp; Assumptions'!$D$114)</f>
        <v>3.394309976968713</v>
      </c>
      <c r="AH128" s="68">
        <f>AG127*(1-'Data &amp; Assumptions'!$D$114)</f>
        <v>6.130630549643293</v>
      </c>
      <c r="AI128" s="68">
        <f>AH127*(1-'Data &amp; Assumptions'!$D$114)</f>
        <v>-7.489953753511717</v>
      </c>
      <c r="AJ128" s="68">
        <f>AI127*(1-'Data &amp; Assumptions'!$D$114)</f>
        <v>2.5431784374379744</v>
      </c>
      <c r="AK128" s="68">
        <f>AJ127*(1-'Data &amp; Assumptions'!$D$114)</f>
        <v>2.5870630706479334</v>
      </c>
      <c r="AL128" s="68"/>
      <c r="AR128" s="68">
        <f>AR124*$D$103</f>
        <v>0</v>
      </c>
      <c r="AS128" s="68">
        <f>AR127*(1-'Data &amp; Assumptions'!$D$114)</f>
        <v>1.7679156620685172</v>
      </c>
      <c r="AT128" s="214">
        <f>S128*'Data &amp; Assumptions'!$D$92</f>
        <v>2.4662423485855816</v>
      </c>
      <c r="AU128" s="214">
        <f>T128*'Data &amp; Assumptions'!$D$92</f>
        <v>2.2936053841845907</v>
      </c>
      <c r="AV128" s="255">
        <f>U128*'Data &amp; Assumptions'!$D$92</f>
        <v>1.1683052425690221</v>
      </c>
      <c r="AW128" s="214">
        <f>V128*'Data &amp; Assumptions'!$D$92</f>
        <v>5.904224078427027</v>
      </c>
      <c r="AX128" s="214">
        <f>W128*'Data &amp; Assumptions'!$D$92</f>
        <v>28.420147807472823</v>
      </c>
      <c r="AY128" s="214">
        <f>X128*'Data &amp; Assumptions'!$D$92</f>
        <v>4.298212410706687</v>
      </c>
      <c r="AZ128" s="214">
        <f>Y128*'Data &amp; Assumptions'!$D$92</f>
        <v>4.391497434114935</v>
      </c>
      <c r="BA128" s="214">
        <f>Z128*'Data &amp; Assumptions'!$D$92</f>
        <v>8.067904519443625</v>
      </c>
      <c r="BB128" s="214">
        <f>AA128*'Data &amp; Assumptions'!$D$92</f>
        <v>-10.179136616513643</v>
      </c>
      <c r="BC128" s="214">
        <f>AB128*'Data &amp; Assumptions'!$D$92</f>
        <v>3.2761024317100267</v>
      </c>
      <c r="BD128" s="214">
        <f>AC128*'Data &amp; Assumptions'!$D$92</f>
        <v>3.3424349975400243</v>
      </c>
      <c r="BE128" s="214">
        <f>AD128*'Data &amp; Assumptions'!$D$92</f>
        <v>6.089324878565244</v>
      </c>
      <c r="BF128" s="214">
        <f>AE128*'Data &amp; Assumptions'!$D$92</f>
        <v>-7.563480191307603</v>
      </c>
      <c r="BG128" s="214">
        <f>AF128*'Data &amp; Assumptions'!$D$92</f>
        <v>2.498843241262589</v>
      </c>
      <c r="BH128" s="214">
        <f>AG128*'Data &amp; Assumptions'!$D$92</f>
        <v>2.5457324827265344</v>
      </c>
      <c r="BI128" s="214">
        <f>AH128*'Data &amp; Assumptions'!$D$92</f>
        <v>4.5979729122324695</v>
      </c>
      <c r="BJ128" s="214">
        <f>AI128*'Data &amp; Assumptions'!$D$92</f>
        <v>-5.617465315133788</v>
      </c>
      <c r="BK128" s="214">
        <f>AJ128*'Data &amp; Assumptions'!$D$92</f>
        <v>1.9073838280784807</v>
      </c>
      <c r="BL128" s="214">
        <f>AK128*'Data &amp; Assumptions'!$D$92</f>
        <v>1.94029730298595</v>
      </c>
    </row>
    <row r="129" spans="7:73" s="1" customFormat="1" ht="12.75">
      <c r="G129" s="122" t="s">
        <v>296</v>
      </c>
      <c r="L129" s="182" t="s">
        <v>64</v>
      </c>
      <c r="M129" s="124"/>
      <c r="Q129" s="125">
        <f aca="true" t="shared" si="115" ref="Q129:AK129">(Q65-P65)*Q97</f>
        <v>70.48946712230473</v>
      </c>
      <c r="R129" s="244">
        <f t="shared" si="115"/>
        <v>79.91743334991281</v>
      </c>
      <c r="S129" s="125">
        <f t="shared" si="115"/>
        <v>134.7118480398806</v>
      </c>
      <c r="T129" s="125">
        <f t="shared" si="115"/>
        <v>451.97756138535937</v>
      </c>
      <c r="U129" s="244">
        <f t="shared" si="115"/>
        <v>452.08607147022946</v>
      </c>
      <c r="V129" s="125">
        <f t="shared" si="115"/>
        <v>463.6819796190406</v>
      </c>
      <c r="W129" s="125">
        <f t="shared" si="115"/>
        <v>476.10969706255435</v>
      </c>
      <c r="X129" s="125">
        <f t="shared" si="115"/>
        <v>56.29700430914575</v>
      </c>
      <c r="Y129" s="125">
        <f t="shared" si="115"/>
        <v>53.10383822473124</v>
      </c>
      <c r="Z129" s="125">
        <f t="shared" si="115"/>
        <v>50.09178852062491</v>
      </c>
      <c r="AA129" s="125">
        <f t="shared" si="115"/>
        <v>47.250582275734395</v>
      </c>
      <c r="AB129" s="125">
        <f t="shared" si="115"/>
        <v>44.57052924905508</v>
      </c>
      <c r="AC129" s="125">
        <f t="shared" si="115"/>
        <v>42.042488830048924</v>
      </c>
      <c r="AD129" s="125">
        <f t="shared" si="115"/>
        <v>39.65783886360774</v>
      </c>
      <c r="AE129" s="125">
        <f t="shared" si="115"/>
        <v>37.40844624326497</v>
      </c>
      <c r="AF129" s="125">
        <f t="shared" si="115"/>
        <v>35.28663917234644</v>
      </c>
      <c r="AG129" s="125">
        <f t="shared" si="115"/>
        <v>33.28518099849097</v>
      </c>
      <c r="AH129" s="125">
        <f t="shared" si="115"/>
        <v>31.39724553225583</v>
      </c>
      <c r="AI129" s="125">
        <f t="shared" si="115"/>
        <v>29.61639376566709</v>
      </c>
      <c r="AJ129" s="125">
        <f t="shared" si="115"/>
        <v>27.93655191127814</v>
      </c>
      <c r="AK129" s="125">
        <f t="shared" si="115"/>
        <v>26.35199068687102</v>
      </c>
      <c r="AL129" s="125"/>
      <c r="AM129" s="207"/>
      <c r="AR129" s="125">
        <f>(AR65-AQ65)*AR97</f>
        <v>70.48946712230473</v>
      </c>
      <c r="AS129" s="125">
        <f>(AS65-AR65)*AS97</f>
        <v>75.92156168241716</v>
      </c>
      <c r="AT129" s="125">
        <f>S129*'Data &amp; Assumptions'!$D$92</f>
        <v>101.03388602991046</v>
      </c>
      <c r="AU129" s="125">
        <f>T129*'Data &amp; Assumptions'!$D$92</f>
        <v>338.9831710390195</v>
      </c>
      <c r="AV129" s="244">
        <f>U129*'Data &amp; Assumptions'!$D$92</f>
        <v>339.0645536026721</v>
      </c>
      <c r="AW129" s="125">
        <f>V129*'Data &amp; Assumptions'!$D$92</f>
        <v>347.7614847142804</v>
      </c>
      <c r="AX129" s="125">
        <f>W129*'Data &amp; Assumptions'!$D$92</f>
        <v>357.08227279691573</v>
      </c>
      <c r="AY129" s="125">
        <f>X129*'Data &amp; Assumptions'!$D$92</f>
        <v>42.222753231859315</v>
      </c>
      <c r="AZ129" s="125">
        <f>Y129*'Data &amp; Assumptions'!$D$92</f>
        <v>39.82787866854843</v>
      </c>
      <c r="BA129" s="125">
        <f>Z129*'Data &amp; Assumptions'!$D$92</f>
        <v>37.568841390468684</v>
      </c>
      <c r="BB129" s="125">
        <f>AA129*'Data &amp; Assumptions'!$D$92</f>
        <v>35.4379367068008</v>
      </c>
      <c r="BC129" s="125">
        <f>AB129*'Data &amp; Assumptions'!$D$92</f>
        <v>33.427896936791306</v>
      </c>
      <c r="BD129" s="125">
        <f>AC129*'Data &amp; Assumptions'!$D$92</f>
        <v>31.531866622536693</v>
      </c>
      <c r="BE129" s="125">
        <f>AD129*'Data &amp; Assumptions'!$D$92</f>
        <v>29.74337914770581</v>
      </c>
      <c r="BF129" s="125">
        <f>AE129*'Data &amp; Assumptions'!$D$92</f>
        <v>28.05633468244873</v>
      </c>
      <c r="BG129" s="125">
        <f>AF129*'Data &amp; Assumptions'!$D$92</f>
        <v>26.46497937925983</v>
      </c>
      <c r="BH129" s="125">
        <f>AG129*'Data &amp; Assumptions'!$D$92</f>
        <v>24.96388574886823</v>
      </c>
      <c r="BI129" s="125">
        <f>AH129*'Data &amp; Assumptions'!$D$92</f>
        <v>23.547934149191875</v>
      </c>
      <c r="BJ129" s="125">
        <f>AI129*'Data &amp; Assumptions'!$D$92</f>
        <v>22.21229532425032</v>
      </c>
      <c r="BK129" s="125">
        <f>AJ129*'Data &amp; Assumptions'!$D$92</f>
        <v>20.952413933458605</v>
      </c>
      <c r="BL129" s="125">
        <f>AK129*'Data &amp; Assumptions'!$D$92</f>
        <v>19.763993015153265</v>
      </c>
      <c r="BN129" s="207"/>
      <c r="BU129" s="233"/>
    </row>
    <row r="130" spans="8:64" ht="12.75">
      <c r="H130" t="s">
        <v>286</v>
      </c>
      <c r="L130" s="182" t="s">
        <v>64</v>
      </c>
      <c r="M130" s="63"/>
      <c r="Q130" s="68">
        <f>Q129*$D$100</f>
        <v>28.195786848921895</v>
      </c>
      <c r="R130" s="209">
        <f>R129-R131-R132-R133</f>
        <v>14.362228926169406</v>
      </c>
      <c r="S130" s="68">
        <f aca="true" t="shared" si="116" ref="S130:AK130">S129-S131-S132-S133</f>
        <v>72.58190304727799</v>
      </c>
      <c r="T130" s="68">
        <f t="shared" si="116"/>
        <v>349.3750212307087</v>
      </c>
      <c r="U130" s="209">
        <f t="shared" si="116"/>
        <v>52.83885440771285</v>
      </c>
      <c r="V130" s="68">
        <f t="shared" si="116"/>
        <v>53.98562736802842</v>
      </c>
      <c r="W130" s="68">
        <f t="shared" si="116"/>
        <v>99.18049448098805</v>
      </c>
      <c r="X130" s="68">
        <f t="shared" si="116"/>
        <v>-125.13432708360558</v>
      </c>
      <c r="Y130" s="68">
        <f t="shared" si="116"/>
        <v>40.27383546301265</v>
      </c>
      <c r="Z130" s="68">
        <f t="shared" si="116"/>
        <v>41.0892760353895</v>
      </c>
      <c r="AA130" s="68">
        <f t="shared" si="116"/>
        <v>74.85738720085023</v>
      </c>
      <c r="AB130" s="68">
        <f t="shared" si="116"/>
        <v>-92.97949716226647</v>
      </c>
      <c r="AC130" s="68">
        <f t="shared" si="116"/>
        <v>30.718820196943597</v>
      </c>
      <c r="AD130" s="68">
        <f t="shared" si="116"/>
        <v>31.295239779380182</v>
      </c>
      <c r="AE130" s="68">
        <f t="shared" si="116"/>
        <v>56.523875059054035</v>
      </c>
      <c r="AF130" s="68">
        <f t="shared" si="116"/>
        <v>-69.05671557491269</v>
      </c>
      <c r="AG130" s="68">
        <f t="shared" si="116"/>
        <v>23.44788176136104</v>
      </c>
      <c r="AH130" s="68">
        <f t="shared" si="116"/>
        <v>23.852494224056528</v>
      </c>
      <c r="AI130" s="68">
        <f t="shared" si="116"/>
        <v>42.69975377158339</v>
      </c>
      <c r="AJ130" s="68">
        <f t="shared" si="116"/>
        <v>-51.26470918060397</v>
      </c>
      <c r="AK130" s="68">
        <f t="shared" si="116"/>
        <v>17.911232491210807</v>
      </c>
      <c r="AL130" s="68"/>
      <c r="AR130" s="68">
        <f>AR129*$D$100</f>
        <v>28.195786848921895</v>
      </c>
      <c r="AS130" s="68">
        <f>AS129-AS131-AS132-AS133</f>
        <v>10.366357258673757</v>
      </c>
      <c r="AT130" s="214">
        <f>S130*'Data &amp; Assumptions'!$D$92</f>
        <v>54.43642728545849</v>
      </c>
      <c r="AU130" s="214">
        <f>T130*'Data &amp; Assumptions'!$D$92</f>
        <v>262.0312659230315</v>
      </c>
      <c r="AV130" s="255">
        <f>U130*'Data &amp; Assumptions'!$D$92</f>
        <v>39.62914080578464</v>
      </c>
      <c r="AW130" s="214">
        <f>V130*'Data &amp; Assumptions'!$D$92</f>
        <v>40.48922052602131</v>
      </c>
      <c r="AX130" s="214">
        <f>W130*'Data &amp; Assumptions'!$D$92</f>
        <v>74.38537086074103</v>
      </c>
      <c r="AY130" s="214">
        <f>X130*'Data &amp; Assumptions'!$D$92</f>
        <v>-93.85074531270419</v>
      </c>
      <c r="AZ130" s="214">
        <f>Y130*'Data &amp; Assumptions'!$D$92</f>
        <v>30.205376597259487</v>
      </c>
      <c r="BA130" s="214">
        <f>Z130*'Data &amp; Assumptions'!$D$92</f>
        <v>30.816957026542127</v>
      </c>
      <c r="BB130" s="214">
        <f>AA130*'Data &amp; Assumptions'!$D$92</f>
        <v>56.14304040063767</v>
      </c>
      <c r="BC130" s="214">
        <f>AB130*'Data &amp; Assumptions'!$D$92</f>
        <v>-69.73462287169986</v>
      </c>
      <c r="BD130" s="214">
        <f>AC130*'Data &amp; Assumptions'!$D$92</f>
        <v>23.039115147707697</v>
      </c>
      <c r="BE130" s="214">
        <f>AD130*'Data &amp; Assumptions'!$D$92</f>
        <v>23.471429834535137</v>
      </c>
      <c r="BF130" s="214">
        <f>AE130*'Data &amp; Assumptions'!$D$92</f>
        <v>42.392906294290526</v>
      </c>
      <c r="BG130" s="214">
        <f>AF130*'Data &amp; Assumptions'!$D$92</f>
        <v>-51.792536681184515</v>
      </c>
      <c r="BH130" s="214">
        <f>AG130*'Data &amp; Assumptions'!$D$92</f>
        <v>17.58591132102078</v>
      </c>
      <c r="BI130" s="214">
        <f>AH130*'Data &amp; Assumptions'!$D$92</f>
        <v>17.889370668042396</v>
      </c>
      <c r="BJ130" s="214">
        <f>AI130*'Data &amp; Assumptions'!$D$92</f>
        <v>32.02481532868754</v>
      </c>
      <c r="BK130" s="214">
        <f>AJ130*'Data &amp; Assumptions'!$D$92</f>
        <v>-38.44853188545298</v>
      </c>
      <c r="BL130" s="214">
        <f>AK130*'Data &amp; Assumptions'!$D$92</f>
        <v>13.433424368408104</v>
      </c>
    </row>
    <row r="131" spans="8:64" ht="12.75">
      <c r="H131" t="s">
        <v>287</v>
      </c>
      <c r="L131" s="182" t="s">
        <v>64</v>
      </c>
      <c r="M131" s="63"/>
      <c r="Q131" s="68">
        <f>Q129*$D$101</f>
        <v>28.195786848921895</v>
      </c>
      <c r="R131" s="209">
        <f>Q130*(1-'Data &amp; Assumptions'!$D$114)</f>
        <v>26.22208176949736</v>
      </c>
      <c r="S131" s="68">
        <f>R130*(1-'Data &amp; Assumptions'!$D$114)</f>
        <v>13.356872901337546</v>
      </c>
      <c r="T131" s="68">
        <f>S130*(1-'Data &amp; Assumptions'!$D$114)</f>
        <v>67.50116983396853</v>
      </c>
      <c r="U131" s="209">
        <f>T130*(1-'Data &amp; Assumptions'!$D$114)</f>
        <v>324.91876974455903</v>
      </c>
      <c r="V131" s="68">
        <f>U130*(1-'Data &amp; Assumptions'!$D$114)</f>
        <v>49.140134599172946</v>
      </c>
      <c r="W131" s="68">
        <f>V130*(1-'Data &amp; Assumptions'!$D$114)</f>
        <v>50.20663345226642</v>
      </c>
      <c r="X131" s="68">
        <f>W130*(1-'Data &amp; Assumptions'!$D$114)</f>
        <v>92.23785986731887</v>
      </c>
      <c r="Y131" s="68">
        <f>X130*(1-'Data &amp; Assumptions'!$D$114)</f>
        <v>-116.37492418775318</v>
      </c>
      <c r="Z131" s="68">
        <f>Y130*(1-'Data &amp; Assumptions'!$D$114)</f>
        <v>37.454666980601765</v>
      </c>
      <c r="AA131" s="68">
        <f>Z130*(1-'Data &amp; Assumptions'!$D$114)</f>
        <v>38.21302671291223</v>
      </c>
      <c r="AB131" s="68">
        <f>AA130*(1-'Data &amp; Assumptions'!$D$114)</f>
        <v>69.61737009679071</v>
      </c>
      <c r="AC131" s="68">
        <f>AB130*(1-'Data &amp; Assumptions'!$D$114)</f>
        <v>-86.47093236090781</v>
      </c>
      <c r="AD131" s="68">
        <f>AC130*(1-'Data &amp; Assumptions'!$D$114)</f>
        <v>28.568502783157545</v>
      </c>
      <c r="AE131" s="68">
        <f>AD130*(1-'Data &amp; Assumptions'!$D$114)</f>
        <v>29.104572994823567</v>
      </c>
      <c r="AF131" s="68">
        <f>AE130*(1-'Data &amp; Assumptions'!$D$114)</f>
        <v>52.56720380492025</v>
      </c>
      <c r="AG131" s="68">
        <f>AF130*(1-'Data &amp; Assumptions'!$D$114)</f>
        <v>-64.22274548466879</v>
      </c>
      <c r="AH131" s="68">
        <f>AG130*(1-'Data &amp; Assumptions'!$D$114)</f>
        <v>21.806530038065766</v>
      </c>
      <c r="AI131" s="68">
        <f>AH130*(1-'Data &amp; Assumptions'!$D$114)</f>
        <v>22.18281962837257</v>
      </c>
      <c r="AJ131" s="68">
        <f>AI130*(1-'Data &amp; Assumptions'!$D$114)</f>
        <v>39.710771007572546</v>
      </c>
      <c r="AK131" s="68">
        <f>AJ130*(1-'Data &amp; Assumptions'!$D$114)</f>
        <v>-47.676179537961694</v>
      </c>
      <c r="AL131" s="68"/>
      <c r="AR131" s="68">
        <f>AR129*$D$101</f>
        <v>28.195786848921895</v>
      </c>
      <c r="AS131" s="68">
        <f>AR130*(1-'Data &amp; Assumptions'!$D$114)</f>
        <v>26.22208176949736</v>
      </c>
      <c r="AT131" s="214">
        <f>S131*'Data &amp; Assumptions'!$D$92</f>
        <v>10.01765467600316</v>
      </c>
      <c r="AU131" s="214">
        <f>T131*'Data &amp; Assumptions'!$D$92</f>
        <v>50.6258773754764</v>
      </c>
      <c r="AV131" s="255">
        <f>U131*'Data &amp; Assumptions'!$D$92</f>
        <v>243.68907730841926</v>
      </c>
      <c r="AW131" s="214">
        <f>V131*'Data &amp; Assumptions'!$D$92</f>
        <v>36.85510094937971</v>
      </c>
      <c r="AX131" s="214">
        <f>W131*'Data &amp; Assumptions'!$D$92</f>
        <v>37.654975089199816</v>
      </c>
      <c r="AY131" s="214">
        <f>X131*'Data &amp; Assumptions'!$D$92</f>
        <v>69.17839490048915</v>
      </c>
      <c r="AZ131" s="214">
        <f>Y131*'Data &amp; Assumptions'!$D$92</f>
        <v>-87.28119314081488</v>
      </c>
      <c r="BA131" s="214">
        <f>Z131*'Data &amp; Assumptions'!$D$92</f>
        <v>28.091000235451325</v>
      </c>
      <c r="BB131" s="214">
        <f>AA131*'Data &amp; Assumptions'!$D$92</f>
        <v>28.659770034684172</v>
      </c>
      <c r="BC131" s="214">
        <f>AB131*'Data &amp; Assumptions'!$D$92</f>
        <v>52.213027572593035</v>
      </c>
      <c r="BD131" s="214">
        <f>AC131*'Data &amp; Assumptions'!$D$92</f>
        <v>-64.85319927068086</v>
      </c>
      <c r="BE131" s="214">
        <f>AD131*'Data &amp; Assumptions'!$D$92</f>
        <v>21.42637708736816</v>
      </c>
      <c r="BF131" s="214">
        <f>AE131*'Data &amp; Assumptions'!$D$92</f>
        <v>21.828429746117674</v>
      </c>
      <c r="BG131" s="214">
        <f>AF131*'Data &amp; Assumptions'!$D$92</f>
        <v>39.42540285369019</v>
      </c>
      <c r="BH131" s="214">
        <f>AG131*'Data &amp; Assumptions'!$D$92</f>
        <v>-48.167059113501594</v>
      </c>
      <c r="BI131" s="214">
        <f>AH131*'Data &amp; Assumptions'!$D$92</f>
        <v>16.354897528549323</v>
      </c>
      <c r="BJ131" s="214">
        <f>AI131*'Data &amp; Assumptions'!$D$92</f>
        <v>16.637114721279428</v>
      </c>
      <c r="BK131" s="214">
        <f>AJ131*'Data &amp; Assumptions'!$D$92</f>
        <v>29.78307825567941</v>
      </c>
      <c r="BL131" s="214">
        <f>AK131*'Data &amp; Assumptions'!$D$92</f>
        <v>-35.75713465347127</v>
      </c>
    </row>
    <row r="132" spans="7:64" ht="12.75">
      <c r="G132" s="67"/>
      <c r="H132" t="s">
        <v>288</v>
      </c>
      <c r="L132" s="182" t="s">
        <v>64</v>
      </c>
      <c r="M132" s="63"/>
      <c r="Q132" s="68">
        <f>Q129*$D$102</f>
        <v>14.097893424460947</v>
      </c>
      <c r="R132" s="209">
        <f>Q131*(1-'Data &amp; Assumptions'!$D$114)</f>
        <v>26.22208176949736</v>
      </c>
      <c r="S132" s="68">
        <f>R131*(1-'Data &amp; Assumptions'!$D$114)</f>
        <v>24.386536045632543</v>
      </c>
      <c r="T132" s="68">
        <f>S131*(1-'Data &amp; Assumptions'!$D$114)</f>
        <v>12.421891798243918</v>
      </c>
      <c r="U132" s="209">
        <f>T131*(1-'Data &amp; Assumptions'!$D$114)</f>
        <v>62.77608794559073</v>
      </c>
      <c r="V132" s="68">
        <f>U131*(1-'Data &amp; Assumptions'!$D$114)</f>
        <v>302.17445586243986</v>
      </c>
      <c r="W132" s="68">
        <f>V131*(1-'Data &amp; Assumptions'!$D$114)</f>
        <v>45.70032517723084</v>
      </c>
      <c r="X132" s="68">
        <f>W131*(1-'Data &amp; Assumptions'!$D$114)</f>
        <v>46.69216911060777</v>
      </c>
      <c r="Y132" s="68">
        <f>X131*(1-'Data &amp; Assumptions'!$D$114)</f>
        <v>85.78120967660655</v>
      </c>
      <c r="Z132" s="68">
        <f>Y131*(1-'Data &amp; Assumptions'!$D$114)</f>
        <v>-108.22867949461045</v>
      </c>
      <c r="AA132" s="68">
        <f>Z131*(1-'Data &amp; Assumptions'!$D$114)</f>
        <v>34.83284029195964</v>
      </c>
      <c r="AB132" s="68">
        <f>AA131*(1-'Data &amp; Assumptions'!$D$114)</f>
        <v>35.53811484300837</v>
      </c>
      <c r="AC132" s="68">
        <f>AB131*(1-'Data &amp; Assumptions'!$D$114)</f>
        <v>64.74415419001535</v>
      </c>
      <c r="AD132" s="68">
        <f>AC131*(1-'Data &amp; Assumptions'!$D$114)</f>
        <v>-80.41796709564426</v>
      </c>
      <c r="AE132" s="68">
        <f>AD131*(1-'Data &amp; Assumptions'!$D$114)</f>
        <v>26.568707588336515</v>
      </c>
      <c r="AF132" s="68">
        <f>AE131*(1-'Data &amp; Assumptions'!$D$114)</f>
        <v>27.067252885185916</v>
      </c>
      <c r="AG132" s="68">
        <f>AF131*(1-'Data &amp; Assumptions'!$D$114)</f>
        <v>48.887499538575824</v>
      </c>
      <c r="AH132" s="68">
        <f>AG131*(1-'Data &amp; Assumptions'!$D$114)</f>
        <v>-59.727153300741975</v>
      </c>
      <c r="AI132" s="68">
        <f>AH131*(1-'Data &amp; Assumptions'!$D$114)</f>
        <v>20.28007293540116</v>
      </c>
      <c r="AJ132" s="68">
        <f>AI131*(1-'Data &amp; Assumptions'!$D$114)</f>
        <v>20.63002225438649</v>
      </c>
      <c r="AK132" s="68">
        <f>AJ131*(1-'Data &amp; Assumptions'!$D$114)</f>
        <v>36.931017037042466</v>
      </c>
      <c r="AL132" s="68"/>
      <c r="AR132" s="68">
        <f>AR129*$D$102</f>
        <v>14.097893424460947</v>
      </c>
      <c r="AS132" s="68">
        <f>AR131*(1-'Data &amp; Assumptions'!$D$114)</f>
        <v>26.22208176949736</v>
      </c>
      <c r="AT132" s="214">
        <f>S132*'Data &amp; Assumptions'!$D$92</f>
        <v>18.289902034224408</v>
      </c>
      <c r="AU132" s="214">
        <f>T132*'Data &amp; Assumptions'!$D$92</f>
        <v>9.316418848682938</v>
      </c>
      <c r="AV132" s="255">
        <f>U132*'Data &amp; Assumptions'!$D$92</f>
        <v>47.082065959193045</v>
      </c>
      <c r="AW132" s="214">
        <f>V132*'Data &amp; Assumptions'!$D$92</f>
        <v>226.6308418968299</v>
      </c>
      <c r="AX132" s="214">
        <f>W132*'Data &amp; Assumptions'!$D$92</f>
        <v>34.27524388292313</v>
      </c>
      <c r="AY132" s="214">
        <f>X132*'Data &amp; Assumptions'!$D$92</f>
        <v>35.01912683295583</v>
      </c>
      <c r="AZ132" s="214">
        <f>Y132*'Data &amp; Assumptions'!$D$92</f>
        <v>64.33590725745492</v>
      </c>
      <c r="BA132" s="214">
        <f>Z132*'Data &amp; Assumptions'!$D$92</f>
        <v>-81.17150962095783</v>
      </c>
      <c r="BB132" s="214">
        <f>AA132*'Data &amp; Assumptions'!$D$92</f>
        <v>26.12463021896973</v>
      </c>
      <c r="BC132" s="214">
        <f>AB132*'Data &amp; Assumptions'!$D$92</f>
        <v>26.65358613225628</v>
      </c>
      <c r="BD132" s="214">
        <f>AC132*'Data &amp; Assumptions'!$D$92</f>
        <v>48.55811564251151</v>
      </c>
      <c r="BE132" s="214">
        <f>AD132*'Data &amp; Assumptions'!$D$92</f>
        <v>-60.31347532173319</v>
      </c>
      <c r="BF132" s="214">
        <f>AE132*'Data &amp; Assumptions'!$D$92</f>
        <v>19.92653069125239</v>
      </c>
      <c r="BG132" s="214">
        <f>AF132*'Data &amp; Assumptions'!$D$92</f>
        <v>20.300439663889435</v>
      </c>
      <c r="BH132" s="214">
        <f>AG132*'Data &amp; Assumptions'!$D$92</f>
        <v>36.66562465393187</v>
      </c>
      <c r="BI132" s="214">
        <f>AH132*'Data &amp; Assumptions'!$D$92</f>
        <v>-44.79536497555648</v>
      </c>
      <c r="BJ132" s="214">
        <f>AI132*'Data &amp; Assumptions'!$D$92</f>
        <v>15.21005470155087</v>
      </c>
      <c r="BK132" s="214">
        <f>AJ132*'Data &amp; Assumptions'!$D$92</f>
        <v>15.472516690789867</v>
      </c>
      <c r="BL132" s="214">
        <f>AK132*'Data &amp; Assumptions'!$D$92</f>
        <v>27.69826277778185</v>
      </c>
    </row>
    <row r="133" spans="7:64" ht="12.75">
      <c r="G133" s="67"/>
      <c r="H133" t="s">
        <v>289</v>
      </c>
      <c r="L133" s="182" t="s">
        <v>64</v>
      </c>
      <c r="M133" s="63"/>
      <c r="Q133" s="68">
        <f>Q129*$D$103</f>
        <v>0</v>
      </c>
      <c r="R133" s="209">
        <f>Q132*(1-'Data &amp; Assumptions'!$D$114)</f>
        <v>13.11104088474868</v>
      </c>
      <c r="S133" s="68">
        <f>R132*(1-'Data &amp; Assumptions'!$D$114)</f>
        <v>24.386536045632543</v>
      </c>
      <c r="T133" s="68">
        <f>S132*(1-'Data &amp; Assumptions'!$D$114)</f>
        <v>22.679478522438263</v>
      </c>
      <c r="U133" s="209">
        <f>T132*(1-'Data &amp; Assumptions'!$D$114)</f>
        <v>11.552359372366842</v>
      </c>
      <c r="V133" s="68">
        <f>U132*(1-'Data &amp; Assumptions'!$D$114)</f>
        <v>58.38176178939938</v>
      </c>
      <c r="W133" s="68">
        <f>V132*(1-'Data &amp; Assumptions'!$D$114)</f>
        <v>281.02224395206906</v>
      </c>
      <c r="X133" s="68">
        <f>W132*(1-'Data &amp; Assumptions'!$D$114)</f>
        <v>42.50130241482468</v>
      </c>
      <c r="Y133" s="68">
        <f>X132*(1-'Data &amp; Assumptions'!$D$114)</f>
        <v>43.423717272865225</v>
      </c>
      <c r="Z133" s="68">
        <f>Y132*(1-'Data &amp; Assumptions'!$D$114)</f>
        <v>79.77652499924409</v>
      </c>
      <c r="AA133" s="68">
        <f>Z132*(1-'Data &amp; Assumptions'!$D$114)</f>
        <v>-100.6526719299877</v>
      </c>
      <c r="AB133" s="68">
        <f>AA132*(1-'Data &amp; Assumptions'!$D$114)</f>
        <v>32.394541471522466</v>
      </c>
      <c r="AC133" s="68">
        <f>AB132*(1-'Data &amp; Assumptions'!$D$114)</f>
        <v>33.05044680399779</v>
      </c>
      <c r="AD133" s="68">
        <f>AC132*(1-'Data &amp; Assumptions'!$D$114)</f>
        <v>60.21206339671427</v>
      </c>
      <c r="AE133" s="68">
        <f>AD132*(1-'Data &amp; Assumptions'!$D$114)</f>
        <v>-74.78870939894915</v>
      </c>
      <c r="AF133" s="68">
        <f>AE132*(1-'Data &amp; Assumptions'!$D$114)</f>
        <v>24.708898057152958</v>
      </c>
      <c r="AG133" s="68">
        <f>AF132*(1-'Data &amp; Assumptions'!$D$114)</f>
        <v>25.1725451832229</v>
      </c>
      <c r="AH133" s="68">
        <f>AG132*(1-'Data &amp; Assumptions'!$D$114)</f>
        <v>45.46537457087551</v>
      </c>
      <c r="AI133" s="68">
        <f>AH132*(1-'Data &amp; Assumptions'!$D$114)</f>
        <v>-55.54625256969003</v>
      </c>
      <c r="AJ133" s="68">
        <f>AI132*(1-'Data &amp; Assumptions'!$D$114)</f>
        <v>18.860467829923078</v>
      </c>
      <c r="AK133" s="68">
        <f>AJ132*(1-'Data &amp; Assumptions'!$D$114)</f>
        <v>19.185920696579434</v>
      </c>
      <c r="AL133" s="68"/>
      <c r="AR133" s="68">
        <f>AR129*$D$103</f>
        <v>0</v>
      </c>
      <c r="AS133" s="68">
        <f>AR132*(1-'Data &amp; Assumptions'!$D$114)</f>
        <v>13.11104088474868</v>
      </c>
      <c r="AT133" s="214">
        <f>S133*'Data &amp; Assumptions'!$D$92</f>
        <v>18.289902034224408</v>
      </c>
      <c r="AU133" s="214">
        <f>T133*'Data &amp; Assumptions'!$D$92</f>
        <v>17.009608891828698</v>
      </c>
      <c r="AV133" s="255">
        <f>U133*'Data &amp; Assumptions'!$D$92</f>
        <v>8.664269529275131</v>
      </c>
      <c r="AW133" s="214">
        <f>V133*'Data &amp; Assumptions'!$D$92</f>
        <v>43.78632134204953</v>
      </c>
      <c r="AX133" s="214">
        <f>W133*'Data &amp; Assumptions'!$D$92</f>
        <v>210.7666829640518</v>
      </c>
      <c r="AY133" s="214">
        <f>X133*'Data &amp; Assumptions'!$D$92</f>
        <v>31.87597681111851</v>
      </c>
      <c r="AZ133" s="214">
        <f>Y133*'Data &amp; Assumptions'!$D$92</f>
        <v>32.56778795464892</v>
      </c>
      <c r="BA133" s="214">
        <f>Z133*'Data &amp; Assumptions'!$D$92</f>
        <v>59.832393749433066</v>
      </c>
      <c r="BB133" s="214">
        <f>AA133*'Data &amp; Assumptions'!$D$92</f>
        <v>-75.48950394749077</v>
      </c>
      <c r="BC133" s="214">
        <f>AB133*'Data &amp; Assumptions'!$D$92</f>
        <v>24.295906103641848</v>
      </c>
      <c r="BD133" s="214">
        <f>AC133*'Data &amp; Assumptions'!$D$92</f>
        <v>24.78783510299834</v>
      </c>
      <c r="BE133" s="214">
        <f>AD133*'Data &amp; Assumptions'!$D$92</f>
        <v>45.15904754753571</v>
      </c>
      <c r="BF133" s="214">
        <f>AE133*'Data &amp; Assumptions'!$D$92</f>
        <v>-56.091532049211864</v>
      </c>
      <c r="BG133" s="214">
        <f>AF133*'Data &amp; Assumptions'!$D$92</f>
        <v>18.531673542864716</v>
      </c>
      <c r="BH133" s="214">
        <f>AG133*'Data &amp; Assumptions'!$D$92</f>
        <v>18.879408887417178</v>
      </c>
      <c r="BI133" s="214">
        <f>AH133*'Data &amp; Assumptions'!$D$92</f>
        <v>34.09903092815664</v>
      </c>
      <c r="BJ133" s="214">
        <f>AI133*'Data &amp; Assumptions'!$D$92</f>
        <v>-41.65968942726752</v>
      </c>
      <c r="BK133" s="214">
        <f>AJ133*'Data &amp; Assumptions'!$D$92</f>
        <v>14.145350872442307</v>
      </c>
      <c r="BL133" s="214">
        <f>AK133*'Data &amp; Assumptions'!$D$92</f>
        <v>14.389440522434576</v>
      </c>
    </row>
    <row r="134" spans="7:73" s="1" customFormat="1" ht="12.75">
      <c r="G134" s="122" t="s">
        <v>297</v>
      </c>
      <c r="L134" s="182" t="s">
        <v>64</v>
      </c>
      <c r="M134" s="124"/>
      <c r="Q134" s="125">
        <f aca="true" t="shared" si="117" ref="Q134:AK134">(Q66-P66)*Q97</f>
        <v>59.84137210186764</v>
      </c>
      <c r="R134" s="244">
        <f t="shared" si="117"/>
        <v>67.84515562049239</v>
      </c>
      <c r="S134" s="125">
        <f t="shared" si="117"/>
        <v>114.36236013953244</v>
      </c>
      <c r="T134" s="125">
        <f t="shared" si="117"/>
        <v>383.7021123400949</v>
      </c>
      <c r="U134" s="244">
        <f t="shared" si="117"/>
        <v>383.79423095909755</v>
      </c>
      <c r="V134" s="125">
        <f t="shared" si="117"/>
        <v>393.63846844195524</v>
      </c>
      <c r="W134" s="125">
        <f t="shared" si="117"/>
        <v>404.1888626252997</v>
      </c>
      <c r="X134" s="125">
        <f t="shared" si="117"/>
        <v>47.79281388577923</v>
      </c>
      <c r="Y134" s="125">
        <f t="shared" si="117"/>
        <v>45.08200548217705</v>
      </c>
      <c r="Z134" s="125">
        <f t="shared" si="117"/>
        <v>42.52495413122888</v>
      </c>
      <c r="AA134" s="125">
        <f t="shared" si="117"/>
        <v>40.11293873290549</v>
      </c>
      <c r="AB134" s="125">
        <f t="shared" si="117"/>
        <v>37.837732847975154</v>
      </c>
      <c r="AC134" s="125">
        <f t="shared" si="117"/>
        <v>35.69157664083781</v>
      </c>
      <c r="AD134" s="125">
        <f t="shared" si="117"/>
        <v>33.6671504137687</v>
      </c>
      <c r="AE134" s="125">
        <f t="shared" si="117"/>
        <v>31.757549642301257</v>
      </c>
      <c r="AF134" s="125">
        <f t="shared" si="117"/>
        <v>29.95626142658865</v>
      </c>
      <c r="AG134" s="125">
        <f t="shared" si="117"/>
        <v>28.257142278473086</v>
      </c>
      <c r="AH134" s="125">
        <f t="shared" si="117"/>
        <v>26.654397168438038</v>
      </c>
      <c r="AI134" s="125">
        <f t="shared" si="117"/>
        <v>25.14255976104438</v>
      </c>
      <c r="AJ134" s="125">
        <f t="shared" si="117"/>
        <v>23.71647377139778</v>
      </c>
      <c r="AK134" s="125">
        <f t="shared" si="117"/>
        <v>22.371275379083748</v>
      </c>
      <c r="AL134" s="125"/>
      <c r="AM134" s="207"/>
      <c r="AR134" s="125">
        <f>(AR66-AQ66)*AR97</f>
        <v>59.84137210186764</v>
      </c>
      <c r="AS134" s="125">
        <f>(AS66-AR66)*AS97</f>
        <v>64.45289783946777</v>
      </c>
      <c r="AT134" s="125">
        <f>S134*'Data &amp; Assumptions'!$D$92</f>
        <v>85.77177010464933</v>
      </c>
      <c r="AU134" s="125">
        <f>T134*'Data &amp; Assumptions'!$D$92</f>
        <v>287.77658425507116</v>
      </c>
      <c r="AV134" s="244">
        <f>U134*'Data &amp; Assumptions'!$D$92</f>
        <v>287.84567321932315</v>
      </c>
      <c r="AW134" s="125">
        <f>V134*'Data &amp; Assumptions'!$D$92</f>
        <v>295.22885133146644</v>
      </c>
      <c r="AX134" s="125">
        <f>W134*'Data &amp; Assumptions'!$D$92</f>
        <v>303.1416469689748</v>
      </c>
      <c r="AY134" s="125">
        <f>X134*'Data &amp; Assumptions'!$D$92</f>
        <v>35.844610414334426</v>
      </c>
      <c r="AZ134" s="125">
        <f>Y134*'Data &amp; Assumptions'!$D$92</f>
        <v>33.811504111632786</v>
      </c>
      <c r="BA134" s="125">
        <f>Z134*'Data &amp; Assumptions'!$D$92</f>
        <v>31.89371559842166</v>
      </c>
      <c r="BB134" s="125">
        <f>AA134*'Data &amp; Assumptions'!$D$92</f>
        <v>30.084704049679118</v>
      </c>
      <c r="BC134" s="125">
        <f>AB134*'Data &amp; Assumptions'!$D$92</f>
        <v>28.378299635981364</v>
      </c>
      <c r="BD134" s="125">
        <f>AC134*'Data &amp; Assumptions'!$D$92</f>
        <v>26.768682480628357</v>
      </c>
      <c r="BE134" s="125">
        <f>AD134*'Data &amp; Assumptions'!$D$92</f>
        <v>25.25036281032653</v>
      </c>
      <c r="BF134" s="125">
        <f>AE134*'Data &amp; Assumptions'!$D$92</f>
        <v>23.818162231725942</v>
      </c>
      <c r="BG134" s="125">
        <f>AF134*'Data &amp; Assumptions'!$D$92</f>
        <v>22.467196069941487</v>
      </c>
      <c r="BH134" s="125">
        <f>AG134*'Data &amp; Assumptions'!$D$92</f>
        <v>21.192856708854816</v>
      </c>
      <c r="BI134" s="125">
        <f>AH134*'Data &amp; Assumptions'!$D$92</f>
        <v>19.99079787632853</v>
      </c>
      <c r="BJ134" s="125">
        <f>AI134*'Data &amp; Assumptions'!$D$92</f>
        <v>18.856919820783286</v>
      </c>
      <c r="BK134" s="125">
        <f>AJ134*'Data &amp; Assumptions'!$D$92</f>
        <v>17.787355328548337</v>
      </c>
      <c r="BL134" s="125">
        <f>AK134*'Data &amp; Assumptions'!$D$92</f>
        <v>16.77845653431281</v>
      </c>
      <c r="BN134" s="207"/>
      <c r="BU134" s="233"/>
    </row>
    <row r="135" spans="8:64" ht="12.75">
      <c r="H135" t="s">
        <v>286</v>
      </c>
      <c r="L135" s="182" t="s">
        <v>64</v>
      </c>
      <c r="M135" s="63"/>
      <c r="Q135" s="68">
        <f>Q134*$D$100</f>
        <v>23.936548840747058</v>
      </c>
      <c r="R135" s="209">
        <f>R134-R136-R137-R138</f>
        <v>12.192679565755485</v>
      </c>
      <c r="S135" s="68">
        <f aca="true" t="shared" si="118" ref="S135:AK135">S134-S136-S137-S138</f>
        <v>61.6177259586556</v>
      </c>
      <c r="T135" s="68">
        <f t="shared" si="118"/>
        <v>296.59864802622644</v>
      </c>
      <c r="U135" s="209">
        <f t="shared" si="118"/>
        <v>44.85704995559339</v>
      </c>
      <c r="V135" s="68">
        <f t="shared" si="118"/>
        <v>45.83059210644384</v>
      </c>
      <c r="W135" s="68">
        <f t="shared" si="118"/>
        <v>84.19835072928282</v>
      </c>
      <c r="X135" s="68">
        <f t="shared" si="118"/>
        <v>-106.23161353644828</v>
      </c>
      <c r="Y135" s="68">
        <f t="shared" si="118"/>
        <v>34.190094950354414</v>
      </c>
      <c r="Z135" s="68">
        <f t="shared" si="118"/>
        <v>34.88235557751966</v>
      </c>
      <c r="AA135" s="68">
        <f t="shared" si="118"/>
        <v>63.54947689258759</v>
      </c>
      <c r="AB135" s="68">
        <f t="shared" si="118"/>
        <v>-78.93407220511028</v>
      </c>
      <c r="AC135" s="68">
        <f t="shared" si="118"/>
        <v>26.078454341924388</v>
      </c>
      <c r="AD135" s="68">
        <f t="shared" si="118"/>
        <v>26.567800341087825</v>
      </c>
      <c r="AE135" s="68">
        <f t="shared" si="118"/>
        <v>47.98541368144505</v>
      </c>
      <c r="AF135" s="68">
        <f t="shared" si="118"/>
        <v>-58.62505111126937</v>
      </c>
      <c r="AG135" s="68">
        <f t="shared" si="118"/>
        <v>19.905859339915402</v>
      </c>
      <c r="AH135" s="68">
        <f t="shared" si="118"/>
        <v>20.249351295887493</v>
      </c>
      <c r="AI135" s="68">
        <f t="shared" si="118"/>
        <v>36.249555549483475</v>
      </c>
      <c r="AJ135" s="68">
        <f t="shared" si="118"/>
        <v>-43.52069412651127</v>
      </c>
      <c r="AK135" s="68">
        <f t="shared" si="118"/>
        <v>15.20557286168481</v>
      </c>
      <c r="AL135" s="68"/>
      <c r="AR135" s="68">
        <f>AR134*$D$100</f>
        <v>23.936548840747058</v>
      </c>
      <c r="AS135" s="68">
        <f>AS134-AS136-AS137-AS138</f>
        <v>8.80042178473086</v>
      </c>
      <c r="AT135" s="214">
        <f>S135*'Data &amp; Assumptions'!$D$92</f>
        <v>46.2132944689917</v>
      </c>
      <c r="AU135" s="214">
        <f>T135*'Data &amp; Assumptions'!$D$92</f>
        <v>222.44898601966983</v>
      </c>
      <c r="AV135" s="255">
        <f>U135*'Data &amp; Assumptions'!$D$92</f>
        <v>33.64278746669504</v>
      </c>
      <c r="AW135" s="214">
        <f>V135*'Data &amp; Assumptions'!$D$92</f>
        <v>34.37294407983288</v>
      </c>
      <c r="AX135" s="214">
        <f>W135*'Data &amp; Assumptions'!$D$92</f>
        <v>63.14876304696212</v>
      </c>
      <c r="AY135" s="214">
        <f>X135*'Data &amp; Assumptions'!$D$92</f>
        <v>-79.67371015233621</v>
      </c>
      <c r="AZ135" s="214">
        <f>Y135*'Data &amp; Assumptions'!$D$92</f>
        <v>25.64257121276581</v>
      </c>
      <c r="BA135" s="214">
        <f>Z135*'Data &amp; Assumptions'!$D$92</f>
        <v>26.161766683139746</v>
      </c>
      <c r="BB135" s="214">
        <f>AA135*'Data &amp; Assumptions'!$D$92</f>
        <v>47.662107669440694</v>
      </c>
      <c r="BC135" s="214">
        <f>AB135*'Data &amp; Assumptions'!$D$92</f>
        <v>-59.20055415383271</v>
      </c>
      <c r="BD135" s="214">
        <f>AC135*'Data &amp; Assumptions'!$D$92</f>
        <v>19.558840756443292</v>
      </c>
      <c r="BE135" s="214">
        <f>AD135*'Data &amp; Assumptions'!$D$92</f>
        <v>19.925850255815867</v>
      </c>
      <c r="BF135" s="214">
        <f>AE135*'Data &amp; Assumptions'!$D$92</f>
        <v>35.98906026108379</v>
      </c>
      <c r="BG135" s="214">
        <f>AF135*'Data &amp; Assumptions'!$D$92</f>
        <v>-43.968788333452025</v>
      </c>
      <c r="BH135" s="214">
        <f>AG135*'Data &amp; Assumptions'!$D$92</f>
        <v>14.929394504936552</v>
      </c>
      <c r="BI135" s="214">
        <f>AH135*'Data &amp; Assumptions'!$D$92</f>
        <v>15.18701347191562</v>
      </c>
      <c r="BJ135" s="214">
        <f>AI135*'Data &amp; Assumptions'!$D$92</f>
        <v>27.187166662112606</v>
      </c>
      <c r="BK135" s="214">
        <f>AJ135*'Data &amp; Assumptions'!$D$92</f>
        <v>-32.640520594883455</v>
      </c>
      <c r="BL135" s="214">
        <f>AK135*'Data &amp; Assumptions'!$D$92</f>
        <v>11.404179646263607</v>
      </c>
    </row>
    <row r="136" spans="8:64" ht="12.75">
      <c r="H136" t="s">
        <v>287</v>
      </c>
      <c r="L136" s="182" t="s">
        <v>64</v>
      </c>
      <c r="M136" s="63"/>
      <c r="Q136" s="68">
        <f>Q134*$D$101</f>
        <v>23.936548840747058</v>
      </c>
      <c r="R136" s="209">
        <f>Q135*(1-'Data &amp; Assumptions'!$D$114)</f>
        <v>22.260990421894764</v>
      </c>
      <c r="S136" s="68">
        <f>R135*(1-'Data &amp; Assumptions'!$D$114)</f>
        <v>11.3391919961526</v>
      </c>
      <c r="T136" s="68">
        <f>S135*(1-'Data &amp; Assumptions'!$D$114)</f>
        <v>57.304485141549705</v>
      </c>
      <c r="U136" s="209">
        <f>T135*(1-'Data &amp; Assumptions'!$D$114)</f>
        <v>275.83674266439056</v>
      </c>
      <c r="V136" s="68">
        <f>U135*(1-'Data &amp; Assumptions'!$D$114)</f>
        <v>41.71705645870185</v>
      </c>
      <c r="W136" s="68">
        <f>V135*(1-'Data &amp; Assumptions'!$D$114)</f>
        <v>42.62245065899277</v>
      </c>
      <c r="X136" s="68">
        <f>W135*(1-'Data &amp; Assumptions'!$D$114)</f>
        <v>78.30446617823301</v>
      </c>
      <c r="Y136" s="68">
        <f>X135*(1-'Data &amp; Assumptions'!$D$114)</f>
        <v>-98.7954005888969</v>
      </c>
      <c r="Z136" s="68">
        <f>Y135*(1-'Data &amp; Assumptions'!$D$114)</f>
        <v>31.796788303829604</v>
      </c>
      <c r="AA136" s="68">
        <f>Z135*(1-'Data &amp; Assumptions'!$D$114)</f>
        <v>32.440590687093284</v>
      </c>
      <c r="AB136" s="68">
        <f>AA135*(1-'Data &amp; Assumptions'!$D$114)</f>
        <v>59.101013510106455</v>
      </c>
      <c r="AC136" s="68">
        <f>AB135*(1-'Data &amp; Assumptions'!$D$114)</f>
        <v>-73.40868715075256</v>
      </c>
      <c r="AD136" s="68">
        <f>AC135*(1-'Data &amp; Assumptions'!$D$114)</f>
        <v>24.252962537989678</v>
      </c>
      <c r="AE136" s="68">
        <f>AD135*(1-'Data &amp; Assumptions'!$D$114)</f>
        <v>24.708054317211676</v>
      </c>
      <c r="AF136" s="68">
        <f>AE135*(1-'Data &amp; Assumptions'!$D$114)</f>
        <v>44.6264347237439</v>
      </c>
      <c r="AG136" s="68">
        <f>AF135*(1-'Data &amp; Assumptions'!$D$114)</f>
        <v>-54.521297533480514</v>
      </c>
      <c r="AH136" s="68">
        <f>AG135*(1-'Data &amp; Assumptions'!$D$114)</f>
        <v>18.512449186121323</v>
      </c>
      <c r="AI136" s="68">
        <f>AH135*(1-'Data &amp; Assumptions'!$D$114)</f>
        <v>18.831896705175367</v>
      </c>
      <c r="AJ136" s="68">
        <f>AI135*(1-'Data &amp; Assumptions'!$D$114)</f>
        <v>33.712086661019626</v>
      </c>
      <c r="AK136" s="68">
        <f>AJ135*(1-'Data &amp; Assumptions'!$D$114)</f>
        <v>-40.474245537655484</v>
      </c>
      <c r="AL136" s="68"/>
      <c r="AR136" s="68">
        <f>AR134*$D$101</f>
        <v>23.936548840747058</v>
      </c>
      <c r="AS136" s="68">
        <f>AR135*(1-'Data &amp; Assumptions'!$D$114)</f>
        <v>22.260990421894764</v>
      </c>
      <c r="AT136" s="214">
        <f>S136*'Data &amp; Assumptions'!$D$92</f>
        <v>8.50439399711445</v>
      </c>
      <c r="AU136" s="214">
        <f>T136*'Data &amp; Assumptions'!$D$92</f>
        <v>42.978363856162275</v>
      </c>
      <c r="AV136" s="255">
        <f>U136*'Data &amp; Assumptions'!$D$92</f>
        <v>206.8775569982929</v>
      </c>
      <c r="AW136" s="214">
        <f>V136*'Data &amp; Assumptions'!$D$92</f>
        <v>31.287792344026386</v>
      </c>
      <c r="AX136" s="214">
        <f>W136*'Data &amp; Assumptions'!$D$92</f>
        <v>31.966837994244578</v>
      </c>
      <c r="AY136" s="214">
        <f>X136*'Data &amp; Assumptions'!$D$92</f>
        <v>58.72834963367476</v>
      </c>
      <c r="AZ136" s="214">
        <f>Y136*'Data &amp; Assumptions'!$D$92</f>
        <v>-74.09655044167268</v>
      </c>
      <c r="BA136" s="214">
        <f>Z136*'Data &amp; Assumptions'!$D$92</f>
        <v>23.847591227872204</v>
      </c>
      <c r="BB136" s="214">
        <f>AA136*'Data &amp; Assumptions'!$D$92</f>
        <v>24.330443015319965</v>
      </c>
      <c r="BC136" s="214">
        <f>AB136*'Data &amp; Assumptions'!$D$92</f>
        <v>44.325760132579845</v>
      </c>
      <c r="BD136" s="214">
        <f>AC136*'Data &amp; Assumptions'!$D$92</f>
        <v>-55.05651536306442</v>
      </c>
      <c r="BE136" s="214">
        <f>AD136*'Data &amp; Assumptions'!$D$92</f>
        <v>18.18972190349226</v>
      </c>
      <c r="BF136" s="214">
        <f>AE136*'Data &amp; Assumptions'!$D$92</f>
        <v>18.531040737908757</v>
      </c>
      <c r="BG136" s="214">
        <f>AF136*'Data &amp; Assumptions'!$D$92</f>
        <v>33.469826042807924</v>
      </c>
      <c r="BH136" s="214">
        <f>AG136*'Data &amp; Assumptions'!$D$92</f>
        <v>-40.89097315011038</v>
      </c>
      <c r="BI136" s="214">
        <f>AH136*'Data &amp; Assumptions'!$D$92</f>
        <v>13.884336889590992</v>
      </c>
      <c r="BJ136" s="214">
        <f>AI136*'Data &amp; Assumptions'!$D$92</f>
        <v>14.123922528881526</v>
      </c>
      <c r="BK136" s="214">
        <f>AJ136*'Data &amp; Assumptions'!$D$92</f>
        <v>25.28406499576472</v>
      </c>
      <c r="BL136" s="214">
        <f>AK136*'Data &amp; Assumptions'!$D$92</f>
        <v>-30.35568415324161</v>
      </c>
    </row>
    <row r="137" spans="7:64" ht="12.75">
      <c r="G137" s="67"/>
      <c r="H137" t="s">
        <v>288</v>
      </c>
      <c r="L137" s="182" t="s">
        <v>64</v>
      </c>
      <c r="M137" s="63"/>
      <c r="Q137" s="68">
        <f>Q134*$D$102</f>
        <v>11.968274420373529</v>
      </c>
      <c r="R137" s="209">
        <f>Q136*(1-'Data &amp; Assumptions'!$D$114)</f>
        <v>22.260990421894764</v>
      </c>
      <c r="S137" s="68">
        <f>R136*(1-'Data &amp; Assumptions'!$D$114)</f>
        <v>20.70272109236213</v>
      </c>
      <c r="T137" s="68">
        <f>S136*(1-'Data &amp; Assumptions'!$D$114)</f>
        <v>10.545448556421917</v>
      </c>
      <c r="U137" s="209">
        <f>T136*(1-'Data &amp; Assumptions'!$D$114)</f>
        <v>53.29317118164122</v>
      </c>
      <c r="V137" s="68">
        <f>U136*(1-'Data &amp; Assumptions'!$D$114)</f>
        <v>256.5281706778832</v>
      </c>
      <c r="W137" s="68">
        <f>V136*(1-'Data &amp; Assumptions'!$D$114)</f>
        <v>38.79686250659272</v>
      </c>
      <c r="X137" s="68">
        <f>W136*(1-'Data &amp; Assumptions'!$D$114)</f>
        <v>39.63887911286327</v>
      </c>
      <c r="Y137" s="68">
        <f>X136*(1-'Data &amp; Assumptions'!$D$114)</f>
        <v>72.8231535457567</v>
      </c>
      <c r="Z137" s="68">
        <f>Y136*(1-'Data &amp; Assumptions'!$D$114)</f>
        <v>-91.8797225476741</v>
      </c>
      <c r="AA137" s="68">
        <f>Z136*(1-'Data &amp; Assumptions'!$D$114)</f>
        <v>29.57101312256153</v>
      </c>
      <c r="AB137" s="68">
        <f>AA136*(1-'Data &amp; Assumptions'!$D$114)</f>
        <v>30.169749338996752</v>
      </c>
      <c r="AC137" s="68">
        <f>AB136*(1-'Data &amp; Assumptions'!$D$114)</f>
        <v>54.963942564399</v>
      </c>
      <c r="AD137" s="68">
        <f>AC136*(1-'Data &amp; Assumptions'!$D$114)</f>
        <v>-68.27007905019987</v>
      </c>
      <c r="AE137" s="68">
        <f>AD136*(1-'Data &amp; Assumptions'!$D$114)</f>
        <v>22.5552551603304</v>
      </c>
      <c r="AF137" s="68">
        <f>AE136*(1-'Data &amp; Assumptions'!$D$114)</f>
        <v>22.978490515006857</v>
      </c>
      <c r="AG137" s="68">
        <f>AF136*(1-'Data &amp; Assumptions'!$D$114)</f>
        <v>41.502584293081824</v>
      </c>
      <c r="AH137" s="68">
        <f>AG136*(1-'Data &amp; Assumptions'!$D$114)</f>
        <v>-50.70480670613687</v>
      </c>
      <c r="AI137" s="68">
        <f>AH136*(1-'Data &amp; Assumptions'!$D$114)</f>
        <v>17.21657774309283</v>
      </c>
      <c r="AJ137" s="68">
        <f>AI136*(1-'Data &amp; Assumptions'!$D$114)</f>
        <v>17.513663935813092</v>
      </c>
      <c r="AK137" s="68">
        <f>AJ136*(1-'Data &amp; Assumptions'!$D$114)</f>
        <v>31.35224059474825</v>
      </c>
      <c r="AL137" s="68"/>
      <c r="AR137" s="68">
        <f>AR134*$D$102</f>
        <v>11.968274420373529</v>
      </c>
      <c r="AS137" s="68">
        <f>AR136*(1-'Data &amp; Assumptions'!$D$114)</f>
        <v>22.260990421894764</v>
      </c>
      <c r="AT137" s="214">
        <f>S137*'Data &amp; Assumptions'!$D$92</f>
        <v>15.527040819271598</v>
      </c>
      <c r="AU137" s="214">
        <f>T137*'Data &amp; Assumptions'!$D$92</f>
        <v>7.909086417316438</v>
      </c>
      <c r="AV137" s="255">
        <f>U137*'Data &amp; Assumptions'!$D$92</f>
        <v>39.96987838623092</v>
      </c>
      <c r="AW137" s="214">
        <f>V137*'Data &amp; Assumptions'!$D$92</f>
        <v>192.3961280084124</v>
      </c>
      <c r="AX137" s="214">
        <f>W137*'Data &amp; Assumptions'!$D$92</f>
        <v>29.097646879944538</v>
      </c>
      <c r="AY137" s="214">
        <f>X137*'Data &amp; Assumptions'!$D$92</f>
        <v>29.729159334647456</v>
      </c>
      <c r="AZ137" s="214">
        <f>Y137*'Data &amp; Assumptions'!$D$92</f>
        <v>54.61736515931752</v>
      </c>
      <c r="BA137" s="214">
        <f>Z137*'Data &amp; Assumptions'!$D$92</f>
        <v>-68.90979191075559</v>
      </c>
      <c r="BB137" s="214">
        <f>AA137*'Data &amp; Assumptions'!$D$92</f>
        <v>22.178259841921147</v>
      </c>
      <c r="BC137" s="214">
        <f>AB137*'Data &amp; Assumptions'!$D$92</f>
        <v>22.627312004247564</v>
      </c>
      <c r="BD137" s="214">
        <f>AC137*'Data &amp; Assumptions'!$D$92</f>
        <v>41.22295692329925</v>
      </c>
      <c r="BE137" s="214">
        <f>AD137*'Data &amp; Assumptions'!$D$92</f>
        <v>-51.202559287649905</v>
      </c>
      <c r="BF137" s="214">
        <f>AE137*'Data &amp; Assumptions'!$D$92</f>
        <v>16.9164413702478</v>
      </c>
      <c r="BG137" s="214">
        <f>AF137*'Data &amp; Assumptions'!$D$92</f>
        <v>17.233867886255144</v>
      </c>
      <c r="BH137" s="214">
        <f>AG137*'Data &amp; Assumptions'!$D$92</f>
        <v>31.126938219811368</v>
      </c>
      <c r="BI137" s="214">
        <f>AH137*'Data &amp; Assumptions'!$D$92</f>
        <v>-38.02860502960265</v>
      </c>
      <c r="BJ137" s="214">
        <f>AI137*'Data &amp; Assumptions'!$D$92</f>
        <v>12.912433307319624</v>
      </c>
      <c r="BK137" s="214">
        <f>AJ137*'Data &amp; Assumptions'!$D$92</f>
        <v>13.135247951859819</v>
      </c>
      <c r="BL137" s="214">
        <f>AK137*'Data &amp; Assumptions'!$D$92</f>
        <v>23.514180446061186</v>
      </c>
    </row>
    <row r="138" spans="7:64" ht="12.75">
      <c r="G138" s="67"/>
      <c r="H138" t="s">
        <v>289</v>
      </c>
      <c r="L138" s="182" t="s">
        <v>64</v>
      </c>
      <c r="M138" s="63"/>
      <c r="Q138" s="68">
        <f>Q134*$D$103</f>
        <v>0</v>
      </c>
      <c r="R138" s="209">
        <f>Q137*(1-'Data &amp; Assumptions'!$D$114)</f>
        <v>11.130495210947382</v>
      </c>
      <c r="S138" s="68">
        <f>R137*(1-'Data &amp; Assumptions'!$D$114)</f>
        <v>20.70272109236213</v>
      </c>
      <c r="T138" s="68">
        <f>S137*(1-'Data &amp; Assumptions'!$D$114)</f>
        <v>19.25353061589678</v>
      </c>
      <c r="U138" s="209">
        <f>T137*(1-'Data &amp; Assumptions'!$D$114)</f>
        <v>9.807267157472381</v>
      </c>
      <c r="V138" s="68">
        <f>U137*(1-'Data &amp; Assumptions'!$D$114)</f>
        <v>49.56264919892633</v>
      </c>
      <c r="W138" s="68">
        <f>V137*(1-'Data &amp; Assumptions'!$D$114)</f>
        <v>238.57119873043138</v>
      </c>
      <c r="X138" s="68">
        <f>W137*(1-'Data &amp; Assumptions'!$D$114)</f>
        <v>36.081082131131225</v>
      </c>
      <c r="Y138" s="68">
        <f>X137*(1-'Data &amp; Assumptions'!$D$114)</f>
        <v>36.86415757496284</v>
      </c>
      <c r="Z138" s="68">
        <f>Y137*(1-'Data &amp; Assumptions'!$D$114)</f>
        <v>67.72553279755373</v>
      </c>
      <c r="AA138" s="68">
        <f>Z137*(1-'Data &amp; Assumptions'!$D$114)</f>
        <v>-85.44814196933692</v>
      </c>
      <c r="AB138" s="68">
        <f>AA137*(1-'Data &amp; Assumptions'!$D$114)</f>
        <v>27.501042203982223</v>
      </c>
      <c r="AC138" s="68">
        <f>AB137*(1-'Data &amp; Assumptions'!$D$114)</f>
        <v>28.05786688526698</v>
      </c>
      <c r="AD138" s="68">
        <f>AC137*(1-'Data &amp; Assumptions'!$D$114)</f>
        <v>51.116466584891064</v>
      </c>
      <c r="AE138" s="68">
        <f>AD137*(1-'Data &amp; Assumptions'!$D$114)</f>
        <v>-63.491173516685876</v>
      </c>
      <c r="AF138" s="68">
        <f>AE137*(1-'Data &amp; Assumptions'!$D$114)</f>
        <v>20.97638729910727</v>
      </c>
      <c r="AG138" s="68">
        <f>AF137*(1-'Data &amp; Assumptions'!$D$114)</f>
        <v>21.369996178956377</v>
      </c>
      <c r="AH138" s="68">
        <f>AG137*(1-'Data &amp; Assumptions'!$D$114)</f>
        <v>38.59740339256609</v>
      </c>
      <c r="AI138" s="68">
        <f>AH137*(1-'Data &amp; Assumptions'!$D$114)</f>
        <v>-47.15547023670729</v>
      </c>
      <c r="AJ138" s="68">
        <f>AI137*(1-'Data &amp; Assumptions'!$D$114)</f>
        <v>16.01141730107633</v>
      </c>
      <c r="AK138" s="68">
        <f>AJ137*(1-'Data &amp; Assumptions'!$D$114)</f>
        <v>16.287707460306173</v>
      </c>
      <c r="AL138" s="68"/>
      <c r="AR138" s="68">
        <f>AR134*$D$103</f>
        <v>0</v>
      </c>
      <c r="AS138" s="68">
        <f>AR137*(1-'Data &amp; Assumptions'!$D$114)</f>
        <v>11.130495210947382</v>
      </c>
      <c r="AT138" s="214">
        <f>S138*'Data &amp; Assumptions'!$D$92</f>
        <v>15.527040819271598</v>
      </c>
      <c r="AU138" s="214">
        <f>T138*'Data &amp; Assumptions'!$D$92</f>
        <v>14.440147961922584</v>
      </c>
      <c r="AV138" s="255">
        <f>U138*'Data &amp; Assumptions'!$D$92</f>
        <v>7.355450368104286</v>
      </c>
      <c r="AW138" s="214">
        <f>V138*'Data &amp; Assumptions'!$D$92</f>
        <v>37.17198689919475</v>
      </c>
      <c r="AX138" s="214">
        <f>W138*'Data &amp; Assumptions'!$D$92</f>
        <v>178.92839904782352</v>
      </c>
      <c r="AY138" s="214">
        <f>X138*'Data &amp; Assumptions'!$D$92</f>
        <v>27.06081159834842</v>
      </c>
      <c r="AZ138" s="214">
        <f>Y138*'Data &amp; Assumptions'!$D$92</f>
        <v>27.64811818122213</v>
      </c>
      <c r="BA138" s="214">
        <f>Z138*'Data &amp; Assumptions'!$D$92</f>
        <v>50.79414959816529</v>
      </c>
      <c r="BB138" s="214">
        <f>AA138*'Data &amp; Assumptions'!$D$92</f>
        <v>-64.08610647700269</v>
      </c>
      <c r="BC138" s="214">
        <f>AB138*'Data &amp; Assumptions'!$D$92</f>
        <v>20.625781652986667</v>
      </c>
      <c r="BD138" s="214">
        <f>AC138*'Data &amp; Assumptions'!$D$92</f>
        <v>21.043400163950235</v>
      </c>
      <c r="BE138" s="214">
        <f>AD138*'Data &amp; Assumptions'!$D$92</f>
        <v>38.3373499386683</v>
      </c>
      <c r="BF138" s="214">
        <f>AE138*'Data &amp; Assumptions'!$D$92</f>
        <v>-47.61838013751441</v>
      </c>
      <c r="BG138" s="214">
        <f>AF138*'Data &amp; Assumptions'!$D$92</f>
        <v>15.732290474330451</v>
      </c>
      <c r="BH138" s="214">
        <f>AG138*'Data &amp; Assumptions'!$D$92</f>
        <v>16.027497134217285</v>
      </c>
      <c r="BI138" s="214">
        <f>AH138*'Data &amp; Assumptions'!$D$92</f>
        <v>28.94805254442457</v>
      </c>
      <c r="BJ138" s="214">
        <f>AI138*'Data &amp; Assumptions'!$D$92</f>
        <v>-35.366602677530466</v>
      </c>
      <c r="BK138" s="214">
        <f>AJ138*'Data &amp; Assumptions'!$D$92</f>
        <v>12.008562975807248</v>
      </c>
      <c r="BL138" s="214">
        <f>AK138*'Data &amp; Assumptions'!$D$92</f>
        <v>12.21578059522963</v>
      </c>
    </row>
    <row r="139" spans="7:73" s="1" customFormat="1" ht="12.75">
      <c r="G139" s="122" t="s">
        <v>298</v>
      </c>
      <c r="L139" s="182" t="s">
        <v>64</v>
      </c>
      <c r="M139" s="124"/>
      <c r="Q139" s="125">
        <f aca="true" t="shared" si="119" ref="Q139:AK139">(Q67-P67)*Q97</f>
        <v>44.88794342381657</v>
      </c>
      <c r="R139" s="244">
        <f t="shared" si="119"/>
        <v>50.89170585675208</v>
      </c>
      <c r="S139" s="125">
        <f t="shared" si="119"/>
        <v>85.78498405783135</v>
      </c>
      <c r="T139" s="125">
        <f t="shared" si="119"/>
        <v>287.8209189622436</v>
      </c>
      <c r="U139" s="244">
        <f t="shared" si="119"/>
        <v>287.89001857030445</v>
      </c>
      <c r="V139" s="125">
        <f t="shared" si="119"/>
        <v>295.2743341309322</v>
      </c>
      <c r="W139" s="125">
        <f t="shared" si="119"/>
        <v>303.1883488095183</v>
      </c>
      <c r="X139" s="125">
        <f t="shared" si="119"/>
        <v>35.85013261590799</v>
      </c>
      <c r="Y139" s="125">
        <f t="shared" si="119"/>
        <v>33.81671309393349</v>
      </c>
      <c r="Z139" s="125">
        <f t="shared" si="119"/>
        <v>31.898629127245886</v>
      </c>
      <c r="AA139" s="125">
        <f t="shared" si="119"/>
        <v>30.08933888314829</v>
      </c>
      <c r="AB139" s="125">
        <f t="shared" si="119"/>
        <v>28.38267158169625</v>
      </c>
      <c r="AC139" s="125">
        <f t="shared" si="119"/>
        <v>26.77280644958249</v>
      </c>
      <c r="AD139" s="125">
        <f t="shared" si="119"/>
        <v>25.25425286776166</v>
      </c>
      <c r="AE139" s="125">
        <f t="shared" si="119"/>
        <v>23.82183164510303</v>
      </c>
      <c r="AF139" s="125">
        <f t="shared" si="119"/>
        <v>22.470657354192017</v>
      </c>
      <c r="AG139" s="125">
        <f t="shared" si="119"/>
        <v>21.19612166906288</v>
      </c>
      <c r="AH139" s="125">
        <f t="shared" si="119"/>
        <v>19.993877647992846</v>
      </c>
      <c r="AI139" s="125">
        <f t="shared" si="119"/>
        <v>18.85982490779912</v>
      </c>
      <c r="AJ139" s="125">
        <f t="shared" si="119"/>
        <v>17.790095639028845</v>
      </c>
      <c r="AK139" s="125">
        <f t="shared" si="119"/>
        <v>16.781041414383374</v>
      </c>
      <c r="AL139" s="125"/>
      <c r="AM139" s="207"/>
      <c r="AR139" s="125">
        <f>(AR67-AQ67)*AR97</f>
        <v>44.88794342381657</v>
      </c>
      <c r="AS139" s="125">
        <f>(AS67-AR67)*AS97</f>
        <v>48.34712056391447</v>
      </c>
      <c r="AT139" s="125">
        <f>S139*'Data &amp; Assumptions'!$D$92</f>
        <v>64.33873804337351</v>
      </c>
      <c r="AU139" s="125">
        <f>T139*'Data &amp; Assumptions'!$D$92</f>
        <v>215.8656892216827</v>
      </c>
      <c r="AV139" s="244">
        <f>U139*'Data &amp; Assumptions'!$D$92</f>
        <v>215.91751392772835</v>
      </c>
      <c r="AW139" s="125">
        <f>V139*'Data &amp; Assumptions'!$D$92</f>
        <v>221.45575059819913</v>
      </c>
      <c r="AX139" s="125">
        <f>W139*'Data &amp; Assumptions'!$D$92</f>
        <v>227.39126160713872</v>
      </c>
      <c r="AY139" s="125">
        <f>X139*'Data &amp; Assumptions'!$D$92</f>
        <v>26.88759946193099</v>
      </c>
      <c r="AZ139" s="125">
        <f>Y139*'Data &amp; Assumptions'!$D$92</f>
        <v>25.362534820450115</v>
      </c>
      <c r="BA139" s="125">
        <f>Z139*'Data &amp; Assumptions'!$D$92</f>
        <v>23.923971845434416</v>
      </c>
      <c r="BB139" s="125">
        <f>AA139*'Data &amp; Assumptions'!$D$92</f>
        <v>22.56700416236122</v>
      </c>
      <c r="BC139" s="125">
        <f>AB139*'Data &amp; Assumptions'!$D$92</f>
        <v>21.287003686272186</v>
      </c>
      <c r="BD139" s="125">
        <f>AC139*'Data &amp; Assumptions'!$D$92</f>
        <v>20.079604837186867</v>
      </c>
      <c r="BE139" s="125">
        <f>AD139*'Data &amp; Assumptions'!$D$92</f>
        <v>18.940689650821245</v>
      </c>
      <c r="BF139" s="125">
        <f>AE139*'Data &amp; Assumptions'!$D$92</f>
        <v>17.86637373382727</v>
      </c>
      <c r="BG139" s="125">
        <f>AF139*'Data &amp; Assumptions'!$D$92</f>
        <v>16.852993015644014</v>
      </c>
      <c r="BH139" s="125">
        <f>AG139*'Data &amp; Assumptions'!$D$92</f>
        <v>15.89709125179716</v>
      </c>
      <c r="BI139" s="125">
        <f>AH139*'Data &amp; Assumptions'!$D$92</f>
        <v>14.995408235994635</v>
      </c>
      <c r="BJ139" s="125">
        <f>AI139*'Data &amp; Assumptions'!$D$92</f>
        <v>14.144868680849338</v>
      </c>
      <c r="BK139" s="125">
        <f>AJ139*'Data &amp; Assumptions'!$D$92</f>
        <v>13.342571729271633</v>
      </c>
      <c r="BL139" s="125">
        <f>AK139*'Data &amp; Assumptions'!$D$92</f>
        <v>12.58578106078753</v>
      </c>
      <c r="BN139" s="207"/>
      <c r="BU139" s="233"/>
    </row>
    <row r="140" spans="8:64" ht="12.75">
      <c r="H140" t="s">
        <v>286</v>
      </c>
      <c r="L140" s="182" t="s">
        <v>64</v>
      </c>
      <c r="M140" s="63"/>
      <c r="Q140" s="68">
        <f>Q139*$D$100</f>
        <v>17.95517736952663</v>
      </c>
      <c r="R140" s="209">
        <f>R139-R141-R142-R143</f>
        <v>9.145918472602675</v>
      </c>
      <c r="S140" s="68">
        <f aca="true" t="shared" si="120" ref="S140:AK140">S139-S141-S142-S143</f>
        <v>46.2204140645037</v>
      </c>
      <c r="T140" s="68">
        <f t="shared" si="120"/>
        <v>222.48325639188076</v>
      </c>
      <c r="U140" s="209">
        <f t="shared" si="120"/>
        <v>33.64797045659883</v>
      </c>
      <c r="V140" s="68">
        <f t="shared" si="120"/>
        <v>34.37823955727559</v>
      </c>
      <c r="W140" s="68">
        <f t="shared" si="120"/>
        <v>63.15849171173565</v>
      </c>
      <c r="X140" s="68">
        <f t="shared" si="120"/>
        <v>-79.68598464165228</v>
      </c>
      <c r="Y140" s="68">
        <f t="shared" si="120"/>
        <v>25.64652169361843</v>
      </c>
      <c r="Z140" s="68">
        <f t="shared" si="120"/>
        <v>26.165797150969247</v>
      </c>
      <c r="AA140" s="68">
        <f t="shared" si="120"/>
        <v>47.66945046834179</v>
      </c>
      <c r="AB140" s="68">
        <f t="shared" si="120"/>
        <v>-59.20967455964875</v>
      </c>
      <c r="AC140" s="68">
        <f t="shared" si="120"/>
        <v>19.561853981024854</v>
      </c>
      <c r="AD140" s="68">
        <f t="shared" si="120"/>
        <v>19.928920021684753</v>
      </c>
      <c r="AE140" s="68">
        <f t="shared" si="120"/>
        <v>35.994604716523185</v>
      </c>
      <c r="AF140" s="68">
        <f t="shared" si="120"/>
        <v>-43.9755621415449</v>
      </c>
      <c r="AG140" s="68">
        <f t="shared" si="120"/>
        <v>14.931694519496446</v>
      </c>
      <c r="AH140" s="68">
        <f t="shared" si="120"/>
        <v>15.189353175114888</v>
      </c>
      <c r="AI140" s="68">
        <f t="shared" si="120"/>
        <v>27.19135510251642</v>
      </c>
      <c r="AJ140" s="68">
        <f t="shared" si="120"/>
        <v>-32.64554917608689</v>
      </c>
      <c r="AK140" s="68">
        <f t="shared" si="120"/>
        <v>11.405936568101849</v>
      </c>
      <c r="AL140" s="68"/>
      <c r="AR140" s="68">
        <f>AR139*$D$100</f>
        <v>17.95517736952663</v>
      </c>
      <c r="AS140" s="68">
        <f>AS139-AS141-AS142-AS143</f>
        <v>6.601333179765062</v>
      </c>
      <c r="AT140" s="214">
        <f>S140*'Data &amp; Assumptions'!$D$92</f>
        <v>34.665310548377775</v>
      </c>
      <c r="AU140" s="214">
        <f>T140*'Data &amp; Assumptions'!$D$92</f>
        <v>166.86244229391056</v>
      </c>
      <c r="AV140" s="255">
        <f>U140*'Data &amp; Assumptions'!$D$92</f>
        <v>25.23597784244912</v>
      </c>
      <c r="AW140" s="214">
        <f>V140*'Data &amp; Assumptions'!$D$92</f>
        <v>25.783679667956694</v>
      </c>
      <c r="AX140" s="214">
        <f>W140*'Data &amp; Assumptions'!$D$92</f>
        <v>47.36886878380174</v>
      </c>
      <c r="AY140" s="214">
        <f>X140*'Data &amp; Assumptions'!$D$92</f>
        <v>-59.76448848123921</v>
      </c>
      <c r="AZ140" s="214">
        <f>Y140*'Data &amp; Assumptions'!$D$92</f>
        <v>19.234891270213822</v>
      </c>
      <c r="BA140" s="214">
        <f>Z140*'Data &amp; Assumptions'!$D$92</f>
        <v>19.624347863226937</v>
      </c>
      <c r="BB140" s="214">
        <f>AA140*'Data &amp; Assumptions'!$D$92</f>
        <v>35.75208785125635</v>
      </c>
      <c r="BC140" s="214">
        <f>AB140*'Data &amp; Assumptions'!$D$92</f>
        <v>-44.407255919736556</v>
      </c>
      <c r="BD140" s="214">
        <f>AC140*'Data &amp; Assumptions'!$D$92</f>
        <v>14.67139048576864</v>
      </c>
      <c r="BE140" s="214">
        <f>AD140*'Data &amp; Assumptions'!$D$92</f>
        <v>14.946690016263565</v>
      </c>
      <c r="BF140" s="214">
        <f>AE140*'Data &amp; Assumptions'!$D$92</f>
        <v>26.99595353739239</v>
      </c>
      <c r="BG140" s="214">
        <f>AF140*'Data &amp; Assumptions'!$D$92</f>
        <v>-32.98167160615867</v>
      </c>
      <c r="BH140" s="214">
        <f>AG140*'Data &amp; Assumptions'!$D$92</f>
        <v>11.198770889622335</v>
      </c>
      <c r="BI140" s="214">
        <f>AH140*'Data &amp; Assumptions'!$D$92</f>
        <v>11.392014881336166</v>
      </c>
      <c r="BJ140" s="214">
        <f>AI140*'Data &amp; Assumptions'!$D$92</f>
        <v>20.393516326887315</v>
      </c>
      <c r="BK140" s="214">
        <f>AJ140*'Data &amp; Assumptions'!$D$92</f>
        <v>-24.484161882065166</v>
      </c>
      <c r="BL140" s="214">
        <f>AK140*'Data &amp; Assumptions'!$D$92</f>
        <v>8.554452426076386</v>
      </c>
    </row>
    <row r="141" spans="7:64" ht="12.75">
      <c r="G141" s="67"/>
      <c r="H141" t="s">
        <v>287</v>
      </c>
      <c r="L141" s="182" t="s">
        <v>64</v>
      </c>
      <c r="M141" s="63"/>
      <c r="Q141" s="68">
        <f>Q139*$D$101</f>
        <v>17.95517736952663</v>
      </c>
      <c r="R141" s="209">
        <f>Q140*(1-'Data &amp; Assumptions'!$D$114)</f>
        <v>16.698314953659764</v>
      </c>
      <c r="S141" s="68">
        <f>R140*(1-'Data &amp; Assumptions'!$D$114)</f>
        <v>8.505704179520487</v>
      </c>
      <c r="T141" s="68">
        <f>S140*(1-'Data &amp; Assumptions'!$D$114)</f>
        <v>42.98498507998844</v>
      </c>
      <c r="U141" s="209">
        <f>T140*(1-'Data &amp; Assumptions'!$D$114)</f>
        <v>206.9094284444491</v>
      </c>
      <c r="V141" s="68">
        <f>U140*(1-'Data &amp; Assumptions'!$D$114)</f>
        <v>31.29261252463691</v>
      </c>
      <c r="W141" s="68">
        <f>V140*(1-'Data &amp; Assumptions'!$D$114)</f>
        <v>31.971762788266297</v>
      </c>
      <c r="X141" s="68">
        <f>W140*(1-'Data &amp; Assumptions'!$D$114)</f>
        <v>58.73739729191415</v>
      </c>
      <c r="Y141" s="68">
        <f>X140*(1-'Data &amp; Assumptions'!$D$114)</f>
        <v>-74.10796571673662</v>
      </c>
      <c r="Z141" s="68">
        <f>Y140*(1-'Data &amp; Assumptions'!$D$114)</f>
        <v>23.851265175065137</v>
      </c>
      <c r="AA141" s="68">
        <f>Z140*(1-'Data &amp; Assumptions'!$D$114)</f>
        <v>24.334191350401397</v>
      </c>
      <c r="AB141" s="68">
        <f>AA140*(1-'Data &amp; Assumptions'!$D$114)</f>
        <v>44.332588935557865</v>
      </c>
      <c r="AC141" s="68">
        <f>AB140*(1-'Data &amp; Assumptions'!$D$114)</f>
        <v>-55.06499734047333</v>
      </c>
      <c r="AD141" s="68">
        <f>AC140*(1-'Data &amp; Assumptions'!$D$114)</f>
        <v>18.192524202353113</v>
      </c>
      <c r="AE141" s="68">
        <f>AD140*(1-'Data &amp; Assumptions'!$D$114)</f>
        <v>18.53389562016682</v>
      </c>
      <c r="AF141" s="68">
        <f>AE140*(1-'Data &amp; Assumptions'!$D$114)</f>
        <v>33.47498238636656</v>
      </c>
      <c r="AG141" s="68">
        <f>AF140*(1-'Data &amp; Assumptions'!$D$114)</f>
        <v>-40.89727279163675</v>
      </c>
      <c r="AH141" s="68">
        <f>AG140*(1-'Data &amp; Assumptions'!$D$114)</f>
        <v>13.886475903131695</v>
      </c>
      <c r="AI141" s="68">
        <f>AH140*(1-'Data &amp; Assumptions'!$D$114)</f>
        <v>14.126098452856846</v>
      </c>
      <c r="AJ141" s="68">
        <f>AI140*(1-'Data &amp; Assumptions'!$D$114)</f>
        <v>25.28796024534027</v>
      </c>
      <c r="AK141" s="68">
        <f>AJ140*(1-'Data &amp; Assumptions'!$D$114)</f>
        <v>-30.360360733760803</v>
      </c>
      <c r="AL141" s="68"/>
      <c r="AR141" s="68">
        <f>AR139*$D$101</f>
        <v>17.95517736952663</v>
      </c>
      <c r="AS141" s="68">
        <f>AR140*(1-'Data &amp; Assumptions'!$D$114)</f>
        <v>16.698314953659764</v>
      </c>
      <c r="AT141" s="214">
        <f>S141*'Data &amp; Assumptions'!$D$92</f>
        <v>6.379278134640366</v>
      </c>
      <c r="AU141" s="214">
        <f>T141*'Data &amp; Assumptions'!$D$92</f>
        <v>32.23873880999133</v>
      </c>
      <c r="AV141" s="255">
        <f>U141*'Data &amp; Assumptions'!$D$92</f>
        <v>155.18207133333684</v>
      </c>
      <c r="AW141" s="214">
        <f>V141*'Data &amp; Assumptions'!$D$92</f>
        <v>23.46945939347768</v>
      </c>
      <c r="AX141" s="214">
        <f>W141*'Data &amp; Assumptions'!$D$92</f>
        <v>23.978822091199724</v>
      </c>
      <c r="AY141" s="214">
        <f>X141*'Data &amp; Assumptions'!$D$92</f>
        <v>44.053047968935616</v>
      </c>
      <c r="AZ141" s="214">
        <f>Y141*'Data &amp; Assumptions'!$D$92</f>
        <v>-55.580974287552465</v>
      </c>
      <c r="BA141" s="214">
        <f>Z141*'Data &amp; Assumptions'!$D$92</f>
        <v>17.888448881298853</v>
      </c>
      <c r="BB141" s="214">
        <f>AA141*'Data &amp; Assumptions'!$D$92</f>
        <v>18.250643512801048</v>
      </c>
      <c r="BC141" s="214">
        <f>AB141*'Data &amp; Assumptions'!$D$92</f>
        <v>33.2494417016684</v>
      </c>
      <c r="BD141" s="214">
        <f>AC141*'Data &amp; Assumptions'!$D$92</f>
        <v>-41.298748005355</v>
      </c>
      <c r="BE141" s="214">
        <f>AD141*'Data &amp; Assumptions'!$D$92</f>
        <v>13.644393151764834</v>
      </c>
      <c r="BF141" s="214">
        <f>AE141*'Data &amp; Assumptions'!$D$92</f>
        <v>13.900421715125116</v>
      </c>
      <c r="BG141" s="214">
        <f>AF141*'Data &amp; Assumptions'!$D$92</f>
        <v>25.106236789774922</v>
      </c>
      <c r="BH141" s="214">
        <f>AG141*'Data &amp; Assumptions'!$D$92</f>
        <v>-30.672954593727564</v>
      </c>
      <c r="BI141" s="214">
        <f>AH141*'Data &amp; Assumptions'!$D$92</f>
        <v>10.41485692734877</v>
      </c>
      <c r="BJ141" s="214">
        <f>AI141*'Data &amp; Assumptions'!$D$92</f>
        <v>10.594573839642635</v>
      </c>
      <c r="BK141" s="214">
        <f>AJ141*'Data &amp; Assumptions'!$D$92</f>
        <v>18.9659701840052</v>
      </c>
      <c r="BL141" s="214">
        <f>AK141*'Data &amp; Assumptions'!$D$92</f>
        <v>-22.770270550320603</v>
      </c>
    </row>
    <row r="142" spans="7:64" ht="12.75">
      <c r="G142" s="67"/>
      <c r="H142" t="s">
        <v>288</v>
      </c>
      <c r="L142" s="182" t="s">
        <v>64</v>
      </c>
      <c r="M142" s="63"/>
      <c r="Q142" s="68">
        <f>Q139*$D$102</f>
        <v>8.977588684763315</v>
      </c>
      <c r="R142" s="209">
        <f>Q141*(1-'Data &amp; Assumptions'!$D$114)</f>
        <v>16.698314953659764</v>
      </c>
      <c r="S142" s="68">
        <f>R141*(1-'Data &amp; Assumptions'!$D$114)</f>
        <v>15.52943290690358</v>
      </c>
      <c r="T142" s="68">
        <f>S141*(1-'Data &amp; Assumptions'!$D$114)</f>
        <v>7.910304886954052</v>
      </c>
      <c r="U142" s="209">
        <f>T141*(1-'Data &amp; Assumptions'!$D$114)</f>
        <v>39.976036124389246</v>
      </c>
      <c r="V142" s="68">
        <f>U141*(1-'Data &amp; Assumptions'!$D$114)</f>
        <v>192.42576845333767</v>
      </c>
      <c r="W142" s="68">
        <f>V141*(1-'Data &amp; Assumptions'!$D$114)</f>
        <v>29.102129647912324</v>
      </c>
      <c r="X142" s="68">
        <f>W141*(1-'Data &amp; Assumptions'!$D$114)</f>
        <v>29.733739393087653</v>
      </c>
      <c r="Y142" s="68">
        <f>X141*(1-'Data &amp; Assumptions'!$D$114)</f>
        <v>54.62577948148016</v>
      </c>
      <c r="Z142" s="68">
        <f>Y141*(1-'Data &amp; Assumptions'!$D$114)</f>
        <v>-68.92040811656504</v>
      </c>
      <c r="AA142" s="68">
        <f>Z141*(1-'Data &amp; Assumptions'!$D$114)</f>
        <v>22.181676612810577</v>
      </c>
      <c r="AB142" s="68">
        <f>AA141*(1-'Data &amp; Assumptions'!$D$114)</f>
        <v>22.630797955873298</v>
      </c>
      <c r="AC142" s="68">
        <f>AB141*(1-'Data &amp; Assumptions'!$D$114)</f>
        <v>41.22930771006881</v>
      </c>
      <c r="AD142" s="68">
        <f>AC141*(1-'Data &amp; Assumptions'!$D$114)</f>
        <v>-51.210447526640195</v>
      </c>
      <c r="AE142" s="68">
        <f>AD141*(1-'Data &amp; Assumptions'!$D$114)</f>
        <v>16.919047508188395</v>
      </c>
      <c r="AF142" s="68">
        <f>AE141*(1-'Data &amp; Assumptions'!$D$114)</f>
        <v>17.236522926755143</v>
      </c>
      <c r="AG142" s="68">
        <f>AF141*(1-'Data &amp; Assumptions'!$D$114)</f>
        <v>31.1317336193209</v>
      </c>
      <c r="AH142" s="68">
        <f>AG141*(1-'Data &amp; Assumptions'!$D$114)</f>
        <v>-38.034463696222176</v>
      </c>
      <c r="AI142" s="68">
        <f>AH141*(1-'Data &amp; Assumptions'!$D$114)</f>
        <v>12.914422589912474</v>
      </c>
      <c r="AJ142" s="68">
        <f>AI141*(1-'Data &amp; Assumptions'!$D$114)</f>
        <v>13.137271561156865</v>
      </c>
      <c r="AK142" s="68">
        <f>AJ141*(1-'Data &amp; Assumptions'!$D$114)</f>
        <v>23.517803028166448</v>
      </c>
      <c r="AL142" s="68"/>
      <c r="AR142" s="68">
        <f>AR139*$D$102</f>
        <v>8.977588684763315</v>
      </c>
      <c r="AS142" s="68">
        <f>AR141*(1-'Data &amp; Assumptions'!$D$114)</f>
        <v>16.698314953659764</v>
      </c>
      <c r="AT142" s="214">
        <f>S142*'Data &amp; Assumptions'!$D$92</f>
        <v>11.647074680177685</v>
      </c>
      <c r="AU142" s="214">
        <f>T142*'Data &amp; Assumptions'!$D$92</f>
        <v>5.9327286652155395</v>
      </c>
      <c r="AV142" s="255">
        <f>U142*'Data &amp; Assumptions'!$D$92</f>
        <v>29.982027093291933</v>
      </c>
      <c r="AW142" s="214">
        <f>V142*'Data &amp; Assumptions'!$D$92</f>
        <v>144.31932634000324</v>
      </c>
      <c r="AX142" s="214">
        <f>W142*'Data &amp; Assumptions'!$D$92</f>
        <v>21.826597235934244</v>
      </c>
      <c r="AY142" s="214">
        <f>X142*'Data &amp; Assumptions'!$D$92</f>
        <v>22.300304544815738</v>
      </c>
      <c r="AZ142" s="214">
        <f>Y142*'Data &amp; Assumptions'!$D$92</f>
        <v>40.96933461111012</v>
      </c>
      <c r="BA142" s="214">
        <f>Z142*'Data &amp; Assumptions'!$D$92</f>
        <v>-51.69030608742378</v>
      </c>
      <c r="BB142" s="214">
        <f>AA142*'Data &amp; Assumptions'!$D$92</f>
        <v>16.636257459607933</v>
      </c>
      <c r="BC142" s="214">
        <f>AB142*'Data &amp; Assumptions'!$D$92</f>
        <v>16.973098466904972</v>
      </c>
      <c r="BD142" s="214">
        <f>AC142*'Data &amp; Assumptions'!$D$92</f>
        <v>30.921980782551607</v>
      </c>
      <c r="BE142" s="214">
        <f>AD142*'Data &amp; Assumptions'!$D$92</f>
        <v>-38.407835644980146</v>
      </c>
      <c r="BF142" s="214">
        <f>AE142*'Data &amp; Assumptions'!$D$92</f>
        <v>12.689285631141296</v>
      </c>
      <c r="BG142" s="214">
        <f>AF142*'Data &amp; Assumptions'!$D$92</f>
        <v>12.927392195066357</v>
      </c>
      <c r="BH142" s="214">
        <f>AG142*'Data &amp; Assumptions'!$D$92</f>
        <v>23.348800214490677</v>
      </c>
      <c r="BI142" s="214">
        <f>AH142*'Data &amp; Assumptions'!$D$92</f>
        <v>-28.52584777216663</v>
      </c>
      <c r="BJ142" s="214">
        <f>AI142*'Data &amp; Assumptions'!$D$92</f>
        <v>9.685816942434355</v>
      </c>
      <c r="BK142" s="214">
        <f>AJ142*'Data &amp; Assumptions'!$D$92</f>
        <v>9.852953670867649</v>
      </c>
      <c r="BL142" s="214">
        <f>AK142*'Data &amp; Assumptions'!$D$92</f>
        <v>17.638352271124838</v>
      </c>
    </row>
    <row r="143" spans="7:64" ht="12.75">
      <c r="G143" s="67"/>
      <c r="H143" t="s">
        <v>289</v>
      </c>
      <c r="L143" s="182" t="s">
        <v>64</v>
      </c>
      <c r="M143" s="63"/>
      <c r="Q143" s="68">
        <f>Q139*$D$103</f>
        <v>0</v>
      </c>
      <c r="R143" s="209">
        <f>Q142*(1-'Data &amp; Assumptions'!$D$114)</f>
        <v>8.349157476829882</v>
      </c>
      <c r="S143" s="68">
        <f>R142*(1-'Data &amp; Assumptions'!$D$114)</f>
        <v>15.52943290690358</v>
      </c>
      <c r="T143" s="68">
        <f>S142*(1-'Data &amp; Assumptions'!$D$114)</f>
        <v>14.442372603420328</v>
      </c>
      <c r="U143" s="209">
        <f>T142*(1-'Data &amp; Assumptions'!$D$114)</f>
        <v>7.356583544867268</v>
      </c>
      <c r="V143" s="68">
        <f>U142*(1-'Data &amp; Assumptions'!$D$114)</f>
        <v>37.17771359568199</v>
      </c>
      <c r="W143" s="68">
        <f>V142*(1-'Data &amp; Assumptions'!$D$114)</f>
        <v>178.955964661604</v>
      </c>
      <c r="X143" s="68">
        <f>W142*(1-'Data &amp; Assumptions'!$D$114)</f>
        <v>27.06498057255846</v>
      </c>
      <c r="Y143" s="68">
        <f>X142*(1-'Data &amp; Assumptions'!$D$114)</f>
        <v>27.652377635571515</v>
      </c>
      <c r="Z143" s="68">
        <f>Y142*(1-'Data &amp; Assumptions'!$D$114)</f>
        <v>50.80197491777654</v>
      </c>
      <c r="AA143" s="68">
        <f>Z142*(1-'Data &amp; Assumptions'!$D$114)</f>
        <v>-64.09597954840548</v>
      </c>
      <c r="AB143" s="68">
        <f>AA142*(1-'Data &amp; Assumptions'!$D$114)</f>
        <v>20.628959249913834</v>
      </c>
      <c r="AC143" s="68">
        <f>AB142*(1-'Data &amp; Assumptions'!$D$114)</f>
        <v>21.046642098962167</v>
      </c>
      <c r="AD143" s="68">
        <f>AC142*(1-'Data &amp; Assumptions'!$D$114)</f>
        <v>38.34325617036399</v>
      </c>
      <c r="AE143" s="68">
        <f>AD142*(1-'Data &amp; Assumptions'!$D$114)</f>
        <v>-47.625716199775376</v>
      </c>
      <c r="AF143" s="68">
        <f>AE142*(1-'Data &amp; Assumptions'!$D$114)</f>
        <v>15.734714182615207</v>
      </c>
      <c r="AG143" s="68">
        <f>AF142*(1-'Data &amp; Assumptions'!$D$114)</f>
        <v>16.02996632188228</v>
      </c>
      <c r="AH143" s="68">
        <f>AG142*(1-'Data &amp; Assumptions'!$D$114)</f>
        <v>28.952512265968437</v>
      </c>
      <c r="AI143" s="68">
        <f>AH142*(1-'Data &amp; Assumptions'!$D$114)</f>
        <v>-35.37205123748662</v>
      </c>
      <c r="AJ143" s="68">
        <f>AI142*(1-'Data &amp; Assumptions'!$D$114)</f>
        <v>12.0104130086186</v>
      </c>
      <c r="AK143" s="68">
        <f>AJ142*(1-'Data &amp; Assumptions'!$D$114)</f>
        <v>12.217662551875884</v>
      </c>
      <c r="AL143" s="68"/>
      <c r="AR143" s="68">
        <f>AR139*$D$103</f>
        <v>0</v>
      </c>
      <c r="AS143" s="68">
        <f>AR142*(1-'Data &amp; Assumptions'!$D$114)</f>
        <v>8.349157476829882</v>
      </c>
      <c r="AT143" s="214">
        <f>S143*'Data &amp; Assumptions'!$D$92</f>
        <v>11.647074680177685</v>
      </c>
      <c r="AU143" s="214">
        <f>T143*'Data &amp; Assumptions'!$D$92</f>
        <v>10.831779452565247</v>
      </c>
      <c r="AV143" s="255">
        <f>U143*'Data &amp; Assumptions'!$D$92</f>
        <v>5.517437658650451</v>
      </c>
      <c r="AW143" s="214">
        <f>V143*'Data &amp; Assumptions'!$D$92</f>
        <v>27.883285196761495</v>
      </c>
      <c r="AX143" s="214">
        <f>W143*'Data &amp; Assumptions'!$D$92</f>
        <v>134.21697349620302</v>
      </c>
      <c r="AY143" s="214">
        <f>X143*'Data &amp; Assumptions'!$D$92</f>
        <v>20.298735429418848</v>
      </c>
      <c r="AZ143" s="214">
        <f>Y143*'Data &amp; Assumptions'!$D$92</f>
        <v>20.739283226678637</v>
      </c>
      <c r="BA143" s="214">
        <f>Z143*'Data &amp; Assumptions'!$D$92</f>
        <v>38.10148118833241</v>
      </c>
      <c r="BB143" s="214">
        <f>AA143*'Data &amp; Assumptions'!$D$92</f>
        <v>-48.071984661304114</v>
      </c>
      <c r="BC143" s="214">
        <f>AB143*'Data &amp; Assumptions'!$D$92</f>
        <v>15.471719437435375</v>
      </c>
      <c r="BD143" s="214">
        <f>AC143*'Data &amp; Assumptions'!$D$92</f>
        <v>15.784981574221625</v>
      </c>
      <c r="BE143" s="214">
        <f>AD143*'Data &amp; Assumptions'!$D$92</f>
        <v>28.757442127772997</v>
      </c>
      <c r="BF143" s="214">
        <f>AE143*'Data &amp; Assumptions'!$D$92</f>
        <v>-35.71928714983153</v>
      </c>
      <c r="BG143" s="214">
        <f>AF143*'Data &amp; Assumptions'!$D$92</f>
        <v>11.801035636961405</v>
      </c>
      <c r="BH143" s="214">
        <f>AG143*'Data &amp; Assumptions'!$D$92</f>
        <v>12.02247474141171</v>
      </c>
      <c r="BI143" s="214">
        <f>AH143*'Data &amp; Assumptions'!$D$92</f>
        <v>21.714384199476328</v>
      </c>
      <c r="BJ143" s="214">
        <f>AI143*'Data &amp; Assumptions'!$D$92</f>
        <v>-26.529038428114966</v>
      </c>
      <c r="BK143" s="214">
        <f>AJ143*'Data &amp; Assumptions'!$D$92</f>
        <v>9.007809756463951</v>
      </c>
      <c r="BL143" s="214">
        <f>AK143*'Data &amp; Assumptions'!$D$92</f>
        <v>9.163246913906914</v>
      </c>
    </row>
    <row r="144" spans="7:64" ht="12.75">
      <c r="G144" s="67"/>
      <c r="L144" s="182"/>
      <c r="M144" s="63"/>
      <c r="Q144" s="68"/>
      <c r="R144" s="209"/>
      <c r="S144" s="68"/>
      <c r="T144" s="68"/>
      <c r="U144" s="209"/>
      <c r="V144" s="68"/>
      <c r="W144" s="68"/>
      <c r="X144" s="68"/>
      <c r="Y144" s="68"/>
      <c r="Z144" s="68"/>
      <c r="AA144" s="68"/>
      <c r="AB144" s="68"/>
      <c r="AC144" s="68"/>
      <c r="AD144" s="68"/>
      <c r="AE144" s="68"/>
      <c r="AF144" s="68"/>
      <c r="AG144" s="68"/>
      <c r="AH144" s="68"/>
      <c r="AI144" s="68"/>
      <c r="AJ144" s="68"/>
      <c r="AK144" s="68"/>
      <c r="AL144" s="68"/>
      <c r="AR144" s="68"/>
      <c r="AS144" s="68"/>
      <c r="AT144" s="214"/>
      <c r="AU144" s="214"/>
      <c r="AV144" s="255"/>
      <c r="AW144" s="214"/>
      <c r="AX144" s="214"/>
      <c r="AY144" s="214"/>
      <c r="AZ144" s="214"/>
      <c r="BA144" s="214"/>
      <c r="BB144" s="214"/>
      <c r="BC144" s="214"/>
      <c r="BD144" s="214"/>
      <c r="BE144" s="214"/>
      <c r="BF144" s="214"/>
      <c r="BG144" s="214"/>
      <c r="BH144" s="214"/>
      <c r="BI144" s="214"/>
      <c r="BJ144" s="214"/>
      <c r="BK144" s="214"/>
      <c r="BL144" s="214"/>
    </row>
    <row r="145" spans="5:64" ht="12.75">
      <c r="E145" s="1" t="s">
        <v>450</v>
      </c>
      <c r="G145" s="67"/>
      <c r="L145" s="182"/>
      <c r="M145" s="63"/>
      <c r="Q145" s="68">
        <f>Q99+Q104+Q109+Q114+Q119+Q124+Q129+Q134+Q139</f>
        <v>926.7530319735394</v>
      </c>
      <c r="R145" s="68">
        <f aca="true" t="shared" si="121" ref="R145:AK145">R99+R104+R109+R114+R119+R124+R129+R134+R139</f>
        <v>1050.7062499999993</v>
      </c>
      <c r="S145" s="68">
        <f t="shared" si="121"/>
        <v>1771.1101914999997</v>
      </c>
      <c r="T145" s="68">
        <f t="shared" si="121"/>
        <v>5942.328584653836</v>
      </c>
      <c r="U145" s="68">
        <f t="shared" si="121"/>
        <v>5943.755209854149</v>
      </c>
      <c r="V145" s="68">
        <f t="shared" si="121"/>
        <v>6096.211221711225</v>
      </c>
      <c r="W145" s="68">
        <f t="shared" si="121"/>
        <v>6259.603360870168</v>
      </c>
      <c r="X145" s="68">
        <f t="shared" si="121"/>
        <v>740.1590842501795</v>
      </c>
      <c r="Y145" s="68">
        <f t="shared" si="121"/>
        <v>698.1772609915088</v>
      </c>
      <c r="Z145" s="68">
        <f t="shared" si="121"/>
        <v>658.5766467480828</v>
      </c>
      <c r="AA145" s="68">
        <f t="shared" si="121"/>
        <v>621.2221793445211</v>
      </c>
      <c r="AB145" s="68">
        <f t="shared" si="121"/>
        <v>585.9864573321036</v>
      </c>
      <c r="AC145" s="68">
        <f t="shared" si="121"/>
        <v>552.74930547223</v>
      </c>
      <c r="AD145" s="68">
        <f t="shared" si="121"/>
        <v>521.3973648658354</v>
      </c>
      <c r="AE145" s="68">
        <f t="shared" si="121"/>
        <v>491.82370633065483</v>
      </c>
      <c r="AF145" s="68">
        <f t="shared" si="121"/>
        <v>463.9274657075701</v>
      </c>
      <c r="AG145" s="68">
        <f t="shared" si="121"/>
        <v>437.61349985264496</v>
      </c>
      <c r="AH145" s="68">
        <f t="shared" si="121"/>
        <v>412.79206214099713</v>
      </c>
      <c r="AI145" s="68">
        <f t="shared" si="121"/>
        <v>389.37849637636566</v>
      </c>
      <c r="AJ145" s="68">
        <f t="shared" si="121"/>
        <v>367.29294806189216</v>
      </c>
      <c r="AK145" s="68">
        <f t="shared" si="121"/>
        <v>346.46009204782615</v>
      </c>
      <c r="AL145" s="68"/>
      <c r="AR145" s="68"/>
      <c r="AS145" s="68"/>
      <c r="AT145" s="214"/>
      <c r="AU145" s="214"/>
      <c r="AV145" s="255"/>
      <c r="AW145" s="214"/>
      <c r="AX145" s="214"/>
      <c r="AY145" s="214"/>
      <c r="AZ145" s="214"/>
      <c r="BA145" s="214"/>
      <c r="BB145" s="214"/>
      <c r="BC145" s="214"/>
      <c r="BD145" s="214"/>
      <c r="BE145" s="214"/>
      <c r="BF145" s="214"/>
      <c r="BG145" s="214"/>
      <c r="BH145" s="214"/>
      <c r="BI145" s="214"/>
      <c r="BJ145" s="214"/>
      <c r="BK145" s="214"/>
      <c r="BL145" s="214"/>
    </row>
    <row r="146" spans="7:38" ht="12.75">
      <c r="G146" s="67"/>
      <c r="L146" s="182"/>
      <c r="M146" s="63"/>
      <c r="Q146" s="68"/>
      <c r="R146" s="209"/>
      <c r="S146" s="68"/>
      <c r="T146" s="68"/>
      <c r="U146" s="209"/>
      <c r="V146" s="68"/>
      <c r="W146" s="68"/>
      <c r="X146" s="68"/>
      <c r="Y146" s="68"/>
      <c r="Z146" s="68"/>
      <c r="AA146" s="68"/>
      <c r="AB146" s="68"/>
      <c r="AC146" s="68"/>
      <c r="AD146" s="68"/>
      <c r="AE146" s="68"/>
      <c r="AF146" s="68"/>
      <c r="AG146" s="68"/>
      <c r="AH146" s="68"/>
      <c r="AI146" s="68"/>
      <c r="AJ146" s="68"/>
      <c r="AK146" s="68"/>
      <c r="AL146" s="68"/>
    </row>
    <row r="147" spans="6:73" s="193" customFormat="1" ht="25.5" customHeight="1">
      <c r="F147" s="427" t="s">
        <v>417</v>
      </c>
      <c r="G147" s="427"/>
      <c r="H147" s="427"/>
      <c r="I147" s="427"/>
      <c r="J147" s="427"/>
      <c r="K147" s="427"/>
      <c r="L147" s="190" t="s">
        <v>184</v>
      </c>
      <c r="M147" s="210">
        <f>'Data &amp; Assumptions'!D115</f>
        <v>12.5</v>
      </c>
      <c r="Q147" s="198"/>
      <c r="R147" s="248"/>
      <c r="S147" s="198"/>
      <c r="T147" s="198"/>
      <c r="U147" s="248"/>
      <c r="V147" s="198"/>
      <c r="W147" s="198"/>
      <c r="X147" s="198"/>
      <c r="Y147" s="198"/>
      <c r="Z147" s="198"/>
      <c r="AA147" s="198"/>
      <c r="AB147" s="198"/>
      <c r="AC147" s="198"/>
      <c r="AD147" s="198"/>
      <c r="AE147" s="198"/>
      <c r="AF147" s="198"/>
      <c r="AG147" s="198"/>
      <c r="AH147" s="198"/>
      <c r="AI147" s="198"/>
      <c r="AJ147" s="198"/>
      <c r="AK147" s="198"/>
      <c r="AL147" s="198"/>
      <c r="AM147" s="205"/>
      <c r="AV147" s="221"/>
      <c r="BN147" s="205"/>
      <c r="BU147" s="221"/>
    </row>
    <row r="148" spans="6:89" s="193" customFormat="1" ht="12.75" customHeight="1">
      <c r="F148" s="192"/>
      <c r="G148" s="196" t="s">
        <v>233</v>
      </c>
      <c r="H148" s="192"/>
      <c r="I148" s="192"/>
      <c r="J148" s="192"/>
      <c r="K148" s="192"/>
      <c r="L148" s="190" t="s">
        <v>184</v>
      </c>
      <c r="M148" s="210"/>
      <c r="Q148" s="198"/>
      <c r="R148" s="248">
        <f>R100*$M$147</f>
        <v>1327.0879853961271</v>
      </c>
      <c r="S148" s="198">
        <f aca="true" t="shared" si="122" ref="S148:AK148">S100*$M$147</f>
        <v>6706.658972391028</v>
      </c>
      <c r="T148" s="198">
        <f t="shared" si="122"/>
        <v>32282.690622481754</v>
      </c>
      <c r="U148" s="248">
        <f t="shared" si="122"/>
        <v>4882.376489543474</v>
      </c>
      <c r="V148" s="198">
        <f t="shared" si="122"/>
        <v>4988.339750917052</v>
      </c>
      <c r="W148" s="198">
        <f t="shared" si="122"/>
        <v>9164.402216952454</v>
      </c>
      <c r="X148" s="198">
        <f t="shared" si="122"/>
        <v>-11562.568935988473</v>
      </c>
      <c r="Y148" s="198">
        <f t="shared" si="122"/>
        <v>3721.352962937307</v>
      </c>
      <c r="Z148" s="198">
        <f t="shared" si="122"/>
        <v>3796.700695658238</v>
      </c>
      <c r="AA148" s="198">
        <f t="shared" si="122"/>
        <v>6916.916565184513</v>
      </c>
      <c r="AB148" s="198">
        <f t="shared" si="122"/>
        <v>-8591.422278987937</v>
      </c>
      <c r="AC148" s="198">
        <f t="shared" si="122"/>
        <v>2838.4575554722533</v>
      </c>
      <c r="AD148" s="198">
        <f t="shared" si="122"/>
        <v>2891.7194486178964</v>
      </c>
      <c r="AE148" s="198">
        <f t="shared" si="122"/>
        <v>5222.877024486182</v>
      </c>
      <c r="AF148" s="198">
        <f t="shared" si="122"/>
        <v>-6380.9272238656</v>
      </c>
      <c r="AG148" s="198">
        <f t="shared" si="122"/>
        <v>2166.6137149362066</v>
      </c>
      <c r="AH148" s="198">
        <f t="shared" si="122"/>
        <v>2204.000414503853</v>
      </c>
      <c r="AI148" s="198">
        <f t="shared" si="122"/>
        <v>3945.510860531427</v>
      </c>
      <c r="AJ148" s="198">
        <f t="shared" si="122"/>
        <v>-4736.923494127343</v>
      </c>
      <c r="AK148" s="198">
        <f t="shared" si="122"/>
        <v>1655.0203707874846</v>
      </c>
      <c r="AL148" s="198"/>
      <c r="AM148" s="205"/>
      <c r="AV148" s="221"/>
      <c r="BN148" s="205"/>
      <c r="BQ148" s="212">
        <f>Q148</f>
        <v>0</v>
      </c>
      <c r="BR148" s="212">
        <f aca="true" t="shared" si="123" ref="BR148:BR157">R148</f>
        <v>1327.0879853961271</v>
      </c>
      <c r="BS148" s="212">
        <f aca="true" t="shared" si="124" ref="BS148:BS157">S148</f>
        <v>6706.658972391028</v>
      </c>
      <c r="BT148" s="212">
        <f aca="true" t="shared" si="125" ref="BT148:BT157">T148</f>
        <v>32282.690622481754</v>
      </c>
      <c r="BU148" s="226">
        <f aca="true" t="shared" si="126" ref="BU148:BU157">U148</f>
        <v>4882.376489543474</v>
      </c>
      <c r="BV148" s="212">
        <f aca="true" t="shared" si="127" ref="BV148:BV157">V148</f>
        <v>4988.339750917052</v>
      </c>
      <c r="BW148" s="212">
        <f aca="true" t="shared" si="128" ref="BW148:BW157">W148</f>
        <v>9164.402216952454</v>
      </c>
      <c r="BX148" s="212">
        <f aca="true" t="shared" si="129" ref="BX148:BX157">X148</f>
        <v>-11562.568935988473</v>
      </c>
      <c r="BY148" s="212">
        <f aca="true" t="shared" si="130" ref="BY148:BY157">Y148</f>
        <v>3721.352962937307</v>
      </c>
      <c r="BZ148" s="212">
        <f aca="true" t="shared" si="131" ref="BZ148:BZ157">Z148</f>
        <v>3796.700695658238</v>
      </c>
      <c r="CA148" s="212">
        <f aca="true" t="shared" si="132" ref="CA148:CA157">AA148</f>
        <v>6916.916565184513</v>
      </c>
      <c r="CB148" s="212">
        <f aca="true" t="shared" si="133" ref="CB148:CB157">AB148</f>
        <v>-8591.422278987937</v>
      </c>
      <c r="CC148" s="212">
        <f aca="true" t="shared" si="134" ref="CC148:CC157">AC148</f>
        <v>2838.4575554722533</v>
      </c>
      <c r="CD148" s="212">
        <f aca="true" t="shared" si="135" ref="CD148:CD157">AD148</f>
        <v>2891.7194486178964</v>
      </c>
      <c r="CE148" s="212">
        <f aca="true" t="shared" si="136" ref="CE148:CE157">AE148</f>
        <v>5222.877024486182</v>
      </c>
      <c r="CF148" s="212">
        <f aca="true" t="shared" si="137" ref="CF148:CF157">AF148</f>
        <v>-6380.9272238656</v>
      </c>
      <c r="CG148" s="212">
        <f aca="true" t="shared" si="138" ref="CG148:CG157">AG148</f>
        <v>2166.6137149362066</v>
      </c>
      <c r="CH148" s="212">
        <f aca="true" t="shared" si="139" ref="CH148:CH157">AH148</f>
        <v>2204.000414503853</v>
      </c>
      <c r="CI148" s="212">
        <f aca="true" t="shared" si="140" ref="CI148:CI157">AI148</f>
        <v>3945.510860531427</v>
      </c>
      <c r="CJ148" s="212">
        <f aca="true" t="shared" si="141" ref="CJ148:CJ157">AJ148</f>
        <v>-4736.923494127343</v>
      </c>
      <c r="CK148" s="212">
        <f aca="true" t="shared" si="142" ref="CK148:CK157">AK148</f>
        <v>1655.0203707874846</v>
      </c>
    </row>
    <row r="149" spans="6:89" s="193" customFormat="1" ht="12.75" customHeight="1">
      <c r="F149" s="192"/>
      <c r="G149" s="196" t="s">
        <v>73</v>
      </c>
      <c r="H149" s="192"/>
      <c r="I149" s="192"/>
      <c r="J149" s="192"/>
      <c r="K149" s="192"/>
      <c r="L149" s="190" t="s">
        <v>184</v>
      </c>
      <c r="M149" s="210"/>
      <c r="Q149" s="198"/>
      <c r="R149" s="248">
        <f aca="true" t="shared" si="143" ref="R149:AK149">R105*$M$147</f>
        <v>132.89663831107663</v>
      </c>
      <c r="S149" s="198">
        <f t="shared" si="143"/>
        <v>671.6151766407154</v>
      </c>
      <c r="T149" s="198">
        <f t="shared" si="143"/>
        <v>3232.8384452096025</v>
      </c>
      <c r="U149" s="248">
        <f t="shared" si="143"/>
        <v>488.9287142748782</v>
      </c>
      <c r="V149" s="198">
        <f t="shared" si="143"/>
        <v>499.54003875071436</v>
      </c>
      <c r="W149" s="198">
        <f t="shared" si="143"/>
        <v>917.7373769984272</v>
      </c>
      <c r="X149" s="198">
        <f t="shared" si="143"/>
        <v>-1157.8934921743594</v>
      </c>
      <c r="Y149" s="198">
        <f t="shared" si="143"/>
        <v>372.6620270740443</v>
      </c>
      <c r="Z149" s="198">
        <f t="shared" si="143"/>
        <v>380.20746527645707</v>
      </c>
      <c r="AA149" s="198">
        <f t="shared" si="143"/>
        <v>692.6706963719909</v>
      </c>
      <c r="AB149" s="198">
        <f t="shared" si="143"/>
        <v>-860.3582820076393</v>
      </c>
      <c r="AC149" s="198">
        <f t="shared" si="143"/>
        <v>284.24751882471224</v>
      </c>
      <c r="AD149" s="198">
        <f t="shared" si="143"/>
        <v>289.5812469776546</v>
      </c>
      <c r="AE149" s="198">
        <f t="shared" si="143"/>
        <v>523.0269631739602</v>
      </c>
      <c r="AF149" s="198">
        <f t="shared" si="143"/>
        <v>-638.9958967989935</v>
      </c>
      <c r="AG149" s="198">
        <f t="shared" si="143"/>
        <v>216.96804010153122</v>
      </c>
      <c r="AH149" s="198">
        <f t="shared" si="143"/>
        <v>220.7120018770672</v>
      </c>
      <c r="AI149" s="198">
        <f t="shared" si="143"/>
        <v>395.10954477366624</v>
      </c>
      <c r="AJ149" s="198">
        <f t="shared" si="143"/>
        <v>-474.36282690657583</v>
      </c>
      <c r="AK149" s="198">
        <f t="shared" si="143"/>
        <v>165.73629332370697</v>
      </c>
      <c r="AL149" s="198"/>
      <c r="AM149" s="205"/>
      <c r="AV149" s="221"/>
      <c r="BN149" s="205"/>
      <c r="BQ149" s="212">
        <f aca="true" t="shared" si="144" ref="BQ149:BQ157">Q149</f>
        <v>0</v>
      </c>
      <c r="BR149" s="212">
        <f t="shared" si="123"/>
        <v>132.89663831107663</v>
      </c>
      <c r="BS149" s="212">
        <f t="shared" si="124"/>
        <v>671.6151766407154</v>
      </c>
      <c r="BT149" s="212">
        <f t="shared" si="125"/>
        <v>3232.8384452096025</v>
      </c>
      <c r="BU149" s="226">
        <f t="shared" si="126"/>
        <v>488.9287142748782</v>
      </c>
      <c r="BV149" s="212">
        <f t="shared" si="127"/>
        <v>499.54003875071436</v>
      </c>
      <c r="BW149" s="212">
        <f t="shared" si="128"/>
        <v>917.7373769984272</v>
      </c>
      <c r="BX149" s="212">
        <f t="shared" si="129"/>
        <v>-1157.8934921743594</v>
      </c>
      <c r="BY149" s="212">
        <f t="shared" si="130"/>
        <v>372.6620270740443</v>
      </c>
      <c r="BZ149" s="212">
        <f t="shared" si="131"/>
        <v>380.20746527645707</v>
      </c>
      <c r="CA149" s="212">
        <f t="shared" si="132"/>
        <v>692.6706963719909</v>
      </c>
      <c r="CB149" s="212">
        <f t="shared" si="133"/>
        <v>-860.3582820076393</v>
      </c>
      <c r="CC149" s="212">
        <f t="shared" si="134"/>
        <v>284.24751882471224</v>
      </c>
      <c r="CD149" s="212">
        <f t="shared" si="135"/>
        <v>289.5812469776546</v>
      </c>
      <c r="CE149" s="212">
        <f t="shared" si="136"/>
        <v>523.0269631739602</v>
      </c>
      <c r="CF149" s="212">
        <f t="shared" si="137"/>
        <v>-638.9958967989935</v>
      </c>
      <c r="CG149" s="212">
        <f t="shared" si="138"/>
        <v>216.96804010153122</v>
      </c>
      <c r="CH149" s="212">
        <f t="shared" si="139"/>
        <v>220.7120018770672</v>
      </c>
      <c r="CI149" s="212">
        <f t="shared" si="140"/>
        <v>395.10954477366624</v>
      </c>
      <c r="CJ149" s="212">
        <f t="shared" si="141"/>
        <v>-474.36282690657583</v>
      </c>
      <c r="CK149" s="212">
        <f t="shared" si="142"/>
        <v>165.73629332370697</v>
      </c>
    </row>
    <row r="150" spans="6:89" s="193" customFormat="1" ht="12.75" customHeight="1">
      <c r="F150" s="192"/>
      <c r="G150" s="196" t="s">
        <v>72</v>
      </c>
      <c r="H150" s="192"/>
      <c r="I150" s="192"/>
      <c r="J150" s="192"/>
      <c r="K150" s="192"/>
      <c r="L150" s="190" t="s">
        <v>184</v>
      </c>
      <c r="M150" s="210"/>
      <c r="Q150" s="198"/>
      <c r="R150" s="248">
        <f aca="true" t="shared" si="145" ref="R150:AK150">R110*$M$147</f>
        <v>167.64699603199387</v>
      </c>
      <c r="S150" s="198">
        <f t="shared" si="145"/>
        <v>847.2318659389963</v>
      </c>
      <c r="T150" s="198">
        <f t="shared" si="145"/>
        <v>4078.174293073596</v>
      </c>
      <c r="U150" s="248">
        <f t="shared" si="145"/>
        <v>616.7757985729044</v>
      </c>
      <c r="V150" s="198">
        <f t="shared" si="145"/>
        <v>630.1618156678636</v>
      </c>
      <c r="W150" s="198">
        <f t="shared" si="145"/>
        <v>1157.711108086346</v>
      </c>
      <c r="X150" s="198">
        <f t="shared" si="145"/>
        <v>-1460.664228643965</v>
      </c>
      <c r="Y150" s="198">
        <f t="shared" si="145"/>
        <v>470.10722143262</v>
      </c>
      <c r="Z150" s="198">
        <f t="shared" si="145"/>
        <v>479.6256717445127</v>
      </c>
      <c r="AA150" s="198">
        <f t="shared" si="145"/>
        <v>873.7930692748967</v>
      </c>
      <c r="AB150" s="198">
        <f t="shared" si="145"/>
        <v>-1085.3282921438954</v>
      </c>
      <c r="AC150" s="198">
        <f t="shared" si="145"/>
        <v>358.57372516050106</v>
      </c>
      <c r="AD150" s="198">
        <f t="shared" si="145"/>
        <v>365.30213841350354</v>
      </c>
      <c r="AE150" s="198">
        <f t="shared" si="145"/>
        <v>659.790197360787</v>
      </c>
      <c r="AF150" s="198">
        <f t="shared" si="145"/>
        <v>-806.0831630997799</v>
      </c>
      <c r="AG150" s="198">
        <f t="shared" si="145"/>
        <v>273.7017325662396</v>
      </c>
      <c r="AH150" s="198">
        <f t="shared" si="145"/>
        <v>278.42468081310267</v>
      </c>
      <c r="AI150" s="198">
        <f t="shared" si="145"/>
        <v>498.4244080713885</v>
      </c>
      <c r="AJ150" s="198">
        <f t="shared" si="145"/>
        <v>-598.4011632708311</v>
      </c>
      <c r="AK150" s="198">
        <f t="shared" si="145"/>
        <v>209.07369864509965</v>
      </c>
      <c r="AL150" s="198"/>
      <c r="AM150" s="205"/>
      <c r="AV150" s="221"/>
      <c r="BN150" s="205"/>
      <c r="BQ150" s="212">
        <f t="shared" si="144"/>
        <v>0</v>
      </c>
      <c r="BR150" s="212">
        <f t="shared" si="123"/>
        <v>167.64699603199387</v>
      </c>
      <c r="BS150" s="212">
        <f t="shared" si="124"/>
        <v>847.2318659389963</v>
      </c>
      <c r="BT150" s="212">
        <f t="shared" si="125"/>
        <v>4078.174293073596</v>
      </c>
      <c r="BU150" s="226">
        <f t="shared" si="126"/>
        <v>616.7757985729044</v>
      </c>
      <c r="BV150" s="212">
        <f t="shared" si="127"/>
        <v>630.1618156678636</v>
      </c>
      <c r="BW150" s="212">
        <f t="shared" si="128"/>
        <v>1157.711108086346</v>
      </c>
      <c r="BX150" s="212">
        <f t="shared" si="129"/>
        <v>-1460.664228643965</v>
      </c>
      <c r="BY150" s="212">
        <f t="shared" si="130"/>
        <v>470.10722143262</v>
      </c>
      <c r="BZ150" s="212">
        <f t="shared" si="131"/>
        <v>479.6256717445127</v>
      </c>
      <c r="CA150" s="212">
        <f t="shared" si="132"/>
        <v>873.7930692748967</v>
      </c>
      <c r="CB150" s="212">
        <f t="shared" si="133"/>
        <v>-1085.3282921438954</v>
      </c>
      <c r="CC150" s="212">
        <f t="shared" si="134"/>
        <v>358.57372516050106</v>
      </c>
      <c r="CD150" s="212">
        <f t="shared" si="135"/>
        <v>365.30213841350354</v>
      </c>
      <c r="CE150" s="212">
        <f t="shared" si="136"/>
        <v>659.790197360787</v>
      </c>
      <c r="CF150" s="212">
        <f t="shared" si="137"/>
        <v>-806.0831630997799</v>
      </c>
      <c r="CG150" s="212">
        <f t="shared" si="138"/>
        <v>273.7017325662396</v>
      </c>
      <c r="CH150" s="212">
        <f t="shared" si="139"/>
        <v>278.42468081310267</v>
      </c>
      <c r="CI150" s="212">
        <f t="shared" si="140"/>
        <v>498.4244080713885</v>
      </c>
      <c r="CJ150" s="212">
        <f t="shared" si="141"/>
        <v>-598.4011632708311</v>
      </c>
      <c r="CK150" s="212">
        <f t="shared" si="142"/>
        <v>209.07369864509965</v>
      </c>
    </row>
    <row r="151" spans="6:89" s="193" customFormat="1" ht="12.75" customHeight="1">
      <c r="F151" s="192"/>
      <c r="G151" s="196" t="s">
        <v>85</v>
      </c>
      <c r="H151" s="192"/>
      <c r="I151" s="192"/>
      <c r="J151" s="192"/>
      <c r="K151" s="192"/>
      <c r="L151" s="190" t="s">
        <v>184</v>
      </c>
      <c r="M151" s="210"/>
      <c r="Q151" s="198"/>
      <c r="R151" s="248">
        <f aca="true" t="shared" si="146" ref="R151:AK151">R115*$M$147</f>
        <v>92.93372693202207</v>
      </c>
      <c r="S151" s="198">
        <f t="shared" si="146"/>
        <v>469.6559839476942</v>
      </c>
      <c r="T151" s="198">
        <f t="shared" si="146"/>
        <v>2260.7022201660097</v>
      </c>
      <c r="U151" s="248">
        <f t="shared" si="146"/>
        <v>341.904567332148</v>
      </c>
      <c r="V151" s="198">
        <f t="shared" si="146"/>
        <v>349.32499529599414</v>
      </c>
      <c r="W151" s="198">
        <f t="shared" si="146"/>
        <v>641.7675862473114</v>
      </c>
      <c r="X151" s="198">
        <f t="shared" si="146"/>
        <v>-809.7071452342941</v>
      </c>
      <c r="Y151" s="198">
        <f t="shared" si="146"/>
        <v>260.6000535616689</v>
      </c>
      <c r="Z151" s="198">
        <f t="shared" si="146"/>
        <v>265.87652783820124</v>
      </c>
      <c r="AA151" s="198">
        <f t="shared" si="146"/>
        <v>484.3799675336301</v>
      </c>
      <c r="AB151" s="198">
        <f t="shared" si="146"/>
        <v>-601.6427703509228</v>
      </c>
      <c r="AC151" s="198">
        <f t="shared" si="146"/>
        <v>198.77238153855066</v>
      </c>
      <c r="AD151" s="198">
        <f t="shared" si="146"/>
        <v>202.50222182641977</v>
      </c>
      <c r="AE151" s="198">
        <f t="shared" si="146"/>
        <v>365.7492438591128</v>
      </c>
      <c r="AF151" s="198">
        <f t="shared" si="146"/>
        <v>-446.8455405530788</v>
      </c>
      <c r="AG151" s="198">
        <f t="shared" si="146"/>
        <v>151.7242937671103</v>
      </c>
      <c r="AH151" s="198">
        <f t="shared" si="146"/>
        <v>154.3424211006026</v>
      </c>
      <c r="AI151" s="198">
        <f t="shared" si="146"/>
        <v>276.2974519813078</v>
      </c>
      <c r="AJ151" s="198">
        <f t="shared" si="146"/>
        <v>-331.71874008767145</v>
      </c>
      <c r="AK151" s="198">
        <f t="shared" si="146"/>
        <v>115.89827720410686</v>
      </c>
      <c r="AL151" s="198"/>
      <c r="AM151" s="205"/>
      <c r="AV151" s="221"/>
      <c r="BN151" s="205"/>
      <c r="BQ151" s="212">
        <f t="shared" si="144"/>
        <v>0</v>
      </c>
      <c r="BR151" s="212">
        <f t="shared" si="123"/>
        <v>92.93372693202207</v>
      </c>
      <c r="BS151" s="212">
        <f t="shared" si="124"/>
        <v>469.6559839476942</v>
      </c>
      <c r="BT151" s="212">
        <f t="shared" si="125"/>
        <v>2260.7022201660097</v>
      </c>
      <c r="BU151" s="226">
        <f t="shared" si="126"/>
        <v>341.904567332148</v>
      </c>
      <c r="BV151" s="212">
        <f t="shared" si="127"/>
        <v>349.32499529599414</v>
      </c>
      <c r="BW151" s="212">
        <f t="shared" si="128"/>
        <v>641.7675862473114</v>
      </c>
      <c r="BX151" s="212">
        <f t="shared" si="129"/>
        <v>-809.7071452342941</v>
      </c>
      <c r="BY151" s="212">
        <f t="shared" si="130"/>
        <v>260.6000535616689</v>
      </c>
      <c r="BZ151" s="212">
        <f t="shared" si="131"/>
        <v>265.87652783820124</v>
      </c>
      <c r="CA151" s="212">
        <f t="shared" si="132"/>
        <v>484.3799675336301</v>
      </c>
      <c r="CB151" s="212">
        <f t="shared" si="133"/>
        <v>-601.6427703509228</v>
      </c>
      <c r="CC151" s="212">
        <f t="shared" si="134"/>
        <v>198.77238153855066</v>
      </c>
      <c r="CD151" s="212">
        <f t="shared" si="135"/>
        <v>202.50222182641977</v>
      </c>
      <c r="CE151" s="212">
        <f t="shared" si="136"/>
        <v>365.7492438591128</v>
      </c>
      <c r="CF151" s="212">
        <f t="shared" si="137"/>
        <v>-446.8455405530788</v>
      </c>
      <c r="CG151" s="212">
        <f t="shared" si="138"/>
        <v>151.7242937671103</v>
      </c>
      <c r="CH151" s="212">
        <f t="shared" si="139"/>
        <v>154.3424211006026</v>
      </c>
      <c r="CI151" s="212">
        <f t="shared" si="140"/>
        <v>276.2974519813078</v>
      </c>
      <c r="CJ151" s="212">
        <f t="shared" si="141"/>
        <v>-331.71874008767145</v>
      </c>
      <c r="CK151" s="212">
        <f t="shared" si="142"/>
        <v>115.89827720410686</v>
      </c>
    </row>
    <row r="152" spans="6:89" s="193" customFormat="1" ht="12.75" customHeight="1">
      <c r="F152" s="192"/>
      <c r="G152" s="196" t="s">
        <v>81</v>
      </c>
      <c r="H152" s="192"/>
      <c r="I152" s="192"/>
      <c r="J152" s="192"/>
      <c r="K152" s="192"/>
      <c r="L152" s="190" t="s">
        <v>184</v>
      </c>
      <c r="M152" s="210"/>
      <c r="Q152" s="198"/>
      <c r="R152" s="248">
        <f aca="true" t="shared" si="147" ref="R152:AK152">R120*$M$147</f>
        <v>169.2905940323057</v>
      </c>
      <c r="S152" s="198">
        <f t="shared" si="147"/>
        <v>855.5380607031044</v>
      </c>
      <c r="T152" s="198">
        <f t="shared" si="147"/>
        <v>4118.156393986085</v>
      </c>
      <c r="U152" s="248">
        <f t="shared" si="147"/>
        <v>622.8226201275398</v>
      </c>
      <c r="V152" s="198">
        <f t="shared" si="147"/>
        <v>636.33987268421</v>
      </c>
      <c r="W152" s="198">
        <f t="shared" si="147"/>
        <v>1169.0612169891638</v>
      </c>
      <c r="X152" s="198">
        <f t="shared" si="147"/>
        <v>-1474.9844661796994</v>
      </c>
      <c r="Y152" s="198">
        <f t="shared" si="147"/>
        <v>474.71611576039425</v>
      </c>
      <c r="Z152" s="198">
        <f t="shared" si="147"/>
        <v>484.3278842125926</v>
      </c>
      <c r="AA152" s="198">
        <f t="shared" si="147"/>
        <v>882.3596679932851</v>
      </c>
      <c r="AB152" s="198">
        <f t="shared" si="147"/>
        <v>-1095.9687655962903</v>
      </c>
      <c r="AC152" s="198">
        <f t="shared" si="147"/>
        <v>362.089153838544</v>
      </c>
      <c r="AD152" s="198">
        <f t="shared" si="147"/>
        <v>368.88353192736315</v>
      </c>
      <c r="AE152" s="198">
        <f t="shared" si="147"/>
        <v>666.258728707456</v>
      </c>
      <c r="AF152" s="198">
        <f t="shared" si="147"/>
        <v>-813.9859392086</v>
      </c>
      <c r="AG152" s="198">
        <f t="shared" si="147"/>
        <v>276.3850828855237</v>
      </c>
      <c r="AH152" s="198">
        <f t="shared" si="147"/>
        <v>281.1543345465716</v>
      </c>
      <c r="AI152" s="198">
        <f t="shared" si="147"/>
        <v>503.3109218759926</v>
      </c>
      <c r="AJ152" s="198">
        <f t="shared" si="147"/>
        <v>-604.267841342118</v>
      </c>
      <c r="AK152" s="198">
        <f t="shared" si="147"/>
        <v>211.12344078868855</v>
      </c>
      <c r="AL152" s="198"/>
      <c r="AM152" s="205"/>
      <c r="AV152" s="221"/>
      <c r="BN152" s="205"/>
      <c r="BQ152" s="212">
        <f t="shared" si="144"/>
        <v>0</v>
      </c>
      <c r="BR152" s="212">
        <f t="shared" si="123"/>
        <v>169.2905940323057</v>
      </c>
      <c r="BS152" s="212">
        <f t="shared" si="124"/>
        <v>855.5380607031044</v>
      </c>
      <c r="BT152" s="212">
        <f t="shared" si="125"/>
        <v>4118.156393986085</v>
      </c>
      <c r="BU152" s="226">
        <f t="shared" si="126"/>
        <v>622.8226201275398</v>
      </c>
      <c r="BV152" s="212">
        <f t="shared" si="127"/>
        <v>636.33987268421</v>
      </c>
      <c r="BW152" s="212">
        <f t="shared" si="128"/>
        <v>1169.0612169891638</v>
      </c>
      <c r="BX152" s="212">
        <f t="shared" si="129"/>
        <v>-1474.9844661796994</v>
      </c>
      <c r="BY152" s="212">
        <f t="shared" si="130"/>
        <v>474.71611576039425</v>
      </c>
      <c r="BZ152" s="212">
        <f t="shared" si="131"/>
        <v>484.3278842125926</v>
      </c>
      <c r="CA152" s="212">
        <f t="shared" si="132"/>
        <v>882.3596679932851</v>
      </c>
      <c r="CB152" s="212">
        <f t="shared" si="133"/>
        <v>-1095.9687655962903</v>
      </c>
      <c r="CC152" s="212">
        <f t="shared" si="134"/>
        <v>362.089153838544</v>
      </c>
      <c r="CD152" s="212">
        <f t="shared" si="135"/>
        <v>368.88353192736315</v>
      </c>
      <c r="CE152" s="212">
        <f t="shared" si="136"/>
        <v>666.258728707456</v>
      </c>
      <c r="CF152" s="212">
        <f t="shared" si="137"/>
        <v>-813.9859392086</v>
      </c>
      <c r="CG152" s="212">
        <f t="shared" si="138"/>
        <v>276.3850828855237</v>
      </c>
      <c r="CH152" s="212">
        <f t="shared" si="139"/>
        <v>281.1543345465716</v>
      </c>
      <c r="CI152" s="212">
        <f t="shared" si="140"/>
        <v>503.3109218759926</v>
      </c>
      <c r="CJ152" s="212">
        <f t="shared" si="141"/>
        <v>-604.267841342118</v>
      </c>
      <c r="CK152" s="212">
        <f t="shared" si="142"/>
        <v>211.12344078868855</v>
      </c>
    </row>
    <row r="153" spans="6:89" s="193" customFormat="1" ht="12.75" customHeight="1">
      <c r="F153" s="192"/>
      <c r="G153" s="196" t="s">
        <v>82</v>
      </c>
      <c r="H153" s="192"/>
      <c r="I153" s="192"/>
      <c r="J153" s="192"/>
      <c r="K153" s="192"/>
      <c r="L153" s="190" t="s">
        <v>184</v>
      </c>
      <c r="M153" s="210"/>
      <c r="Q153" s="198"/>
      <c r="R153" s="248">
        <f aca="true" t="shared" si="148" ref="R153:AK153">R125*$M$147</f>
        <v>24.2078505474771</v>
      </c>
      <c r="S153" s="198">
        <f t="shared" si="148"/>
        <v>122.33838288278771</v>
      </c>
      <c r="T153" s="198">
        <f t="shared" si="148"/>
        <v>588.8792291539046</v>
      </c>
      <c r="U153" s="248">
        <f t="shared" si="148"/>
        <v>89.06104318328568</v>
      </c>
      <c r="V153" s="198">
        <f t="shared" si="148"/>
        <v>90.9939540551218</v>
      </c>
      <c r="W153" s="198">
        <f t="shared" si="148"/>
        <v>167.1708896970629</v>
      </c>
      <c r="X153" s="198">
        <f t="shared" si="148"/>
        <v>-210.9166414190392</v>
      </c>
      <c r="Y153" s="198">
        <f t="shared" si="148"/>
        <v>67.88242931331129</v>
      </c>
      <c r="Z153" s="198">
        <f t="shared" si="148"/>
        <v>69.25687220848505</v>
      </c>
      <c r="AA153" s="198">
        <f t="shared" si="148"/>
        <v>126.17376112358994</v>
      </c>
      <c r="AB153" s="198">
        <f t="shared" si="148"/>
        <v>-156.71897327736323</v>
      </c>
      <c r="AC153" s="198">
        <f t="shared" si="148"/>
        <v>51.77724238662247</v>
      </c>
      <c r="AD153" s="198">
        <f t="shared" si="148"/>
        <v>52.74881018267874</v>
      </c>
      <c r="AE153" s="198">
        <f t="shared" si="148"/>
        <v>95.2722259774468</v>
      </c>
      <c r="AF153" s="198">
        <f t="shared" si="148"/>
        <v>-116.39660240278444</v>
      </c>
      <c r="AG153" s="198">
        <f t="shared" si="148"/>
        <v>39.52191684534937</v>
      </c>
      <c r="AH153" s="198">
        <f t="shared" si="148"/>
        <v>40.20389998856126</v>
      </c>
      <c r="AI153" s="198">
        <f t="shared" si="148"/>
        <v>71.97136760806562</v>
      </c>
      <c r="AJ153" s="198">
        <f t="shared" si="148"/>
        <v>-86.40778702132341</v>
      </c>
      <c r="AK153" s="198">
        <f t="shared" si="148"/>
        <v>30.189773571865462</v>
      </c>
      <c r="AL153" s="198"/>
      <c r="AM153" s="205"/>
      <c r="AV153" s="221"/>
      <c r="BN153" s="205"/>
      <c r="BQ153" s="212">
        <f t="shared" si="144"/>
        <v>0</v>
      </c>
      <c r="BR153" s="212">
        <f t="shared" si="123"/>
        <v>24.2078505474771</v>
      </c>
      <c r="BS153" s="212">
        <f t="shared" si="124"/>
        <v>122.33838288278771</v>
      </c>
      <c r="BT153" s="212">
        <f t="shared" si="125"/>
        <v>588.8792291539046</v>
      </c>
      <c r="BU153" s="226">
        <f t="shared" si="126"/>
        <v>89.06104318328568</v>
      </c>
      <c r="BV153" s="212">
        <f t="shared" si="127"/>
        <v>90.9939540551218</v>
      </c>
      <c r="BW153" s="212">
        <f t="shared" si="128"/>
        <v>167.1708896970629</v>
      </c>
      <c r="BX153" s="212">
        <f t="shared" si="129"/>
        <v>-210.9166414190392</v>
      </c>
      <c r="BY153" s="212">
        <f t="shared" si="130"/>
        <v>67.88242931331129</v>
      </c>
      <c r="BZ153" s="212">
        <f t="shared" si="131"/>
        <v>69.25687220848505</v>
      </c>
      <c r="CA153" s="212">
        <f t="shared" si="132"/>
        <v>126.17376112358994</v>
      </c>
      <c r="CB153" s="212">
        <f t="shared" si="133"/>
        <v>-156.71897327736323</v>
      </c>
      <c r="CC153" s="212">
        <f t="shared" si="134"/>
        <v>51.77724238662247</v>
      </c>
      <c r="CD153" s="212">
        <f t="shared" si="135"/>
        <v>52.74881018267874</v>
      </c>
      <c r="CE153" s="212">
        <f t="shared" si="136"/>
        <v>95.2722259774468</v>
      </c>
      <c r="CF153" s="212">
        <f t="shared" si="137"/>
        <v>-116.39660240278444</v>
      </c>
      <c r="CG153" s="212">
        <f t="shared" si="138"/>
        <v>39.52191684534937</v>
      </c>
      <c r="CH153" s="212">
        <f t="shared" si="139"/>
        <v>40.20389998856126</v>
      </c>
      <c r="CI153" s="212">
        <f t="shared" si="140"/>
        <v>71.97136760806562</v>
      </c>
      <c r="CJ153" s="212">
        <f t="shared" si="141"/>
        <v>-86.40778702132341</v>
      </c>
      <c r="CK153" s="212">
        <f t="shared" si="142"/>
        <v>30.189773571865462</v>
      </c>
    </row>
    <row r="154" spans="6:89" s="193" customFormat="1" ht="12.75" customHeight="1">
      <c r="F154" s="192"/>
      <c r="G154" s="196" t="s">
        <v>189</v>
      </c>
      <c r="H154" s="192"/>
      <c r="I154" s="192"/>
      <c r="J154" s="192"/>
      <c r="K154" s="192"/>
      <c r="L154" s="190" t="s">
        <v>184</v>
      </c>
      <c r="M154" s="210"/>
      <c r="Q154" s="198"/>
      <c r="R154" s="248">
        <f aca="true" t="shared" si="149" ref="R154:AK154">R130*$M$147</f>
        <v>179.52786157711756</v>
      </c>
      <c r="S154" s="198">
        <f t="shared" si="149"/>
        <v>907.2737880909749</v>
      </c>
      <c r="T154" s="198">
        <f t="shared" si="149"/>
        <v>4367.187765383858</v>
      </c>
      <c r="U154" s="248">
        <f t="shared" si="149"/>
        <v>660.4856800964106</v>
      </c>
      <c r="V154" s="198">
        <f t="shared" si="149"/>
        <v>674.8203421003552</v>
      </c>
      <c r="W154" s="198">
        <f t="shared" si="149"/>
        <v>1239.7561810123507</v>
      </c>
      <c r="X154" s="198">
        <f t="shared" si="149"/>
        <v>-1564.1790885450698</v>
      </c>
      <c r="Y154" s="198">
        <f t="shared" si="149"/>
        <v>503.42294328765814</v>
      </c>
      <c r="Z154" s="198">
        <f t="shared" si="149"/>
        <v>513.6159504423688</v>
      </c>
      <c r="AA154" s="198">
        <f t="shared" si="149"/>
        <v>935.7173400106278</v>
      </c>
      <c r="AB154" s="198">
        <f t="shared" si="149"/>
        <v>-1162.2437145283309</v>
      </c>
      <c r="AC154" s="198">
        <f t="shared" si="149"/>
        <v>383.98525246179497</v>
      </c>
      <c r="AD154" s="198">
        <f t="shared" si="149"/>
        <v>391.19049724225226</v>
      </c>
      <c r="AE154" s="198">
        <f t="shared" si="149"/>
        <v>706.5484382381754</v>
      </c>
      <c r="AF154" s="198">
        <f t="shared" si="149"/>
        <v>-863.2089446864086</v>
      </c>
      <c r="AG154" s="198">
        <f t="shared" si="149"/>
        <v>293.098522017013</v>
      </c>
      <c r="AH154" s="198">
        <f t="shared" si="149"/>
        <v>298.1561778007066</v>
      </c>
      <c r="AI154" s="198">
        <f t="shared" si="149"/>
        <v>533.7469221447924</v>
      </c>
      <c r="AJ154" s="198">
        <f t="shared" si="149"/>
        <v>-640.8088647575496</v>
      </c>
      <c r="AK154" s="198">
        <f t="shared" si="149"/>
        <v>223.8904061401351</v>
      </c>
      <c r="AL154" s="198"/>
      <c r="AM154" s="205"/>
      <c r="AV154" s="221"/>
      <c r="BN154" s="205"/>
      <c r="BQ154" s="212">
        <f t="shared" si="144"/>
        <v>0</v>
      </c>
      <c r="BR154" s="212">
        <f t="shared" si="123"/>
        <v>179.52786157711756</v>
      </c>
      <c r="BS154" s="212">
        <f t="shared" si="124"/>
        <v>907.2737880909749</v>
      </c>
      <c r="BT154" s="212">
        <f t="shared" si="125"/>
        <v>4367.187765383858</v>
      </c>
      <c r="BU154" s="226">
        <f t="shared" si="126"/>
        <v>660.4856800964106</v>
      </c>
      <c r="BV154" s="212">
        <f t="shared" si="127"/>
        <v>674.8203421003552</v>
      </c>
      <c r="BW154" s="212">
        <f t="shared" si="128"/>
        <v>1239.7561810123507</v>
      </c>
      <c r="BX154" s="212">
        <f t="shared" si="129"/>
        <v>-1564.1790885450698</v>
      </c>
      <c r="BY154" s="212">
        <f t="shared" si="130"/>
        <v>503.42294328765814</v>
      </c>
      <c r="BZ154" s="212">
        <f t="shared" si="131"/>
        <v>513.6159504423688</v>
      </c>
      <c r="CA154" s="212">
        <f t="shared" si="132"/>
        <v>935.7173400106278</v>
      </c>
      <c r="CB154" s="212">
        <f t="shared" si="133"/>
        <v>-1162.2437145283309</v>
      </c>
      <c r="CC154" s="212">
        <f t="shared" si="134"/>
        <v>383.98525246179497</v>
      </c>
      <c r="CD154" s="212">
        <f t="shared" si="135"/>
        <v>391.19049724225226</v>
      </c>
      <c r="CE154" s="212">
        <f t="shared" si="136"/>
        <v>706.5484382381754</v>
      </c>
      <c r="CF154" s="212">
        <f t="shared" si="137"/>
        <v>-863.2089446864086</v>
      </c>
      <c r="CG154" s="212">
        <f t="shared" si="138"/>
        <v>293.098522017013</v>
      </c>
      <c r="CH154" s="212">
        <f t="shared" si="139"/>
        <v>298.1561778007066</v>
      </c>
      <c r="CI154" s="212">
        <f t="shared" si="140"/>
        <v>533.7469221447924</v>
      </c>
      <c r="CJ154" s="212">
        <f t="shared" si="141"/>
        <v>-640.8088647575496</v>
      </c>
      <c r="CK154" s="212">
        <f t="shared" si="142"/>
        <v>223.8904061401351</v>
      </c>
    </row>
    <row r="155" spans="6:89" s="193" customFormat="1" ht="12.75" customHeight="1">
      <c r="F155" s="192"/>
      <c r="G155" s="196" t="s">
        <v>84</v>
      </c>
      <c r="H155" s="192"/>
      <c r="I155" s="192"/>
      <c r="J155" s="192"/>
      <c r="K155" s="192"/>
      <c r="L155" s="190" t="s">
        <v>184</v>
      </c>
      <c r="M155" s="210"/>
      <c r="Q155" s="198"/>
      <c r="R155" s="248">
        <f aca="true" t="shared" si="150" ref="R155:AK155">R135*$M$147</f>
        <v>152.40849457194358</v>
      </c>
      <c r="S155" s="198">
        <f t="shared" si="150"/>
        <v>770.221574483195</v>
      </c>
      <c r="T155" s="198">
        <f t="shared" si="150"/>
        <v>3707.4831003278305</v>
      </c>
      <c r="U155" s="248">
        <f t="shared" si="150"/>
        <v>560.7131244449174</v>
      </c>
      <c r="V155" s="198">
        <f t="shared" si="150"/>
        <v>572.882401330548</v>
      </c>
      <c r="W155" s="198">
        <f t="shared" si="150"/>
        <v>1052.4793841160354</v>
      </c>
      <c r="X155" s="198">
        <f t="shared" si="150"/>
        <v>-1327.8951692056035</v>
      </c>
      <c r="Y155" s="198">
        <f t="shared" si="150"/>
        <v>427.3761868794302</v>
      </c>
      <c r="Z155" s="198">
        <f t="shared" si="150"/>
        <v>436.02944471899576</v>
      </c>
      <c r="AA155" s="198">
        <f t="shared" si="150"/>
        <v>794.3684611573449</v>
      </c>
      <c r="AB155" s="198">
        <f t="shared" si="150"/>
        <v>-986.6759025638785</v>
      </c>
      <c r="AC155" s="198">
        <f t="shared" si="150"/>
        <v>325.98067927405486</v>
      </c>
      <c r="AD155" s="198">
        <f t="shared" si="150"/>
        <v>332.0975042635978</v>
      </c>
      <c r="AE155" s="198">
        <f t="shared" si="150"/>
        <v>599.8176710180632</v>
      </c>
      <c r="AF155" s="198">
        <f t="shared" si="150"/>
        <v>-732.8131388908671</v>
      </c>
      <c r="AG155" s="198">
        <f t="shared" si="150"/>
        <v>248.82324174894254</v>
      </c>
      <c r="AH155" s="198">
        <f t="shared" si="150"/>
        <v>253.11689119859366</v>
      </c>
      <c r="AI155" s="198">
        <f t="shared" si="150"/>
        <v>453.11944436854344</v>
      </c>
      <c r="AJ155" s="198">
        <f t="shared" si="150"/>
        <v>-544.0086765813909</v>
      </c>
      <c r="AK155" s="198">
        <f t="shared" si="150"/>
        <v>190.06966077106014</v>
      </c>
      <c r="AL155" s="198"/>
      <c r="AM155" s="205"/>
      <c r="AV155" s="221"/>
      <c r="BN155" s="205"/>
      <c r="BQ155" s="212">
        <f t="shared" si="144"/>
        <v>0</v>
      </c>
      <c r="BR155" s="212">
        <f t="shared" si="123"/>
        <v>152.40849457194358</v>
      </c>
      <c r="BS155" s="212">
        <f t="shared" si="124"/>
        <v>770.221574483195</v>
      </c>
      <c r="BT155" s="212">
        <f t="shared" si="125"/>
        <v>3707.4831003278305</v>
      </c>
      <c r="BU155" s="226">
        <f t="shared" si="126"/>
        <v>560.7131244449174</v>
      </c>
      <c r="BV155" s="212">
        <f t="shared" si="127"/>
        <v>572.882401330548</v>
      </c>
      <c r="BW155" s="212">
        <f t="shared" si="128"/>
        <v>1052.4793841160354</v>
      </c>
      <c r="BX155" s="212">
        <f t="shared" si="129"/>
        <v>-1327.8951692056035</v>
      </c>
      <c r="BY155" s="212">
        <f t="shared" si="130"/>
        <v>427.3761868794302</v>
      </c>
      <c r="BZ155" s="212">
        <f t="shared" si="131"/>
        <v>436.02944471899576</v>
      </c>
      <c r="CA155" s="212">
        <f t="shared" si="132"/>
        <v>794.3684611573449</v>
      </c>
      <c r="CB155" s="212">
        <f t="shared" si="133"/>
        <v>-986.6759025638785</v>
      </c>
      <c r="CC155" s="212">
        <f t="shared" si="134"/>
        <v>325.98067927405486</v>
      </c>
      <c r="CD155" s="212">
        <f t="shared" si="135"/>
        <v>332.0975042635978</v>
      </c>
      <c r="CE155" s="212">
        <f t="shared" si="136"/>
        <v>599.8176710180632</v>
      </c>
      <c r="CF155" s="212">
        <f t="shared" si="137"/>
        <v>-732.8131388908671</v>
      </c>
      <c r="CG155" s="212">
        <f t="shared" si="138"/>
        <v>248.82324174894254</v>
      </c>
      <c r="CH155" s="212">
        <f t="shared" si="139"/>
        <v>253.11689119859366</v>
      </c>
      <c r="CI155" s="212">
        <f t="shared" si="140"/>
        <v>453.11944436854344</v>
      </c>
      <c r="CJ155" s="212">
        <f t="shared" si="141"/>
        <v>-544.0086765813909</v>
      </c>
      <c r="CK155" s="212">
        <f t="shared" si="142"/>
        <v>190.06966077106014</v>
      </c>
    </row>
    <row r="156" spans="6:89" s="193" customFormat="1" ht="12.75" customHeight="1">
      <c r="F156" s="192"/>
      <c r="G156" s="196" t="s">
        <v>190</v>
      </c>
      <c r="H156" s="192"/>
      <c r="I156" s="192"/>
      <c r="J156" s="192"/>
      <c r="K156" s="192"/>
      <c r="L156" s="190" t="s">
        <v>184</v>
      </c>
      <c r="M156" s="210"/>
      <c r="Q156" s="198"/>
      <c r="R156" s="248">
        <f aca="true" t="shared" si="151" ref="R156:AK156">R140*$M$147</f>
        <v>114.32398090753344</v>
      </c>
      <c r="S156" s="198">
        <f t="shared" si="151"/>
        <v>577.7551758062963</v>
      </c>
      <c r="T156" s="198">
        <f t="shared" si="151"/>
        <v>2781.0407048985094</v>
      </c>
      <c r="U156" s="248">
        <f t="shared" si="151"/>
        <v>420.59963070748535</v>
      </c>
      <c r="V156" s="198">
        <f t="shared" si="151"/>
        <v>429.7279944659449</v>
      </c>
      <c r="W156" s="198">
        <f t="shared" si="151"/>
        <v>789.4811463966956</v>
      </c>
      <c r="X156" s="198">
        <f t="shared" si="151"/>
        <v>-996.0748080206536</v>
      </c>
      <c r="Y156" s="198">
        <f t="shared" si="151"/>
        <v>320.58152117023036</v>
      </c>
      <c r="Z156" s="198">
        <f t="shared" si="151"/>
        <v>327.0724643871156</v>
      </c>
      <c r="AA156" s="198">
        <f t="shared" si="151"/>
        <v>595.8681308542724</v>
      </c>
      <c r="AB156" s="198">
        <f t="shared" si="151"/>
        <v>-740.1209319956093</v>
      </c>
      <c r="AC156" s="198">
        <f t="shared" si="151"/>
        <v>244.52317476281067</v>
      </c>
      <c r="AD156" s="198">
        <f t="shared" si="151"/>
        <v>249.1115002710594</v>
      </c>
      <c r="AE156" s="198">
        <f t="shared" si="151"/>
        <v>449.9325589565398</v>
      </c>
      <c r="AF156" s="198">
        <f t="shared" si="151"/>
        <v>-549.6945267693112</v>
      </c>
      <c r="AG156" s="198">
        <f t="shared" si="151"/>
        <v>186.64618149370557</v>
      </c>
      <c r="AH156" s="198">
        <f t="shared" si="151"/>
        <v>189.8669146889361</v>
      </c>
      <c r="AI156" s="198">
        <f t="shared" si="151"/>
        <v>339.8919387814553</v>
      </c>
      <c r="AJ156" s="198">
        <f t="shared" si="151"/>
        <v>-408.0693647010861</v>
      </c>
      <c r="AK156" s="198">
        <f t="shared" si="151"/>
        <v>142.57420710127312</v>
      </c>
      <c r="AL156" s="198"/>
      <c r="AM156" s="205"/>
      <c r="AV156" s="221"/>
      <c r="BN156" s="205"/>
      <c r="BQ156" s="212">
        <f t="shared" si="144"/>
        <v>0</v>
      </c>
      <c r="BR156" s="212">
        <f t="shared" si="123"/>
        <v>114.32398090753344</v>
      </c>
      <c r="BS156" s="212">
        <f t="shared" si="124"/>
        <v>577.7551758062963</v>
      </c>
      <c r="BT156" s="212">
        <f t="shared" si="125"/>
        <v>2781.0407048985094</v>
      </c>
      <c r="BU156" s="226">
        <f t="shared" si="126"/>
        <v>420.59963070748535</v>
      </c>
      <c r="BV156" s="212">
        <f t="shared" si="127"/>
        <v>429.7279944659449</v>
      </c>
      <c r="BW156" s="212">
        <f t="shared" si="128"/>
        <v>789.4811463966956</v>
      </c>
      <c r="BX156" s="212">
        <f t="shared" si="129"/>
        <v>-996.0748080206536</v>
      </c>
      <c r="BY156" s="212">
        <f t="shared" si="130"/>
        <v>320.58152117023036</v>
      </c>
      <c r="BZ156" s="212">
        <f t="shared" si="131"/>
        <v>327.0724643871156</v>
      </c>
      <c r="CA156" s="212">
        <f t="shared" si="132"/>
        <v>595.8681308542724</v>
      </c>
      <c r="CB156" s="212">
        <f t="shared" si="133"/>
        <v>-740.1209319956093</v>
      </c>
      <c r="CC156" s="212">
        <f t="shared" si="134"/>
        <v>244.52317476281067</v>
      </c>
      <c r="CD156" s="212">
        <f t="shared" si="135"/>
        <v>249.1115002710594</v>
      </c>
      <c r="CE156" s="212">
        <f t="shared" si="136"/>
        <v>449.9325589565398</v>
      </c>
      <c r="CF156" s="212">
        <f t="shared" si="137"/>
        <v>-549.6945267693112</v>
      </c>
      <c r="CG156" s="212">
        <f t="shared" si="138"/>
        <v>186.64618149370557</v>
      </c>
      <c r="CH156" s="212">
        <f t="shared" si="139"/>
        <v>189.8669146889361</v>
      </c>
      <c r="CI156" s="212">
        <f t="shared" si="140"/>
        <v>339.8919387814553</v>
      </c>
      <c r="CJ156" s="212">
        <f t="shared" si="141"/>
        <v>-408.0693647010861</v>
      </c>
      <c r="CK156" s="212">
        <f t="shared" si="142"/>
        <v>142.57420710127312</v>
      </c>
    </row>
    <row r="157" spans="6:89" s="193" customFormat="1" ht="12.75" customHeight="1">
      <c r="F157" s="192"/>
      <c r="G157" s="196" t="s">
        <v>384</v>
      </c>
      <c r="H157" s="192"/>
      <c r="I157" s="192"/>
      <c r="J157" s="192"/>
      <c r="K157" s="192"/>
      <c r="L157" s="190" t="s">
        <v>184</v>
      </c>
      <c r="M157" s="210"/>
      <c r="Q157" s="198"/>
      <c r="R157" s="248">
        <f aca="true" t="shared" si="152" ref="R157:AK157">SUM(R148:R156)</f>
        <v>2360.324128307597</v>
      </c>
      <c r="S157" s="198">
        <f t="shared" si="152"/>
        <v>11928.288980884794</v>
      </c>
      <c r="T157" s="198">
        <f t="shared" si="152"/>
        <v>57417.15277468115</v>
      </c>
      <c r="U157" s="248">
        <f t="shared" si="152"/>
        <v>8683.667668283044</v>
      </c>
      <c r="V157" s="198">
        <f t="shared" si="152"/>
        <v>8872.131165267805</v>
      </c>
      <c r="W157" s="198">
        <f t="shared" si="152"/>
        <v>16299.56710649585</v>
      </c>
      <c r="X157" s="198">
        <f t="shared" si="152"/>
        <v>-20564.883975411154</v>
      </c>
      <c r="Y157" s="198">
        <f t="shared" si="152"/>
        <v>6618.701461416664</v>
      </c>
      <c r="Z157" s="198">
        <f t="shared" si="152"/>
        <v>6752.712976486967</v>
      </c>
      <c r="AA157" s="198">
        <f t="shared" si="152"/>
        <v>12302.24765950415</v>
      </c>
      <c r="AB157" s="198">
        <f t="shared" si="152"/>
        <v>-15280.479911451866</v>
      </c>
      <c r="AC157" s="198">
        <f t="shared" si="152"/>
        <v>5048.406683719843</v>
      </c>
      <c r="AD157" s="198">
        <f t="shared" si="152"/>
        <v>5143.136899722425</v>
      </c>
      <c r="AE157" s="198">
        <f t="shared" si="152"/>
        <v>9289.273051777722</v>
      </c>
      <c r="AF157" s="198">
        <f t="shared" si="152"/>
        <v>-11348.950976275426</v>
      </c>
      <c r="AG157" s="198">
        <f t="shared" si="152"/>
        <v>3853.4827263616226</v>
      </c>
      <c r="AH157" s="198">
        <f t="shared" si="152"/>
        <v>3919.9777365179943</v>
      </c>
      <c r="AI157" s="198">
        <f t="shared" si="152"/>
        <v>7017.3828601366395</v>
      </c>
      <c r="AJ157" s="198">
        <f t="shared" si="152"/>
        <v>-8424.96875879589</v>
      </c>
      <c r="AK157" s="198">
        <f t="shared" si="152"/>
        <v>2943.5761283334205</v>
      </c>
      <c r="AL157" s="198"/>
      <c r="AM157" s="205"/>
      <c r="AV157" s="221"/>
      <c r="BN157" s="205"/>
      <c r="BQ157" s="212">
        <f t="shared" si="144"/>
        <v>0</v>
      </c>
      <c r="BR157" s="212">
        <f t="shared" si="123"/>
        <v>2360.324128307597</v>
      </c>
      <c r="BS157" s="212">
        <f t="shared" si="124"/>
        <v>11928.288980884794</v>
      </c>
      <c r="BT157" s="212">
        <f t="shared" si="125"/>
        <v>57417.15277468115</v>
      </c>
      <c r="BU157" s="226">
        <f t="shared" si="126"/>
        <v>8683.667668283044</v>
      </c>
      <c r="BV157" s="212">
        <f t="shared" si="127"/>
        <v>8872.131165267805</v>
      </c>
      <c r="BW157" s="212">
        <f t="shared" si="128"/>
        <v>16299.56710649585</v>
      </c>
      <c r="BX157" s="212">
        <f t="shared" si="129"/>
        <v>-20564.883975411154</v>
      </c>
      <c r="BY157" s="212">
        <f t="shared" si="130"/>
        <v>6618.701461416664</v>
      </c>
      <c r="BZ157" s="212">
        <f t="shared" si="131"/>
        <v>6752.712976486967</v>
      </c>
      <c r="CA157" s="212">
        <f t="shared" si="132"/>
        <v>12302.24765950415</v>
      </c>
      <c r="CB157" s="212">
        <f t="shared" si="133"/>
        <v>-15280.479911451866</v>
      </c>
      <c r="CC157" s="212">
        <f t="shared" si="134"/>
        <v>5048.406683719843</v>
      </c>
      <c r="CD157" s="212">
        <f t="shared" si="135"/>
        <v>5143.136899722425</v>
      </c>
      <c r="CE157" s="212">
        <f t="shared" si="136"/>
        <v>9289.273051777722</v>
      </c>
      <c r="CF157" s="212">
        <f t="shared" si="137"/>
        <v>-11348.950976275426</v>
      </c>
      <c r="CG157" s="212">
        <f t="shared" si="138"/>
        <v>3853.4827263616226</v>
      </c>
      <c r="CH157" s="212">
        <f t="shared" si="139"/>
        <v>3919.9777365179943</v>
      </c>
      <c r="CI157" s="212">
        <f t="shared" si="140"/>
        <v>7017.3828601366395</v>
      </c>
      <c r="CJ157" s="212">
        <f t="shared" si="141"/>
        <v>-8424.96875879589</v>
      </c>
      <c r="CK157" s="212">
        <f t="shared" si="142"/>
        <v>2943.5761283334205</v>
      </c>
    </row>
    <row r="158" spans="7:38" ht="12.75">
      <c r="G158" s="67"/>
      <c r="L158" s="182"/>
      <c r="M158" s="63"/>
      <c r="Q158" s="68"/>
      <c r="R158" s="209"/>
      <c r="S158" s="68"/>
      <c r="T158" s="68"/>
      <c r="U158" s="209"/>
      <c r="V158" s="68"/>
      <c r="W158" s="68"/>
      <c r="X158" s="68"/>
      <c r="Y158" s="68"/>
      <c r="Z158" s="68"/>
      <c r="AA158" s="68"/>
      <c r="AB158" s="68"/>
      <c r="AC158" s="68"/>
      <c r="AD158" s="68"/>
      <c r="AE158" s="68"/>
      <c r="AF158" s="68"/>
      <c r="AG158" s="68"/>
      <c r="AH158" s="68"/>
      <c r="AI158" s="68"/>
      <c r="AJ158" s="68"/>
      <c r="AK158" s="68"/>
      <c r="AL158" s="68"/>
    </row>
    <row r="159" spans="6:38" ht="12.75">
      <c r="F159" t="s">
        <v>300</v>
      </c>
      <c r="G159" s="67"/>
      <c r="L159" s="182"/>
      <c r="M159" s="63"/>
      <c r="Q159" s="68"/>
      <c r="R159" s="209"/>
      <c r="S159" s="68"/>
      <c r="T159" s="68"/>
      <c r="U159" s="209"/>
      <c r="V159" s="68"/>
      <c r="W159" s="68"/>
      <c r="X159" s="68"/>
      <c r="Y159" s="68"/>
      <c r="Z159" s="68"/>
      <c r="AA159" s="68"/>
      <c r="AB159" s="68"/>
      <c r="AC159" s="68"/>
      <c r="AD159" s="68"/>
      <c r="AE159" s="68"/>
      <c r="AF159" s="68"/>
      <c r="AG159" s="68"/>
      <c r="AH159" s="68"/>
      <c r="AI159" s="68"/>
      <c r="AJ159" s="68"/>
      <c r="AK159" s="68"/>
      <c r="AL159" s="68"/>
    </row>
    <row r="160" spans="7:66" s="146" customFormat="1" ht="12.75">
      <c r="G160" s="231" t="s">
        <v>233</v>
      </c>
      <c r="L160" s="232" t="s">
        <v>184</v>
      </c>
      <c r="M160" s="147"/>
      <c r="P160" s="243">
        <f>R160/$R$169</f>
        <v>0.7112535867368199</v>
      </c>
      <c r="Q160" s="209">
        <f>Q36*Q99*'Data &amp; Assumptions'!$D$93*'Data &amp; Assumptions'!$D$94</f>
        <v>620812.0106240466</v>
      </c>
      <c r="R160" s="209">
        <f>R36*R99*'Data &amp; Assumptions'!$D$93*'Data &amp; Assumptions'!$D$94</f>
        <v>721441.7574711377</v>
      </c>
      <c r="S160" s="209">
        <f>S36*S99*'Data &amp; Assumptions'!$D$93*'Data &amp; Assumptions'!$D$94</f>
        <v>1246491.7482517816</v>
      </c>
      <c r="T160" s="209">
        <f>T36*T99*'Data &amp; Assumptions'!$D$93*'Data &amp; Assumptions'!$D$94</f>
        <v>4286712.4650194235</v>
      </c>
      <c r="U160" s="209">
        <f>U36*U99*'Data &amp; Assumptions'!$D$93*'Data &amp; Assumptions'!$D$94</f>
        <v>4394935.152732712</v>
      </c>
      <c r="V160" s="209">
        <f>V36*V99*'Data &amp; Assumptions'!$D$93*'Data &amp; Assumptions'!$D$94</f>
        <v>4620355.878077241</v>
      </c>
      <c r="W160" s="209">
        <f>W36*W99*'Data &amp; Assumptions'!$D$93*'Data &amp; Assumptions'!$D$94</f>
        <v>4862796.577130068</v>
      </c>
      <c r="X160" s="209">
        <f>X36*X99*'Data &amp; Assumptions'!$D$93*'Data &amp; Assumptions'!$D$94</f>
        <v>589370.2724075187</v>
      </c>
      <c r="Y160" s="209">
        <f>Y36*Y99*'Data &amp; Assumptions'!$D$93*'Data &amp; Assumptions'!$D$94</f>
        <v>569839.7203204813</v>
      </c>
      <c r="Z160" s="209">
        <f>Z36*Z99*'Data &amp; Assumptions'!$D$93*'Data &amp; Assumptions'!$D$94</f>
        <v>550956.3716685122</v>
      </c>
      <c r="AA160" s="209">
        <f>AA36*AA99*'Data &amp; Assumptions'!$D$93*'Data &amp; Assumptions'!$D$94</f>
        <v>532698.7794241501</v>
      </c>
      <c r="AB160" s="209">
        <f>AB36*AB99*'Data &amp; Assumptions'!$D$93*'Data &amp; Assumptions'!$D$94</f>
        <v>515046.2072715948</v>
      </c>
      <c r="AC160" s="209">
        <f>AC36*AC99*'Data &amp; Assumptions'!$D$93*'Data &amp; Assumptions'!$D$94</f>
        <v>497978.6060550326</v>
      </c>
      <c r="AD160" s="209">
        <f>AD36*AD99*'Data &amp; Assumptions'!$D$93*'Data &amp; Assumptions'!$D$94</f>
        <v>481476.59100757405</v>
      </c>
      <c r="AE160" s="209">
        <f>AE36*AE99*'Data &amp; Assumptions'!$D$93*'Data &amp; Assumptions'!$D$94</f>
        <v>465521.4197347708</v>
      </c>
      <c r="AF160" s="209">
        <f>AF36*AF99*'Data &amp; Assumptions'!$D$93*'Data &amp; Assumptions'!$D$94</f>
        <v>450094.97092758963</v>
      </c>
      <c r="AG160" s="209">
        <f>AG36*AG99*'Data &amp; Assumptions'!$D$93*'Data &amp; Assumptions'!$D$94</f>
        <v>435179.7237810012</v>
      </c>
      <c r="AH160" s="209">
        <f>AH36*AH99*'Data &amp; Assumptions'!$D$93*'Data &amp; Assumptions'!$D$94</f>
        <v>420758.7380943418</v>
      </c>
      <c r="AI160" s="209">
        <f>AI36*AI99*'Data &amp; Assumptions'!$D$93*'Data &amp; Assumptions'!$D$94</f>
        <v>406815.63503137976</v>
      </c>
      <c r="AJ160" s="209">
        <f>AJ36*AJ99*'Data &amp; Assumptions'!$D$93*'Data &amp; Assumptions'!$D$94</f>
        <v>393334.57851769496</v>
      </c>
      <c r="AK160" s="209">
        <f>AK36*AK99*'Data &amp; Assumptions'!$D$93*'Data &amp; Assumptions'!$D$94</f>
        <v>380300.2572547875</v>
      </c>
      <c r="AL160" s="209"/>
      <c r="AM160" s="203"/>
      <c r="AQ160" s="243">
        <f>AS160/$AS$169</f>
        <v>0.71125358673682</v>
      </c>
      <c r="AR160" s="209">
        <f>AR36*AR99*'Data &amp; Assumptions'!$D$93*'Data &amp; Assumptions'!$D$94</f>
        <v>620812.0106240466</v>
      </c>
      <c r="AS160" s="209">
        <f>AS36*AS99*'Data &amp; Assumptions'!$D$93*'Data &amp; Assumptions'!$D$94</f>
        <v>685369.6695975808</v>
      </c>
      <c r="AT160" s="209">
        <f>AT36*AT99*'Data &amp; Assumptions'!$D$93*'Data &amp; Assumptions'!$D$94</f>
        <v>933728.7272727523</v>
      </c>
      <c r="AU160" s="209">
        <f>AU36*AU99*'Data &amp; Assumptions'!$D$93*'Data &amp; Assumptions'!$D$94</f>
        <v>3207197.5830036737</v>
      </c>
      <c r="AV160" s="209">
        <f>AV36*AV99*'Data &amp; Assumptions'!$D$93*'Data &amp; Assumptions'!$D$94</f>
        <v>3284156.791717209</v>
      </c>
      <c r="AW160" s="209">
        <f>AW36*AW99*'Data &amp; Assumptions'!$D$93*'Data &amp; Assumptions'!$D$94</f>
        <v>3448394.0638862983</v>
      </c>
      <c r="AX160" s="209">
        <f>AX36*AX99*'Data &amp; Assumptions'!$D$93*'Data &amp; Assumptions'!$D$94</f>
        <v>3624913.2077582725</v>
      </c>
      <c r="AY160" s="209">
        <f>AY36*AY99*'Data &amp; Assumptions'!$D$93*'Data &amp; Assumptions'!$D$94</f>
        <v>438803.2000508404</v>
      </c>
      <c r="AZ160" s="209">
        <f>AZ36*AZ99*'Data &amp; Assumptions'!$D$93*'Data &amp; Assumptions'!$D$94</f>
        <v>423744.7467543778</v>
      </c>
      <c r="BA160" s="209">
        <f>BA36*BA99*'Data &amp; Assumptions'!$D$93*'Data &amp; Assumptions'!$D$94</f>
        <v>409203.0559055413</v>
      </c>
      <c r="BB160" s="209">
        <f>BB36*BB99*'Data &amp; Assumptions'!$D$93*'Data &amp; Assumptions'!$D$94</f>
        <v>395160.39371571725</v>
      </c>
      <c r="BC160" s="209">
        <f>BC36*BC99*'Data &amp; Assumptions'!$D$93*'Data &amp; Assumptions'!$D$94</f>
        <v>381599.63496853714</v>
      </c>
      <c r="BD160" s="209">
        <f>BD36*BD99*'Data &amp; Assumptions'!$D$93*'Data &amp; Assumptions'!$D$94</f>
        <v>368504.2421353613</v>
      </c>
      <c r="BE160" s="209">
        <f>BE36*BE99*'Data &amp; Assumptions'!$D$93*'Data &amp; Assumptions'!$D$94</f>
        <v>355858.2452075728</v>
      </c>
      <c r="BF160" s="209">
        <f>BF36*BF99*'Data &amp; Assumptions'!$D$93*'Data &amp; Assumptions'!$D$94</f>
        <v>343646.2222209642</v>
      </c>
      <c r="BG160" s="209">
        <f>BG36*BG99*'Data &amp; Assumptions'!$D$93*'Data &amp; Assumptions'!$D$94</f>
        <v>331853.2804483776</v>
      </c>
      <c r="BH160" s="209">
        <f>BH36*BH99*'Data &amp; Assumptions'!$D$93*'Data &amp; Assumptions'!$D$94</f>
        <v>320465.0382379101</v>
      </c>
      <c r="BI160" s="209">
        <f>BI36*BI99*'Data &amp; Assumptions'!$D$93*'Data &amp; Assumptions'!$D$94</f>
        <v>309467.60747419245</v>
      </c>
      <c r="BJ160" s="209">
        <f>BJ36*BJ99*'Data &amp; Assumptions'!$D$93*'Data &amp; Assumptions'!$D$94</f>
        <v>298847.5766417459</v>
      </c>
      <c r="BK160" s="209">
        <f>BK36*BK99*'Data &amp; Assumptions'!$D$93*'Data &amp; Assumptions'!$D$94</f>
        <v>288591.99446936254</v>
      </c>
      <c r="BL160" s="209">
        <f>BL36*BL99*'Data &amp; Assumptions'!$D$93*'Data &amp; Assumptions'!$D$94</f>
        <v>278688.35413596674</v>
      </c>
      <c r="BN160" s="203"/>
    </row>
    <row r="161" spans="7:66" s="146" customFormat="1" ht="12.75">
      <c r="G161" s="231" t="s">
        <v>73</v>
      </c>
      <c r="L161" s="232" t="s">
        <v>184</v>
      </c>
      <c r="M161" s="147"/>
      <c r="P161" s="243">
        <f aca="true" t="shared" si="153" ref="P161:P169">R161/$R$169</f>
        <v>0.037972233853488524</v>
      </c>
      <c r="Q161" s="209">
        <f>Q37*Q104*'Data &amp; Assumptions'!$D$93*'Data &amp; Assumptions'!$D$94</f>
        <v>33470.30045657641</v>
      </c>
      <c r="R161" s="209">
        <f>R37*R104*'Data &amp; Assumptions'!$D$93*'Data &amp; Assumptions'!$D$94</f>
        <v>38516.157439783114</v>
      </c>
      <c r="S161" s="209">
        <f>S37*S104*'Data &amp; Assumptions'!$D$93*'Data &amp; Assumptions'!$D$94</f>
        <v>65898.15599146165</v>
      </c>
      <c r="T161" s="209">
        <f>T37*T104*'Data &amp; Assumptions'!$D$93*'Data &amp; Assumptions'!$D$94</f>
        <v>224414.22638293286</v>
      </c>
      <c r="U161" s="209">
        <f>U37*U104*'Data &amp; Assumptions'!$D$93*'Data &amp; Assumptions'!$D$94</f>
        <v>227835.12495989798</v>
      </c>
      <c r="V161" s="209">
        <f>V37*V104*'Data &amp; Assumptions'!$D$93*'Data &amp; Assumptions'!$D$94</f>
        <v>237184.23141408432</v>
      </c>
      <c r="W161" s="209">
        <f>W37*W104*'Data &amp; Assumptions'!$D$93*'Data &amp; Assumptions'!$D$94</f>
        <v>247194.42051477695</v>
      </c>
      <c r="X161" s="209">
        <f>X37*X104*'Data &amp; Assumptions'!$D$93*'Data &amp; Assumptions'!$D$94</f>
        <v>29667.6375726392</v>
      </c>
      <c r="Y161" s="209">
        <f>Y37*Y104*'Data &amp; Assumptions'!$D$93*'Data &amp; Assumptions'!$D$94</f>
        <v>28404.662507061803</v>
      </c>
      <c r="Z161" s="209">
        <f>Z37*Z104*'Data &amp; Assumptions'!$D$93*'Data &amp; Assumptions'!$D$94</f>
        <v>27195.453300406552</v>
      </c>
      <c r="AA161" s="209">
        <f>AA37*AA104*'Data &amp; Assumptions'!$D$93*'Data &amp; Assumptions'!$D$94</f>
        <v>26037.721097045516</v>
      </c>
      <c r="AB161" s="209">
        <f>AB37*AB104*'Data &amp; Assumptions'!$D$93*'Data &amp; Assumptions'!$D$94</f>
        <v>24929.274479767475</v>
      </c>
      <c r="AC161" s="209">
        <f>AC37*AC104*'Data &amp; Assumptions'!$D$93*'Data &amp; Assumptions'!$D$94</f>
        <v>23868.015321744275</v>
      </c>
      <c r="AD161" s="209">
        <f>AD37*AD104*'Data &amp; Assumptions'!$D$93*'Data &amp; Assumptions'!$D$94</f>
        <v>22851.93481508499</v>
      </c>
      <c r="AE161" s="209">
        <f>AE37*AE104*'Data &amp; Assumptions'!$D$93*'Data &amp; Assumptions'!$D$94</f>
        <v>21879.109668459256</v>
      </c>
      <c r="AF161" s="209">
        <f>AF37*AF104*'Data &amp; Assumptions'!$D$93*'Data &amp; Assumptions'!$D$94</f>
        <v>20947.69846658498</v>
      </c>
      <c r="AG161" s="209">
        <f>AG37*AG104*'Data &amp; Assumptions'!$D$93*'Data &amp; Assumptions'!$D$94</f>
        <v>20055.93818470389</v>
      </c>
      <c r="AH161" s="209">
        <f>AH37*AH104*'Data &amp; Assumptions'!$D$93*'Data &amp; Assumptions'!$D$94</f>
        <v>19202.140851430544</v>
      </c>
      <c r="AI161" s="209">
        <f>AI37*AI104*'Data &amp; Assumptions'!$D$93*'Data &amp; Assumptions'!$D$94</f>
        <v>18384.690353672137</v>
      </c>
      <c r="AJ161" s="209">
        <f>AJ37*AJ104*'Data &amp; Assumptions'!$D$93*'Data &amp; Assumptions'!$D$94</f>
        <v>17602.03937756451</v>
      </c>
      <c r="AK161" s="209">
        <f>AK37*AK104*'Data &amp; Assumptions'!$D$93*'Data &amp; Assumptions'!$D$94</f>
        <v>16852.706479629443</v>
      </c>
      <c r="AL161" s="209"/>
      <c r="AM161" s="203"/>
      <c r="AQ161" s="243">
        <f aca="true" t="shared" si="154" ref="AQ161:AQ169">AS161/$AS$169</f>
        <v>0.03797223385348854</v>
      </c>
      <c r="AR161" s="209">
        <f>AR37*AR104*'Data &amp; Assumptions'!$D$93*'Data &amp; Assumptions'!$D$94</f>
        <v>33470.30045657641</v>
      </c>
      <c r="AS161" s="209">
        <f>AS37*AS104*'Data &amp; Assumptions'!$D$93*'Data &amp; Assumptions'!$D$94</f>
        <v>36590.349567793965</v>
      </c>
      <c r="AT161" s="209">
        <f>AT37*AT104*'Data &amp; Assumptions'!$D$93*'Data &amp; Assumptions'!$D$94</f>
        <v>49387.09707956157</v>
      </c>
      <c r="AU161" s="209">
        <f>AU37*AU104*'Data &amp; Assumptions'!$D$93*'Data &amp; Assumptions'!$D$94</f>
        <v>168062.02670437872</v>
      </c>
      <c r="AV161" s="209">
        <f>AV37*AV104*'Data &amp; Assumptions'!$D$93*'Data &amp; Assumptions'!$D$94</f>
        <v>170497.83362051478</v>
      </c>
      <c r="AW161" s="209">
        <f>AW37*AW104*'Data &amp; Assumptions'!$D$93*'Data &amp; Assumptions'!$D$94</f>
        <v>177362.97817935876</v>
      </c>
      <c r="AX161" s="209">
        <f>AX37*AX104*'Data &amp; Assumptions'!$D$93*'Data &amp; Assumptions'!$D$94</f>
        <v>184711.8669853481</v>
      </c>
      <c r="AY161" s="209">
        <f>AY37*AY104*'Data &amp; Assumptions'!$D$93*'Data &amp; Assumptions'!$D$94</f>
        <v>22152.261684000947</v>
      </c>
      <c r="AZ161" s="209">
        <f>AZ37*AZ104*'Data &amp; Assumptions'!$D$93*'Data &amp; Assumptions'!$D$94</f>
        <v>21193.55034325266</v>
      </c>
      <c r="BA161" s="209">
        <f>BA37*BA104*'Data &amp; Assumptions'!$D$93*'Data &amp; Assumptions'!$D$94</f>
        <v>20276.33036117456</v>
      </c>
      <c r="BB161" s="209">
        <f>BB37*BB104*'Data &amp; Assumptions'!$D$93*'Data &amp; Assumptions'!$D$94</f>
        <v>19398.806063957694</v>
      </c>
      <c r="BC161" s="209">
        <f>BC37*BC104*'Data &amp; Assumptions'!$D$93*'Data &amp; Assumptions'!$D$94</f>
        <v>18559.25949143221</v>
      </c>
      <c r="BD161" s="209">
        <f>BD37*BD104*'Data &amp; Assumptions'!$D$93*'Data &amp; Assumptions'!$D$94</f>
        <v>17756.047033754607</v>
      </c>
      <c r="BE161" s="209">
        <f>BE37*BE104*'Data &amp; Assumptions'!$D$93*'Data &amp; Assumptions'!$D$94</f>
        <v>16987.59621365527</v>
      </c>
      <c r="BF161" s="209">
        <f>BF37*BF104*'Data &amp; Assumptions'!$D$93*'Data &amp; Assumptions'!$D$94</f>
        <v>16252.402607945896</v>
      </c>
      <c r="BG161" s="209">
        <f>BG37*BG104*'Data &amp; Assumptions'!$D$93*'Data &amp; Assumptions'!$D$94</f>
        <v>15549.02690225437</v>
      </c>
      <c r="BH161" s="209">
        <f>BH37*BH104*'Data &amp; Assumptions'!$D$93*'Data &amp; Assumptions'!$D$94</f>
        <v>14876.092073231766</v>
      </c>
      <c r="BI161" s="209">
        <f>BI37*BI104*'Data &amp; Assumptions'!$D$93*'Data &amp; Assumptions'!$D$94</f>
        <v>14232.280692702541</v>
      </c>
      <c r="BJ161" s="209">
        <f>BJ37*BJ104*'Data &amp; Assumptions'!$D$93*'Data &amp; Assumptions'!$D$94</f>
        <v>13616.332348490538</v>
      </c>
      <c r="BK161" s="209">
        <f>BK37*BK104*'Data &amp; Assumptions'!$D$93*'Data &amp; Assumptions'!$D$94</f>
        <v>13027.04117686651</v>
      </c>
      <c r="BL161" s="209">
        <f>BL37*BL104*'Data &amp; Assumptions'!$D$93*'Data &amp; Assumptions'!$D$94</f>
        <v>12463.253501782903</v>
      </c>
      <c r="BN161" s="203"/>
    </row>
    <row r="162" spans="7:66" s="146" customFormat="1" ht="12.75">
      <c r="G162" s="231" t="s">
        <v>72</v>
      </c>
      <c r="L162" s="232" t="s">
        <v>184</v>
      </c>
      <c r="M162" s="147"/>
      <c r="P162" s="243">
        <f t="shared" si="153"/>
        <v>0.06501693964346048</v>
      </c>
      <c r="Q162" s="209">
        <f>Q38*Q109*'Data &amp; Assumptions'!$D$93*'Data &amp; Assumptions'!$D$94</f>
        <v>57308.624850202075</v>
      </c>
      <c r="R162" s="209">
        <f>R38*R109*'Data &amp; Assumptions'!$D$93*'Data &amp; Assumptions'!$D$94</f>
        <v>65948.25822527525</v>
      </c>
      <c r="S162" s="209">
        <f>S38*S109*'Data &amp; Assumptions'!$D$93*'Data &amp; Assumptions'!$D$94</f>
        <v>112832.35132395549</v>
      </c>
      <c r="T162" s="209">
        <f>T38*T109*'Data &amp; Assumptions'!$D$93*'Data &amp; Assumptions'!$D$94</f>
        <v>384247.24413553515</v>
      </c>
      <c r="U162" s="209">
        <f>U38*U109*'Data &amp; Assumptions'!$D$93*'Data &amp; Assumptions'!$D$94</f>
        <v>390104.58603338373</v>
      </c>
      <c r="V162" s="209">
        <f>V38*V109*'Data &amp; Assumptions'!$D$93*'Data &amp; Assumptions'!$D$94</f>
        <v>406112.3429748753</v>
      </c>
      <c r="W162" s="209">
        <f>W38*W109*'Data &amp; Assumptions'!$D$93*'Data &amp; Assumptions'!$D$94</f>
        <v>423252.0209588065</v>
      </c>
      <c r="X162" s="209">
        <f>X38*X109*'Data &amp; Assumptions'!$D$93*'Data &amp; Assumptions'!$D$94</f>
        <v>50797.61725019397</v>
      </c>
      <c r="Y162" s="209">
        <f>Y38*Y109*'Data &amp; Assumptions'!$D$93*'Data &amp; Assumptions'!$D$94</f>
        <v>48635.12204575853</v>
      </c>
      <c r="Z162" s="209">
        <f>Z38*Z109*'Data &amp; Assumptions'!$D$93*'Data &amp; Assumptions'!$D$94</f>
        <v>46564.685992174054</v>
      </c>
      <c r="AA162" s="209">
        <f>AA38*AA109*'Data &amp; Assumptions'!$D$93*'Data &amp; Assumptions'!$D$94</f>
        <v>44582.390057737386</v>
      </c>
      <c r="AB162" s="209">
        <f>AB38*AB109*'Data &amp; Assumptions'!$D$93*'Data &amp; Assumptions'!$D$94</f>
        <v>42684.48204706809</v>
      </c>
      <c r="AC162" s="209">
        <f>AC38*AC109*'Data &amp; Assumptions'!$D$93*'Data &amp; Assumptions'!$D$94</f>
        <v>40867.369498739274</v>
      </c>
      <c r="AD162" s="209">
        <f>AD38*AD109*'Data &amp; Assumptions'!$D$93*'Data &amp; Assumptions'!$D$94</f>
        <v>39127.61288528091</v>
      </c>
      <c r="AE162" s="209">
        <f>AE38*AE109*'Data &amp; Assumptions'!$D$93*'Data &amp; Assumptions'!$D$94</f>
        <v>37461.919102665495</v>
      </c>
      <c r="AF162" s="209">
        <f>AF38*AF109*'Data &amp; Assumptions'!$D$93*'Data &amp; Assumptions'!$D$94</f>
        <v>35867.13523692917</v>
      </c>
      <c r="AG162" s="209">
        <f>AG38*AG109*'Data &amp; Assumptions'!$D$93*'Data &amp; Assumptions'!$D$94</f>
        <v>34340.2425961851</v>
      </c>
      <c r="AH162" s="209">
        <f>AH38*AH109*'Data &amp; Assumptions'!$D$93*'Data &amp; Assumptions'!$D$94</f>
        <v>32878.35099667021</v>
      </c>
      <c r="AI162" s="209">
        <f>AI38*AI109*'Data &amp; Assumptions'!$D$93*'Data &amp; Assumptions'!$D$94</f>
        <v>31478.693292062184</v>
      </c>
      <c r="AJ162" s="209">
        <f>AJ38*AJ109*'Data &amp; Assumptions'!$D$93*'Data &amp; Assumptions'!$D$94</f>
        <v>30138.62013566534</v>
      </c>
      <c r="AK162" s="209">
        <f>AK38*AK109*'Data &amp; Assumptions'!$D$93*'Data &amp; Assumptions'!$D$94</f>
        <v>28855.594965592987</v>
      </c>
      <c r="AL162" s="209"/>
      <c r="AM162" s="203"/>
      <c r="AQ162" s="243">
        <f t="shared" si="154"/>
        <v>0.06501693964346049</v>
      </c>
      <c r="AR162" s="209">
        <f>AR38*AR109*'Data &amp; Assumptions'!$D$93*'Data &amp; Assumptions'!$D$94</f>
        <v>57308.624850202075</v>
      </c>
      <c r="AS162" s="209">
        <f>AS38*AS109*'Data &amp; Assumptions'!$D$93*'Data &amp; Assumptions'!$D$94</f>
        <v>62650.84531401149</v>
      </c>
      <c r="AT162" s="209">
        <f>AT38*AT109*'Data &amp; Assumptions'!$D$93*'Data &amp; Assumptions'!$D$94</f>
        <v>84561.73324900631</v>
      </c>
      <c r="AU162" s="209">
        <f>AU38*AU109*'Data &amp; Assumptions'!$D$93*'Data &amp; Assumptions'!$D$94</f>
        <v>287759.7006474875</v>
      </c>
      <c r="AV162" s="209">
        <f>AV38*AV109*'Data &amp; Assumptions'!$D$93*'Data &amp; Assumptions'!$D$94</f>
        <v>291930.34575255524</v>
      </c>
      <c r="AW162" s="209">
        <f>AW38*AW109*'Data &amp; Assumptions'!$D$93*'Data &amp; Assumptions'!$D$94</f>
        <v>303685.005516534</v>
      </c>
      <c r="AX162" s="209">
        <f>AX38*AX109*'Data &amp; Assumptions'!$D$93*'Data &amp; Assumptions'!$D$94</f>
        <v>316267.9434018592</v>
      </c>
      <c r="AY162" s="209">
        <f>AY38*AY109*'Data &amp; Assumptions'!$D$93*'Data &amp; Assumptions'!$D$94</f>
        <v>37929.61631996619</v>
      </c>
      <c r="AZ162" s="209">
        <f>AZ38*AZ109*'Data &amp; Assumptions'!$D$93*'Data &amp; Assumptions'!$D$94</f>
        <v>36288.088523169805</v>
      </c>
      <c r="BA162" s="209">
        <f>BA38*BA109*'Data &amp; Assumptions'!$D$93*'Data &amp; Assumptions'!$D$94</f>
        <v>34717.60319316187</v>
      </c>
      <c r="BB162" s="209">
        <f>BB38*BB109*'Data &amp; Assumptions'!$D$93*'Data &amp; Assumptions'!$D$94</f>
        <v>33215.08573559062</v>
      </c>
      <c r="BC162" s="209">
        <f>BC38*BC109*'Data &amp; Assumptions'!$D$93*'Data &amp; Assumptions'!$D$94</f>
        <v>31777.59461920392</v>
      </c>
      <c r="BD162" s="209">
        <f>BD38*BD109*'Data &amp; Assumptions'!$D$93*'Data &amp; Assumptions'!$D$94</f>
        <v>30402.315617099805</v>
      </c>
      <c r="BE162" s="209">
        <f>BE38*BE109*'Data &amp; Assumptions'!$D$93*'Data &amp; Assumptions'!$D$94</f>
        <v>29086.55629721983</v>
      </c>
      <c r="BF162" s="209">
        <f>BF38*BF109*'Data &amp; Assumptions'!$D$93*'Data &amp; Assumptions'!$D$94</f>
        <v>27827.740751285088</v>
      </c>
      <c r="BG162" s="209">
        <f>BG38*BG109*'Data &amp; Assumptions'!$D$93*'Data &amp; Assumptions'!$D$94</f>
        <v>26623.404551837957</v>
      </c>
      <c r="BH162" s="209">
        <f>BH38*BH109*'Data &amp; Assumptions'!$D$93*'Data &amp; Assumptions'!$D$94</f>
        <v>25471.189927558476</v>
      </c>
      <c r="BI162" s="209">
        <f>BI38*BI109*'Data &amp; Assumptions'!$D$93*'Data &amp; Assumptions'!$D$94</f>
        <v>24368.84114736332</v>
      </c>
      <c r="BJ162" s="209">
        <f>BJ38*BJ109*'Data &amp; Assumptions'!$D$93*'Data &amp; Assumptions'!$D$94</f>
        <v>23314.200104289794</v>
      </c>
      <c r="BK162" s="209">
        <f>BK38*BK109*'Data &amp; Assumptions'!$D$93*'Data &amp; Assumptions'!$D$94</f>
        <v>22305.202090484963</v>
      </c>
      <c r="BL162" s="209">
        <f>BL38*BL109*'Data &amp; Assumptions'!$D$93*'Data &amp; Assumptions'!$D$94</f>
        <v>21339.871755059703</v>
      </c>
      <c r="BN162" s="203"/>
    </row>
    <row r="163" spans="7:66" s="146" customFormat="1" ht="12.75">
      <c r="G163" s="231" t="s">
        <v>85</v>
      </c>
      <c r="L163" s="232" t="s">
        <v>184</v>
      </c>
      <c r="M163" s="147"/>
      <c r="P163" s="243">
        <f t="shared" si="153"/>
        <v>0.028032358072855867</v>
      </c>
      <c r="Q163" s="209">
        <f>Q39*Q114*'Data &amp; Assumptions'!$D$93*'Data &amp; Assumptions'!$D$94</f>
        <v>24708.882043257054</v>
      </c>
      <c r="R163" s="209">
        <f>R39*R114*'Data &amp; Assumptions'!$D$93*'Data &amp; Assumptions'!$D$94</f>
        <v>28433.90044179082</v>
      </c>
      <c r="S163" s="209">
        <f>S39*S114*'Data &amp; Assumptions'!$D$93*'Data &amp; Assumptions'!$D$94</f>
        <v>48648.196790873124</v>
      </c>
      <c r="T163" s="209">
        <f>T39*T114*'Data &amp; Assumptions'!$D$93*'Data &amp; Assumptions'!$D$94</f>
        <v>165669.99915996168</v>
      </c>
      <c r="U163" s="209">
        <f>U39*U114*'Data &amp; Assumptions'!$D$93*'Data &amp; Assumptions'!$D$94</f>
        <v>168195.4195555699</v>
      </c>
      <c r="V163" s="209">
        <f>V39*V114*'Data &amp; Assumptions'!$D$93*'Data &amp; Assumptions'!$D$94</f>
        <v>175097.2389427619</v>
      </c>
      <c r="W163" s="209">
        <f>W39*W114*'Data &amp; Assumptions'!$D$93*'Data &amp; Assumptions'!$D$94</f>
        <v>182487.09138942903</v>
      </c>
      <c r="X163" s="209">
        <f>X39*X114*'Data &amp; Assumptions'!$D$93*'Data &amp; Assumptions'!$D$94</f>
        <v>21901.630618329615</v>
      </c>
      <c r="Y163" s="209">
        <f>Y39*Y114*'Data &amp; Assumptions'!$D$93*'Data &amp; Assumptions'!$D$94</f>
        <v>20969.26068160263</v>
      </c>
      <c r="Z163" s="209">
        <f>Z39*Z114*'Data &amp; Assumptions'!$D$93*'Data &amp; Assumptions'!$D$94</f>
        <v>20076.58247897857</v>
      </c>
      <c r="AA163" s="209">
        <f>AA39*AA114*'Data &amp; Assumptions'!$D$93*'Data &amp; Assumptions'!$D$94</f>
        <v>19221.906301582403</v>
      </c>
      <c r="AB163" s="209">
        <f>AB39*AB114*'Data &amp; Assumptions'!$D$93*'Data &amp; Assumptions'!$D$94</f>
        <v>18403.614372799122</v>
      </c>
      <c r="AC163" s="209">
        <f>AC39*AC114*'Data &amp; Assumptions'!$D$93*'Data &amp; Assumptions'!$D$94</f>
        <v>17620.157786057636</v>
      </c>
      <c r="AD163" s="209">
        <f>AD39*AD114*'Data &amp; Assumptions'!$D$93*'Data &amp; Assumptions'!$D$94</f>
        <v>16870.05357297839</v>
      </c>
      <c r="AE163" s="209">
        <f>AE39*AE114*'Data &amp; Assumptions'!$D$93*'Data &amp; Assumptions'!$D$94</f>
        <v>16151.881896334522</v>
      </c>
      <c r="AF163" s="209">
        <f>AF39*AF114*'Data &amp; Assumptions'!$D$93*'Data &amp; Assumptions'!$D$94</f>
        <v>15464.28336250164</v>
      </c>
      <c r="AG163" s="209">
        <f>AG39*AG114*'Data &amp; Assumptions'!$D$93*'Data &amp; Assumptions'!$D$94</f>
        <v>14805.956448333338</v>
      </c>
      <c r="AH163" s="209">
        <f>AH39*AH114*'Data &amp; Assumptions'!$D$93*'Data &amp; Assumptions'!$D$94</f>
        <v>14175.655037562596</v>
      </c>
      <c r="AI163" s="209">
        <f>AI39*AI114*'Data &amp; Assumptions'!$D$93*'Data &amp; Assumptions'!$D$94</f>
        <v>13572.186062089262</v>
      </c>
      <c r="AJ163" s="209">
        <f>AJ39*AJ114*'Data &amp; Assumptions'!$D$93*'Data &amp; Assumptions'!$D$94</f>
        <v>12994.407243677813</v>
      </c>
      <c r="AK163" s="209">
        <f>AK39*AK114*'Data &amp; Assumptions'!$D$93*'Data &amp; Assumptions'!$D$94</f>
        <v>12441.224931788483</v>
      </c>
      <c r="AL163" s="209"/>
      <c r="AM163" s="203"/>
      <c r="AQ163" s="243">
        <f t="shared" si="154"/>
        <v>0.028032358072855867</v>
      </c>
      <c r="AR163" s="209">
        <f>AR39*AR114*'Data &amp; Assumptions'!$D$93*'Data &amp; Assumptions'!$D$94</f>
        <v>24708.882043257054</v>
      </c>
      <c r="AS163" s="209">
        <f>AS39*AS114*'Data &amp; Assumptions'!$D$93*'Data &amp; Assumptions'!$D$94</f>
        <v>27012.205419701277</v>
      </c>
      <c r="AT163" s="209">
        <f>AT39*AT114*'Data &amp; Assumptions'!$D$93*'Data &amp; Assumptions'!$D$94</f>
        <v>36459.18738557369</v>
      </c>
      <c r="AU163" s="209">
        <f>AU39*AU114*'Data &amp; Assumptions'!$D$93*'Data &amp; Assumptions'!$D$94</f>
        <v>124068.94282818687</v>
      </c>
      <c r="AV163" s="209">
        <f>AV39*AV114*'Data &amp; Assumptions'!$D$93*'Data &amp; Assumptions'!$D$94</f>
        <v>125867.1360009382</v>
      </c>
      <c r="AW163" s="209">
        <f>AW39*AW114*'Data &amp; Assumptions'!$D$93*'Data &amp; Assumptions'!$D$94</f>
        <v>130935.21261813072</v>
      </c>
      <c r="AX163" s="209">
        <f>AX39*AX114*'Data &amp; Assumptions'!$D$93*'Data &amp; Assumptions'!$D$94</f>
        <v>136360.40522707632</v>
      </c>
      <c r="AY163" s="209">
        <f>AY39*AY114*'Data &amp; Assumptions'!$D$93*'Data &amp; Assumptions'!$D$94</f>
        <v>16353.531742312069</v>
      </c>
      <c r="AZ163" s="209">
        <f>AZ39*AZ114*'Data &amp; Assumptions'!$D$93*'Data &amp; Assumptions'!$D$94</f>
        <v>15645.779343649889</v>
      </c>
      <c r="BA163" s="209">
        <f>BA39*BA114*'Data &amp; Assumptions'!$D$93*'Data &amp; Assumptions'!$D$94</f>
        <v>14968.657237313007</v>
      </c>
      <c r="BB163" s="209">
        <f>BB39*BB114*'Data &amp; Assumptions'!$D$93*'Data &amp; Assumptions'!$D$94</f>
        <v>14320.839797545648</v>
      </c>
      <c r="BC163" s="209">
        <f>BC39*BC114*'Data &amp; Assumptions'!$D$93*'Data &amp; Assumptions'!$D$94</f>
        <v>13701.058769369221</v>
      </c>
      <c r="BD163" s="209">
        <f>BD39*BD114*'Data &amp; Assumptions'!$D$93*'Data &amp; Assumptions'!$D$94</f>
        <v>13108.10078567323</v>
      </c>
      <c r="BE163" s="209">
        <f>BE39*BE114*'Data &amp; Assumptions'!$D$93*'Data &amp; Assumptions'!$D$94</f>
        <v>12540.804991764262</v>
      </c>
      <c r="BF163" s="209">
        <f>BF39*BF114*'Data &amp; Assumptions'!$D$93*'Data &amp; Assumptions'!$D$94</f>
        <v>11998.060772721896</v>
      </c>
      <c r="BG163" s="209">
        <f>BG39*BG114*'Data &amp; Assumptions'!$D$93*'Data &amp; Assumptions'!$D$94</f>
        <v>11478.805579103937</v>
      </c>
      <c r="BH163" s="209">
        <f>BH39*BH114*'Data &amp; Assumptions'!$D$93*'Data &amp; Assumptions'!$D$94</f>
        <v>10982.022846762093</v>
      </c>
      <c r="BI163" s="209">
        <f>BI39*BI114*'Data &amp; Assumptions'!$D$93*'Data &amp; Assumptions'!$D$94</f>
        <v>10506.74000667396</v>
      </c>
      <c r="BJ163" s="209">
        <f>BJ39*BJ114*'Data &amp; Assumptions'!$D$93*'Data &amp; Assumptions'!$D$94</f>
        <v>10052.02658091253</v>
      </c>
      <c r="BK163" s="209">
        <f>BK39*BK114*'Data &amp; Assumptions'!$D$93*'Data &amp; Assumptions'!$D$94</f>
        <v>9616.992361017285</v>
      </c>
      <c r="BL163" s="209">
        <f>BL39*BL114*'Data &amp; Assumptions'!$D$93*'Data &amp; Assumptions'!$D$94</f>
        <v>9200.785665199042</v>
      </c>
      <c r="BN163" s="203"/>
    </row>
    <row r="164" spans="7:66" s="146" customFormat="1" ht="12.75">
      <c r="G164" s="231" t="s">
        <v>81</v>
      </c>
      <c r="L164" s="232" t="s">
        <v>184</v>
      </c>
      <c r="M164" s="147"/>
      <c r="P164" s="243">
        <f t="shared" si="153"/>
        <v>0.038719238314569575</v>
      </c>
      <c r="Q164" s="209">
        <f>Q40*Q119*'Data &amp; Assumptions'!$D$93*'Data &amp; Assumptions'!$D$94</f>
        <v>34128.741143823245</v>
      </c>
      <c r="R164" s="209">
        <f>R40*R119*'Data &amp; Assumptions'!$D$93*'Data &amp; Assumptions'!$D$94</f>
        <v>39273.862175886614</v>
      </c>
      <c r="S164" s="209">
        <f>S40*S119*'Data &amp; Assumptions'!$D$93*'Data &amp; Assumptions'!$D$94</f>
        <v>67194.52998653859</v>
      </c>
      <c r="T164" s="209">
        <f>T40*T119*'Data &amp; Assumptions'!$D$93*'Data &amp; Assumptions'!$D$94</f>
        <v>228828.98978307768</v>
      </c>
      <c r="U164" s="209">
        <f>U40*U119*'Data &amp; Assumptions'!$D$93*'Data &amp; Assumptions'!$D$94</f>
        <v>232317.18559906638</v>
      </c>
      <c r="V164" s="209">
        <f>V40*V119*'Data &amp; Assumptions'!$D$93*'Data &amp; Assumptions'!$D$94</f>
        <v>241850.21128895902</v>
      </c>
      <c r="W164" s="209">
        <f>W40*W119*'Data &amp; Assumptions'!$D$93*'Data &amp; Assumptions'!$D$94</f>
        <v>252057.32469869635</v>
      </c>
      <c r="X164" s="209">
        <f>X40*X119*'Data &amp; Assumptions'!$D$93*'Data &amp; Assumptions'!$D$94</f>
        <v>30251.270805859393</v>
      </c>
      <c r="Y164" s="209">
        <f>Y40*Y119*'Data &amp; Assumptions'!$D$93*'Data &amp; Assumptions'!$D$94</f>
        <v>28963.450006636984</v>
      </c>
      <c r="Z164" s="209">
        <f>Z40*Z119*'Data &amp; Assumptions'!$D$93*'Data &amp; Assumptions'!$D$94</f>
        <v>27730.452769095114</v>
      </c>
      <c r="AA164" s="209">
        <f>AA40*AA119*'Data &amp; Assumptions'!$D$93*'Data &amp; Assumptions'!$D$94</f>
        <v>26549.945210351878</v>
      </c>
      <c r="AB164" s="209">
        <f>AB40*AB119*'Data &amp; Assumptions'!$D$93*'Data &amp; Assumptions'!$D$94</f>
        <v>25419.692802791564</v>
      </c>
      <c r="AC164" s="209">
        <f>AC40*AC119*'Data &amp; Assumptions'!$D$93*'Data &amp; Assumptions'!$D$94</f>
        <v>24337.556144422604</v>
      </c>
      <c r="AD164" s="209">
        <f>AD40*AD119*'Data &amp; Assumptions'!$D$93*'Data &amp; Assumptions'!$D$94</f>
        <v>23301.486909308984</v>
      </c>
      <c r="AE164" s="209">
        <f>AE40*AE119*'Data &amp; Assumptions'!$D$93*'Data &amp; Assumptions'!$D$94</f>
        <v>22309.5239703904</v>
      </c>
      <c r="AF164" s="209">
        <f>AF40*AF119*'Data &amp; Assumptions'!$D$93*'Data &amp; Assumptions'!$D$94</f>
        <v>21359.78968735157</v>
      </c>
      <c r="AG164" s="209">
        <f>AG40*AG119*'Data &amp; Assumptions'!$D$93*'Data &amp; Assumptions'!$D$94</f>
        <v>20450.486352529795</v>
      </c>
      <c r="AH164" s="209">
        <f>AH40*AH119*'Data &amp; Assumptions'!$D$93*'Data &amp; Assumptions'!$D$94</f>
        <v>19579.892788113113</v>
      </c>
      <c r="AI164" s="209">
        <f>AI40*AI119*'Data &amp; Assumptions'!$D$93*'Data &amp; Assumptions'!$D$94</f>
        <v>18746.3610882088</v>
      </c>
      <c r="AJ164" s="209">
        <f>AJ40*AJ119*'Data &amp; Assumptions'!$D$93*'Data &amp; Assumptions'!$D$94</f>
        <v>17948.313499595126</v>
      </c>
      <c r="AK164" s="209">
        <f>AK40*AK119*'Data &amp; Assumptions'!$D$93*'Data &amp; Assumptions'!$D$94</f>
        <v>17184.23943526621</v>
      </c>
      <c r="AL164" s="209"/>
      <c r="AM164" s="203"/>
      <c r="AQ164" s="243">
        <f t="shared" si="154"/>
        <v>0.03871923831456957</v>
      </c>
      <c r="AR164" s="209">
        <f>AR40*AR119*'Data &amp; Assumptions'!$D$93*'Data &amp; Assumptions'!$D$94</f>
        <v>34128.741143823245</v>
      </c>
      <c r="AS164" s="209">
        <f>AS40*AS119*'Data &amp; Assumptions'!$D$93*'Data &amp; Assumptions'!$D$94</f>
        <v>37310.169067092276</v>
      </c>
      <c r="AT164" s="209">
        <f>AT40*AT119*'Data &amp; Assumptions'!$D$93*'Data &amp; Assumptions'!$D$94</f>
        <v>50358.659142004995</v>
      </c>
      <c r="AU164" s="209">
        <f>AU40*AU119*'Data &amp; Assumptions'!$D$93*'Data &amp; Assumptions'!$D$94</f>
        <v>171368.20785165855</v>
      </c>
      <c r="AV164" s="209">
        <f>AV40*AV119*'Data &amp; Assumptions'!$D$93*'Data &amp; Assumptions'!$D$94</f>
        <v>173851.93290291692</v>
      </c>
      <c r="AW164" s="209">
        <f>AW40*AW119*'Data &amp; Assumptions'!$D$93*'Data &amp; Assumptions'!$D$94</f>
        <v>180852.1312389815</v>
      </c>
      <c r="AX164" s="209">
        <f>AX40*AX119*'Data &amp; Assumptions'!$D$93*'Data &amp; Assumptions'!$D$94</f>
        <v>188345.59022599433</v>
      </c>
      <c r="AY164" s="209">
        <f>AY40*AY119*'Data &amp; Assumptions'!$D$93*'Data &amp; Assumptions'!$D$94</f>
        <v>22588.049537958592</v>
      </c>
      <c r="AZ164" s="209">
        <f>AZ40*AZ119*'Data &amp; Assumptions'!$D$93*'Data &amp; Assumptions'!$D$94</f>
        <v>21610.47805716169</v>
      </c>
      <c r="BA164" s="209">
        <f>BA40*BA119*'Data &amp; Assumptions'!$D$93*'Data &amp; Assumptions'!$D$94</f>
        <v>20675.21416908006</v>
      </c>
      <c r="BB164" s="209">
        <f>BB40*BB119*'Data &amp; Assumptions'!$D$93*'Data &amp; Assumptions'!$D$94</f>
        <v>19780.42687471446</v>
      </c>
      <c r="BC164" s="209">
        <f>BC40*BC119*'Data &amp; Assumptions'!$D$93*'Data &amp; Assumptions'!$D$94</f>
        <v>18924.364417519977</v>
      </c>
      <c r="BD164" s="209">
        <f>BD40*BD119*'Data &amp; Assumptions'!$D$93*'Data &amp; Assumptions'!$D$94</f>
        <v>18105.35085392389</v>
      </c>
      <c r="BE164" s="209">
        <f>BE40*BE119*'Data &amp; Assumptions'!$D$93*'Data &amp; Assumptions'!$D$94</f>
        <v>17321.782772276085</v>
      </c>
      <c r="BF164" s="209">
        <f>BF40*BF119*'Data &amp; Assumptions'!$D$93*'Data &amp; Assumptions'!$D$94</f>
        <v>16572.126153794172</v>
      </c>
      <c r="BG164" s="209">
        <f>BG40*BG119*'Data &amp; Assumptions'!$D$93*'Data &amp; Assumptions'!$D$94</f>
        <v>15854.913369357371</v>
      </c>
      <c r="BH164" s="209">
        <f>BH40*BH119*'Data &amp; Assumptions'!$D$93*'Data &amp; Assumptions'!$D$94</f>
        <v>15168.740306281245</v>
      </c>
      <c r="BI164" s="209">
        <f>BI40*BI119*'Data &amp; Assumptions'!$D$93*'Data &amp; Assumptions'!$D$94</f>
        <v>14512.263619433223</v>
      </c>
      <c r="BJ164" s="209">
        <f>BJ40*BJ119*'Data &amp; Assumptions'!$D$93*'Data &amp; Assumptions'!$D$94</f>
        <v>13884.198101322778</v>
      </c>
      <c r="BK164" s="209">
        <f>BK40*BK119*'Data &amp; Assumptions'!$D$93*'Data &amp; Assumptions'!$D$94</f>
        <v>13283.314166002405</v>
      </c>
      <c r="BL164" s="209">
        <f>BL40*BL119*'Data &amp; Assumptions'!$D$93*'Data &amp; Assumptions'!$D$94</f>
        <v>12708.43544186421</v>
      </c>
      <c r="BN164" s="203"/>
    </row>
    <row r="165" spans="7:66" s="146" customFormat="1" ht="12.75">
      <c r="G165" s="231" t="s">
        <v>82</v>
      </c>
      <c r="L165" s="232" t="s">
        <v>184</v>
      </c>
      <c r="M165" s="147"/>
      <c r="P165" s="243">
        <f t="shared" si="153"/>
        <v>0.0038516104157097055</v>
      </c>
      <c r="Q165" s="209">
        <f>Q41*Q124*'Data &amp; Assumptions'!$D$93*'Data &amp; Assumptions'!$D$94</f>
        <v>3394.9690279714614</v>
      </c>
      <c r="R165" s="209">
        <f>R41*R124*'Data &amp; Assumptions'!$D$93*'Data &amp; Assumptions'!$D$94</f>
        <v>3906.781827494581</v>
      </c>
      <c r="S165" s="209">
        <f>S41*S124*'Data &amp; Assumptions'!$D$93*'Data &amp; Assumptions'!$D$94</f>
        <v>6684.200486389316</v>
      </c>
      <c r="T165" s="209">
        <f>T41*T124*'Data &amp; Assumptions'!$D$93*'Data &amp; Assumptions'!$D$94</f>
        <v>22762.84758765994</v>
      </c>
      <c r="U165" s="209">
        <f>U41*U124*'Data &amp; Assumptions'!$D$93*'Data &amp; Assumptions'!$D$94</f>
        <v>23109.837144317647</v>
      </c>
      <c r="V165" s="209">
        <f>V41*V124*'Data &amp; Assumptions'!$D$93*'Data &amp; Assumptions'!$D$94</f>
        <v>24058.138367139047</v>
      </c>
      <c r="W165" s="209">
        <f>W41*W124*'Data &amp; Assumptions'!$D$93*'Data &amp; Assumptions'!$D$94</f>
        <v>25073.494712836597</v>
      </c>
      <c r="X165" s="209">
        <f>X41*X124*'Data &amp; Assumptions'!$D$93*'Data &amp; Assumptions'!$D$94</f>
        <v>3009.25624563381</v>
      </c>
      <c r="Y165" s="209">
        <f>Y41*Y124*'Data &amp; Assumptions'!$D$93*'Data &amp; Assumptions'!$D$94</f>
        <v>2881.1497998521972</v>
      </c>
      <c r="Z165" s="209">
        <f>Z41*Z124*'Data &amp; Assumptions'!$D$93*'Data &amp; Assumptions'!$D$94</f>
        <v>2758.4969479526635</v>
      </c>
      <c r="AA165" s="209">
        <f>AA41*AA124*'Data &amp; Assumptions'!$D$93*'Data &amp; Assumptions'!$D$94</f>
        <v>2641.065526080741</v>
      </c>
      <c r="AB165" s="209">
        <f>AB41*AB124*'Data &amp; Assumptions'!$D$93*'Data &amp; Assumptions'!$D$94</f>
        <v>2528.6332537830594</v>
      </c>
      <c r="AC165" s="209">
        <f>AC41*AC124*'Data &amp; Assumptions'!$D$93*'Data &amp; Assumptions'!$D$94</f>
        <v>2420.9873132629377</v>
      </c>
      <c r="AD165" s="209">
        <f>AD41*AD124*'Data &amp; Assumptions'!$D$93*'Data &amp; Assumptions'!$D$94</f>
        <v>2317.923946547453</v>
      </c>
      <c r="AE165" s="209">
        <f>AE41*AE124*'Data &amp; Assumptions'!$D$93*'Data &amp; Assumptions'!$D$94</f>
        <v>2219.24806980379</v>
      </c>
      <c r="AF165" s="209">
        <f>AF41*AF124*'Data &amp; Assumptions'!$D$93*'Data &amp; Assumptions'!$D$94</f>
        <v>2124.772904073779</v>
      </c>
      <c r="AG165" s="209">
        <f>AG41*AG124*'Data &amp; Assumptions'!$D$93*'Data &amp; Assumptions'!$D$94</f>
        <v>2034.3196217290233</v>
      </c>
      <c r="AH165" s="209">
        <f>AH41*AH124*'Data &amp; Assumptions'!$D$93*'Data &amp; Assumptions'!$D$94</f>
        <v>1947.717007976331</v>
      </c>
      <c r="AI165" s="209">
        <f>AI41*AI124*'Data &amp; Assumptions'!$D$93*'Data &amp; Assumptions'!$D$94</f>
        <v>1864.8011367731697</v>
      </c>
      <c r="AJ165" s="209">
        <f>AJ41*AJ124*'Data &amp; Assumptions'!$D$93*'Data &amp; Assumptions'!$D$94</f>
        <v>1785.4150605397917</v>
      </c>
      <c r="AK165" s="209">
        <f>AK41*AK124*'Data &amp; Assumptions'!$D$93*'Data &amp; Assumptions'!$D$94</f>
        <v>1709.4085130806184</v>
      </c>
      <c r="AL165" s="209"/>
      <c r="AM165" s="203"/>
      <c r="AQ165" s="243">
        <f t="shared" si="154"/>
        <v>0.003851610415709706</v>
      </c>
      <c r="AR165" s="209">
        <f>AR41*AR124*'Data &amp; Assumptions'!$D$93*'Data &amp; Assumptions'!$D$94</f>
        <v>3394.9690279714614</v>
      </c>
      <c r="AS165" s="209">
        <f>AS41*AS124*'Data &amp; Assumptions'!$D$93*'Data &amp; Assumptions'!$D$94</f>
        <v>3711.4427361198523</v>
      </c>
      <c r="AT165" s="209">
        <f>AT41*AT124*'Data &amp; Assumptions'!$D$93*'Data &amp; Assumptions'!$D$94</f>
        <v>5009.446066492881</v>
      </c>
      <c r="AU165" s="209">
        <f>AU41*AU124*'Data &amp; Assumptions'!$D$93*'Data &amp; Assumptions'!$D$94</f>
        <v>17046.91525490538</v>
      </c>
      <c r="AV165" s="209">
        <f>AV41*AV124*'Data &amp; Assumptions'!$D$93*'Data &amp; Assumptions'!$D$94</f>
        <v>17293.984714264694</v>
      </c>
      <c r="AW165" s="209">
        <f>AW41*AW124*'Data &amp; Assumptions'!$D$93*'Data &amp; Assumptions'!$D$94</f>
        <v>17990.33200819055</v>
      </c>
      <c r="AX165" s="209">
        <f>AX41*AX124*'Data &amp; Assumptions'!$D$93*'Data &amp; Assumptions'!$D$94</f>
        <v>18735.746586070076</v>
      </c>
      <c r="AY165" s="209">
        <f>AY41*AY124*'Data &amp; Assumptions'!$D$93*'Data &amp; Assumptions'!$D$94</f>
        <v>2246.9545026723954</v>
      </c>
      <c r="AZ165" s="209">
        <f>AZ41*AZ124*'Data &amp; Assumptions'!$D$93*'Data &amp; Assumptions'!$D$94</f>
        <v>2149.7102214975807</v>
      </c>
      <c r="BA165" s="209">
        <f>BA41*BA124*'Data &amp; Assumptions'!$D$93*'Data &amp; Assumptions'!$D$94</f>
        <v>2056.6745036069624</v>
      </c>
      <c r="BB165" s="209">
        <f>BB41*BB124*'Data &amp; Assumptions'!$D$93*'Data &amp; Assumptions'!$D$94</f>
        <v>1967.6652097044748</v>
      </c>
      <c r="BC165" s="209">
        <f>BC41*BC124*'Data &amp; Assumptions'!$D$93*'Data &amp; Assumptions'!$D$94</f>
        <v>1882.5080831659275</v>
      </c>
      <c r="BD165" s="209">
        <f>BD41*BD124*'Data &amp; Assumptions'!$D$93*'Data &amp; Assumptions'!$D$94</f>
        <v>1801.0364088905912</v>
      </c>
      <c r="BE165" s="209">
        <f>BE41*BE124*'Data &amp; Assumptions'!$D$93*'Data &amp; Assumptions'!$D$94</f>
        <v>1723.0906869171356</v>
      </c>
      <c r="BF165" s="209">
        <f>BF41*BF124*'Data &amp; Assumptions'!$D$93*'Data &amp; Assumptions'!$D$94</f>
        <v>1648.5183201651716</v>
      </c>
      <c r="BG165" s="209">
        <f>BG41*BG124*'Data &amp; Assumptions'!$D$93*'Data &amp; Assumptions'!$D$94</f>
        <v>1577.1733156902944</v>
      </c>
      <c r="BH165" s="209">
        <f>BH41*BH124*'Data &amp; Assumptions'!$D$93*'Data &amp; Assumptions'!$D$94</f>
        <v>1508.9159988687798</v>
      </c>
      <c r="BI165" s="209">
        <f>BI41*BI124*'Data &amp; Assumptions'!$D$93*'Data &amp; Assumptions'!$D$94</f>
        <v>1443.612739951584</v>
      </c>
      <c r="BJ165" s="209">
        <f>BJ41*BJ124*'Data &amp; Assumptions'!$D$93*'Data &amp; Assumptions'!$D$94</f>
        <v>1381.1356924526453</v>
      </c>
      <c r="BK165" s="209">
        <f>BK41*BK124*'Data &amp; Assumptions'!$D$93*'Data &amp; Assumptions'!$D$94</f>
        <v>1321.3625428593743</v>
      </c>
      <c r="BL165" s="209">
        <f>BL41*BL124*'Data &amp; Assumptions'!$D$93*'Data &amp; Assumptions'!$D$94</f>
        <v>1264.176271175285</v>
      </c>
      <c r="BN165" s="203"/>
    </row>
    <row r="166" spans="7:66" s="146" customFormat="1" ht="12.75">
      <c r="G166" s="231" t="s">
        <v>189</v>
      </c>
      <c r="L166" s="232" t="s">
        <v>184</v>
      </c>
      <c r="M166" s="147"/>
      <c r="P166" s="243">
        <f t="shared" si="153"/>
        <v>0.05834182981539254</v>
      </c>
      <c r="Q166" s="209">
        <f>Q42*Q129*'Data &amp; Assumptions'!$D$93*'Data &amp; Assumptions'!$D$94</f>
        <v>51424.9064366868</v>
      </c>
      <c r="R166" s="209">
        <f>R42*R129*'Data &amp; Assumptions'!$D$93*'Data &amp; Assumptions'!$D$94</f>
        <v>59177.53248768243</v>
      </c>
      <c r="S166" s="209">
        <f>S42*S129*'Data &amp; Assumptions'!$D$93*'Data &amp; Assumptions'!$D$94</f>
        <v>101248.16508915617</v>
      </c>
      <c r="T166" s="209">
        <f>T42*T129*'Data &amp; Assumptions'!$D$93*'Data &amp; Assumptions'!$D$94</f>
        <v>344797.6396201204</v>
      </c>
      <c r="U166" s="209">
        <f>U42*U129*'Data &amp; Assumptions'!$D$93*'Data &amp; Assumptions'!$D$94</f>
        <v>350053.6243842263</v>
      </c>
      <c r="V166" s="209">
        <f>V42*V129*'Data &amp; Assumptions'!$D$93*'Data &amp; Assumptions'!$D$94</f>
        <v>364417.90908184723</v>
      </c>
      <c r="W166" s="209">
        <f>W42*W129*'Data &amp; Assumptions'!$D$93*'Data &amp; Assumptions'!$D$94</f>
        <v>379797.90361116093</v>
      </c>
      <c r="X166" s="209">
        <f>X42*X129*'Data &amp; Assumptions'!$D$93*'Data &amp; Assumptions'!$D$94</f>
        <v>45582.36602476446</v>
      </c>
      <c r="Y166" s="209">
        <f>Y42*Y129*'Data &amp; Assumptions'!$D$93*'Data &amp; Assumptions'!$D$94</f>
        <v>43641.8882371976</v>
      </c>
      <c r="Z166" s="209">
        <f>Z42*Z129*'Data &amp; Assumptions'!$D$93*'Data &amp; Assumptions'!$D$94</f>
        <v>41784.018141429864</v>
      </c>
      <c r="AA166" s="209">
        <f>AA42*AA129*'Data &amp; Assumptions'!$D$93*'Data &amp; Assumptions'!$D$94</f>
        <v>40005.23906193411</v>
      </c>
      <c r="AB166" s="209">
        <f>AB42*AB129*'Data &amp; Assumptions'!$D$93*'Data &amp; Assumptions'!$D$94</f>
        <v>38302.18403087661</v>
      </c>
      <c r="AC166" s="209">
        <f>AC42*AC129*'Data &amp; Assumptions'!$D$93*'Data &amp; Assumptions'!$D$94</f>
        <v>36671.62941493519</v>
      </c>
      <c r="AD166" s="209">
        <f>AD42*AD129*'Data &amp; Assumptions'!$D$93*'Data &amp; Assumptions'!$D$94</f>
        <v>35110.48881343715</v>
      </c>
      <c r="AE166" s="209">
        <f>AE42*AE129*'Data &amp; Assumptions'!$D$93*'Data &amp; Assumptions'!$D$94</f>
        <v>33615.807216259025</v>
      </c>
      <c r="AF166" s="209">
        <f>AF42*AF129*'Data &amp; Assumptions'!$D$93*'Data &amp; Assumptions'!$D$94</f>
        <v>32184.755410416605</v>
      </c>
      <c r="AG166" s="209">
        <f>AG42*AG129*'Data &amp; Assumptions'!$D$93*'Data &amp; Assumptions'!$D$94</f>
        <v>30814.624624790864</v>
      </c>
      <c r="AH166" s="209">
        <f>AH42*AH129*'Data &amp; Assumptions'!$D$93*'Data &amp; Assumptions'!$D$94</f>
        <v>29502.821402813126</v>
      </c>
      <c r="AI166" s="209">
        <f>AI42*AI129*'Data &amp; Assumptions'!$D$93*'Data &amp; Assumptions'!$D$94</f>
        <v>28246.86269343902</v>
      </c>
      <c r="AJ166" s="209">
        <f>AJ42*AJ129*'Data &amp; Assumptions'!$D$93*'Data &amp; Assumptions'!$D$94</f>
        <v>27044.371151088868</v>
      </c>
      <c r="AK166" s="209">
        <f>AK42*AK129*'Data &amp; Assumptions'!$D$93*'Data &amp; Assumptions'!$D$94</f>
        <v>25893.070635690656</v>
      </c>
      <c r="AL166" s="209"/>
      <c r="AM166" s="203"/>
      <c r="AQ166" s="243">
        <f t="shared" si="154"/>
        <v>0.05834182981539253</v>
      </c>
      <c r="AR166" s="209">
        <f>AR42*AR129*'Data &amp; Assumptions'!$D$93*'Data &amp; Assumptions'!$D$94</f>
        <v>51424.9064366868</v>
      </c>
      <c r="AS166" s="209">
        <f>AS42*AS129*'Data &amp; Assumptions'!$D$93*'Data &amp; Assumptions'!$D$94</f>
        <v>56218.65586329829</v>
      </c>
      <c r="AT166" s="209">
        <f>AT42*AT129*'Data &amp; Assumptions'!$D$93*'Data &amp; Assumptions'!$D$94</f>
        <v>75880.01338054927</v>
      </c>
      <c r="AU166" s="209">
        <f>AU42*AU129*'Data &amp; Assumptions'!$D$93*'Data &amp; Assumptions'!$D$94</f>
        <v>258216.20603750827</v>
      </c>
      <c r="AV166" s="209">
        <f>AV42*AV129*'Data &amp; Assumptions'!$D$93*'Data &amp; Assumptions'!$D$94</f>
        <v>261958.66251538275</v>
      </c>
      <c r="AW166" s="209">
        <f>AW42*AW129*'Data &amp; Assumptions'!$D$93*'Data &amp; Assumptions'!$D$94</f>
        <v>272506.5037894974</v>
      </c>
      <c r="AX166" s="209">
        <f>AX42*AX129*'Data &amp; Assumptions'!$D$93*'Data &amp; Assumptions'!$D$94</f>
        <v>283797.5861552472</v>
      </c>
      <c r="AY166" s="209">
        <f>AY42*AY129*'Data &amp; Assumptions'!$D$93*'Data &amp; Assumptions'!$D$94</f>
        <v>34035.48725051619</v>
      </c>
      <c r="AZ166" s="209">
        <f>AZ42*AZ129*'Data &amp; Assumptions'!$D$93*'Data &amp; Assumptions'!$D$94</f>
        <v>32562.49058406181</v>
      </c>
      <c r="BA166" s="209">
        <f>BA42*BA129*'Data &amp; Assumptions'!$D$93*'Data &amp; Assumptions'!$D$94</f>
        <v>31153.2426503175</v>
      </c>
      <c r="BB166" s="209">
        <f>BB42*BB129*'Data &amp; Assumptions'!$D$93*'Data &amp; Assumptions'!$D$94</f>
        <v>29804.98451505355</v>
      </c>
      <c r="BC166" s="209">
        <f>BC42*BC129*'Data &amp; Assumptions'!$D$93*'Data &amp; Assumptions'!$D$94</f>
        <v>28515.076645915302</v>
      </c>
      <c r="BD166" s="209">
        <f>BD42*BD129*'Data &amp; Assumptions'!$D$93*'Data &amp; Assumptions'!$D$94</f>
        <v>27280.99374491362</v>
      </c>
      <c r="BE166" s="209">
        <f>BE42*BE129*'Data &amp; Assumptions'!$D$93*'Data &amp; Assumptions'!$D$94</f>
        <v>26100.319804562343</v>
      </c>
      <c r="BF166" s="209">
        <f>BF42*BF129*'Data &amp; Assumptions'!$D$93*'Data &amp; Assumptions'!$D$94</f>
        <v>24970.743377978062</v>
      </c>
      <c r="BG166" s="209">
        <f>BG42*BG129*'Data &amp; Assumptions'!$D$93*'Data &amp; Assumptions'!$D$94</f>
        <v>23890.05305367228</v>
      </c>
      <c r="BH166" s="209">
        <f>BH42*BH129*'Data &amp; Assumptions'!$D$93*'Data &amp; Assumptions'!$D$94</f>
        <v>22856.133126201672</v>
      </c>
      <c r="BI166" s="209">
        <f>BI42*BI129*'Data &amp; Assumptions'!$D$93*'Data &amp; Assumptions'!$D$94</f>
        <v>21866.9594541708</v>
      </c>
      <c r="BJ166" s="209">
        <f>BJ42*BJ129*'Data &amp; Assumptions'!$D$93*'Data &amp; Assumptions'!$D$94</f>
        <v>20920.595497504317</v>
      </c>
      <c r="BK166" s="209">
        <f>BK42*BK129*'Data &amp; Assumptions'!$D$93*'Data &amp; Assumptions'!$D$94</f>
        <v>20015.188526208265</v>
      </c>
      <c r="BL166" s="209">
        <f>BL42*BL129*'Data &amp; Assumptions'!$D$93*'Data &amp; Assumptions'!$D$94</f>
        <v>19148.96599322243</v>
      </c>
      <c r="BN166" s="203"/>
    </row>
    <row r="167" spans="7:66" s="146" customFormat="1" ht="12.75">
      <c r="G167" s="231" t="s">
        <v>84</v>
      </c>
      <c r="L167" s="232" t="s">
        <v>184</v>
      </c>
      <c r="M167" s="147"/>
      <c r="P167" s="243">
        <f t="shared" si="153"/>
        <v>0.032938335943781025</v>
      </c>
      <c r="Q167" s="209">
        <f>Q43*Q134*'Data &amp; Assumptions'!$D$93*'Data &amp; Assumptions'!$D$94</f>
        <v>29033.214238374803</v>
      </c>
      <c r="R167" s="209">
        <f>R43*R134*'Data &amp; Assumptions'!$D$93*'Data &amp; Assumptions'!$D$94</f>
        <v>33410.15274239877</v>
      </c>
      <c r="S167" s="209">
        <f>S43*S134*'Data &amp; Assumptions'!$D$93*'Data &amp; Assumptions'!$D$94</f>
        <v>57162.17825101796</v>
      </c>
      <c r="T167" s="209">
        <f>T43*T134*'Data &amp; Assumptions'!$D$93*'Data &amp; Assumptions'!$D$94</f>
        <v>194664.11187936147</v>
      </c>
      <c r="U167" s="209">
        <f>U43*U134*'Data &amp; Assumptions'!$D$93*'Data &amp; Assumptions'!$D$94</f>
        <v>197631.50924113992</v>
      </c>
      <c r="V167" s="209">
        <f>V43*V134*'Data &amp; Assumptions'!$D$93*'Data &amp; Assumptions'!$D$94</f>
        <v>205741.22462818644</v>
      </c>
      <c r="W167" s="209">
        <f>W43*W134*'Data &amp; Assumptions'!$D$93*'Data &amp; Assumptions'!$D$94</f>
        <v>214424.3843477743</v>
      </c>
      <c r="X167" s="209">
        <f>X43*X134*'Data &amp; Assumptions'!$D$93*'Data &amp; Assumptions'!$D$94</f>
        <v>25734.662248114302</v>
      </c>
      <c r="Y167" s="209">
        <f>Y43*Y134*'Data &amp; Assumptions'!$D$93*'Data &amp; Assumptions'!$D$94</f>
        <v>24639.117088481857</v>
      </c>
      <c r="Z167" s="209">
        <f>Z43*Z134*'Data &amp; Assumptions'!$D$93*'Data &amp; Assumptions'!$D$94</f>
        <v>23590.21016273201</v>
      </c>
      <c r="AA167" s="209">
        <f>AA43*AA134*'Data &amp; Assumptions'!$D$93*'Data &amp; Assumptions'!$D$94</f>
        <v>22585.956043936327</v>
      </c>
      <c r="AB167" s="209">
        <f>AB43*AB134*'Data &amp; Assumptions'!$D$93*'Data &amp; Assumptions'!$D$94</f>
        <v>21624.453826381156</v>
      </c>
      <c r="AC167" s="209">
        <f>AC43*AC134*'Data &amp; Assumptions'!$D$93*'Data &amp; Assumptions'!$D$94</f>
        <v>20703.883527428938</v>
      </c>
      <c r="AD167" s="209">
        <f>AD43*AD134*'Data &amp; Assumptions'!$D$93*'Data &amp; Assumptions'!$D$94</f>
        <v>19822.502642559</v>
      </c>
      <c r="AE167" s="209">
        <f>AE43*AE134*'Data &amp; Assumptions'!$D$93*'Data &amp; Assumptions'!$D$94</f>
        <v>18978.642847064053</v>
      </c>
      <c r="AF167" s="209">
        <f>AF43*AF134*'Data &amp; Assumptions'!$D$93*'Data &amp; Assumptions'!$D$94</f>
        <v>18170.70683814948</v>
      </c>
      <c r="AG167" s="209">
        <f>AG43*AG134*'Data &amp; Assumptions'!$D$93*'Data &amp; Assumptions'!$D$94</f>
        <v>17397.16531148432</v>
      </c>
      <c r="AH167" s="209">
        <f>AH43*AH134*'Data &amp; Assumptions'!$D$93*'Data &amp; Assumptions'!$D$94</f>
        <v>16656.55406644215</v>
      </c>
      <c r="AI167" s="209">
        <f>AI43*AI134*'Data &amp; Assumptions'!$D$93*'Data &amp; Assumptions'!$D$94</f>
        <v>15947.471234590546</v>
      </c>
      <c r="AJ167" s="209">
        <f>AJ43*AJ134*'Data &amp; Assumptions'!$D$93*'Data &amp; Assumptions'!$D$94</f>
        <v>15268.574626156933</v>
      </c>
      <c r="AK167" s="209">
        <f>AK43*AK134*'Data &amp; Assumptions'!$D$93*'Data &amp; Assumptions'!$D$94</f>
        <v>14618.579189461501</v>
      </c>
      <c r="AL167" s="209"/>
      <c r="AM167" s="203"/>
      <c r="AQ167" s="243">
        <f t="shared" si="154"/>
        <v>0.03293833594378102</v>
      </c>
      <c r="AR167" s="209">
        <f>AR43*AR134*'Data &amp; Assumptions'!$D$93*'Data &amp; Assumptions'!$D$94</f>
        <v>29033.214238374803</v>
      </c>
      <c r="AS167" s="209">
        <f>AS43*AS134*'Data &amp; Assumptions'!$D$93*'Data &amp; Assumptions'!$D$94</f>
        <v>31739.645105278825</v>
      </c>
      <c r="AT167" s="209">
        <f>AT43*AT134*'Data &amp; Assumptions'!$D$93*'Data &amp; Assumptions'!$D$94</f>
        <v>42839.9551412032</v>
      </c>
      <c r="AU167" s="209">
        <f>AU43*AU134*'Data &amp; Assumptions'!$D$93*'Data &amp; Assumptions'!$D$94</f>
        <v>145782.40290893387</v>
      </c>
      <c r="AV167" s="209">
        <f>AV43*AV134*'Data &amp; Assumptions'!$D$93*'Data &amp; Assumptions'!$D$94</f>
        <v>147895.30010659248</v>
      </c>
      <c r="AW167" s="209">
        <f>AW43*AW134*'Data &amp; Assumptions'!$D$93*'Data &amp; Assumptions'!$D$94</f>
        <v>153850.34711947845</v>
      </c>
      <c r="AX167" s="209">
        <f>AX43*AX134*'Data &amp; Assumptions'!$D$93*'Data &amp; Assumptions'!$D$94</f>
        <v>160225.0094382434</v>
      </c>
      <c r="AY167" s="209">
        <f>AY43*AY134*'Data &amp; Assumptions'!$D$93*'Data &amp; Assumptions'!$D$94</f>
        <v>19215.583683527333</v>
      </c>
      <c r="AZ167" s="209">
        <f>AZ43*AZ134*'Data &amp; Assumptions'!$D$93*'Data &amp; Assumptions'!$D$94</f>
        <v>18383.96665681956</v>
      </c>
      <c r="BA167" s="209">
        <f>BA43*BA134*'Data &amp; Assumptions'!$D$93*'Data &amp; Assumptions'!$D$94</f>
        <v>17588.34056801477</v>
      </c>
      <c r="BB167" s="209">
        <f>BB43*BB134*'Data &amp; Assumptions'!$D$93*'Data &amp; Assumptions'!$D$94</f>
        <v>16827.147791943647</v>
      </c>
      <c r="BC167" s="209">
        <f>BC43*BC134*'Data &amp; Assumptions'!$D$93*'Data &amp; Assumptions'!$D$94</f>
        <v>16098.898114745509</v>
      </c>
      <c r="BD167" s="209">
        <f>BD43*BD134*'Data &amp; Assumptions'!$D$93*'Data &amp; Assumptions'!$D$94</f>
        <v>15402.165816421963</v>
      </c>
      <c r="BE167" s="209">
        <f>BE43*BE134*'Data &amp; Assumptions'!$D$93*'Data &amp; Assumptions'!$D$94</f>
        <v>14735.586879655399</v>
      </c>
      <c r="BF167" s="209">
        <f>BF43*BF134*'Data &amp; Assumptions'!$D$93*'Data &amp; Assumptions'!$D$94</f>
        <v>14097.856319425757</v>
      </c>
      <c r="BG167" s="209">
        <f>BG43*BG134*'Data &amp; Assumptions'!$D$93*'Data &amp; Assumptions'!$D$94</f>
        <v>13487.72562819043</v>
      </c>
      <c r="BH167" s="209">
        <f>BH43*BH134*'Data &amp; Assumptions'!$D$93*'Data &amp; Assumptions'!$D$94</f>
        <v>12904.000331645191</v>
      </c>
      <c r="BI167" s="209">
        <f>BI43*BI134*'Data &amp; Assumptions'!$D$93*'Data &amp; Assumptions'!$D$94</f>
        <v>12345.53765025214</v>
      </c>
      <c r="BJ167" s="209">
        <f>BJ43*BJ134*'Data &amp; Assumptions'!$D$93*'Data &amp; Assumptions'!$D$94</f>
        <v>11811.244261984808</v>
      </c>
      <c r="BK167" s="209">
        <f>BK43*BK134*'Data &amp; Assumptions'!$D$93*'Data &amp; Assumptions'!$D$94</f>
        <v>11300.074161891047</v>
      </c>
      <c r="BL167" s="209">
        <f>BL43*BL134*'Data &amp; Assumptions'!$D$93*'Data &amp; Assumptions'!$D$94</f>
        <v>10811.026614293274</v>
      </c>
      <c r="BN167" s="203"/>
    </row>
    <row r="168" spans="7:66" s="146" customFormat="1" ht="12.75">
      <c r="G168" s="231" t="s">
        <v>190</v>
      </c>
      <c r="L168" s="232" t="s">
        <v>184</v>
      </c>
      <c r="M168" s="147"/>
      <c r="P168" s="243">
        <f t="shared" si="153"/>
        <v>0.023873867203922292</v>
      </c>
      <c r="Q168" s="209">
        <f>Q44*Q139*'Data &amp; Assumptions'!$D$93*'Data &amp; Assumptions'!$D$94</f>
        <v>21043.415866940704</v>
      </c>
      <c r="R168" s="209">
        <f>R44*R139*'Data &amp; Assumptions'!$D$93*'Data &amp; Assumptions'!$D$94</f>
        <v>24215.8423302312</v>
      </c>
      <c r="S168" s="209">
        <f>S44*S139*'Data &amp; Assumptions'!$D$93*'Data &amp; Assumptions'!$D$94</f>
        <v>41431.42674180532</v>
      </c>
      <c r="T168" s="209">
        <f>T44*T139*'Data &amp; Assumptions'!$D$93*'Data &amp; Assumptions'!$D$94</f>
        <v>141093.50163619313</v>
      </c>
      <c r="U168" s="209">
        <f>U44*U139*'Data &amp; Assumptions'!$D$93*'Data &amp; Assumptions'!$D$94</f>
        <v>143244.2857765116</v>
      </c>
      <c r="V168" s="209">
        <f>V44*V139*'Data &amp; Assumptions'!$D$93*'Data &amp; Assumptions'!$D$94</f>
        <v>149122.24720548018</v>
      </c>
      <c r="W168" s="209">
        <f>W44*W139*'Data &amp; Assumptions'!$D$93*'Data &amp; Assumptions'!$D$94</f>
        <v>155415.84389505495</v>
      </c>
      <c r="X168" s="209">
        <f>X44*X139*'Data &amp; Assumptions'!$D$93*'Data &amp; Assumptions'!$D$94</f>
        <v>18652.609230105074</v>
      </c>
      <c r="Y168" s="209">
        <f>Y44*Y139*'Data &amp; Assumptions'!$D$93*'Data &amp; Assumptions'!$D$94</f>
        <v>17858.552733092012</v>
      </c>
      <c r="Z168" s="209">
        <f>Z44*Z139*'Data &amp; Assumptions'!$D$93*'Data &amp; Assumptions'!$D$94</f>
        <v>17098.29985640226</v>
      </c>
      <c r="AA168" s="209">
        <f>AA44*AA139*'Data &amp; Assumptions'!$D$93*'Data &amp; Assumptions'!$D$94</f>
        <v>16370.411552875217</v>
      </c>
      <c r="AB168" s="209">
        <f>AB44*AB139*'Data &amp; Assumptions'!$D$93*'Data &amp; Assumptions'!$D$94</f>
        <v>15673.510036740146</v>
      </c>
      <c r="AC168" s="209">
        <f>AC44*AC139*'Data &amp; Assumptions'!$D$93*'Data &amp; Assumptions'!$D$94</f>
        <v>15006.276175668118</v>
      </c>
      <c r="AD168" s="209">
        <f>AD44*AD139*'Data &amp; Assumptions'!$D$93*'Data &amp; Assumptions'!$D$94</f>
        <v>14367.446993848695</v>
      </c>
      <c r="AE168" s="209">
        <f>AE44*AE139*'Data &amp; Assumptions'!$D$93*'Data &amp; Assumptions'!$D$94</f>
        <v>13755.813281363426</v>
      </c>
      <c r="AF168" s="209">
        <f>AF44*AF139*'Data &amp; Assumptions'!$D$93*'Data &amp; Assumptions'!$D$94</f>
        <v>13170.21730532471</v>
      </c>
      <c r="AG168" s="209">
        <f>AG44*AG139*'Data &amp; Assumptions'!$D$93*'Data &amp; Assumptions'!$D$94</f>
        <v>12609.550618463567</v>
      </c>
      <c r="AH168" s="209">
        <f>AH44*AH139*'Data &amp; Assumptions'!$D$93*'Data &amp; Assumptions'!$D$94</f>
        <v>12072.751960994601</v>
      </c>
      <c r="AI168" s="209">
        <f>AI44*AI139*'Data &amp; Assumptions'!$D$93*'Data &amp; Assumptions'!$D$94</f>
        <v>11558.805251813752</v>
      </c>
      <c r="AJ168" s="209">
        <f>AJ44*AJ139*'Data &amp; Assumptions'!$D$93*'Data &amp; Assumptions'!$D$94</f>
        <v>11066.737665199897</v>
      </c>
      <c r="AK168" s="209">
        <f>AK44*AK139*'Data &amp; Assumptions'!$D$93*'Data &amp; Assumptions'!$D$94</f>
        <v>10595.617789402359</v>
      </c>
      <c r="AL168" s="209"/>
      <c r="AM168" s="203"/>
      <c r="AQ168" s="243">
        <f t="shared" si="154"/>
        <v>0.023873867203922292</v>
      </c>
      <c r="AR168" s="209">
        <f>AR44*AR139*'Data &amp; Assumptions'!$D$93*'Data &amp; Assumptions'!$D$94</f>
        <v>21043.415866940704</v>
      </c>
      <c r="AS168" s="209">
        <f>AS44*AS139*'Data &amp; Assumptions'!$D$93*'Data &amp; Assumptions'!$D$94</f>
        <v>23005.050213719638</v>
      </c>
      <c r="AT168" s="209">
        <f>AT44*AT139*'Data &amp; Assumptions'!$D$93*'Data &amp; Assumptions'!$D$94</f>
        <v>31050.6092903025</v>
      </c>
      <c r="AU168" s="209">
        <f>AU44*AU139*'Data &amp; Assumptions'!$D$93*'Data &amp; Assumptions'!$D$94</f>
        <v>105663.79958164527</v>
      </c>
      <c r="AV168" s="209">
        <f>AV44*AV139*'Data &amp; Assumptions'!$D$93*'Data &amp; Assumptions'!$D$94</f>
        <v>107195.23781818931</v>
      </c>
      <c r="AW168" s="209">
        <f>AW44*AW139*'Data &amp; Assumptions'!$D$93*'Data &amp; Assumptions'!$D$94</f>
        <v>111511.48505731548</v>
      </c>
      <c r="AX168" s="209">
        <f>AX44*AX139*'Data &amp; Assumptions'!$D$93*'Data &amp; Assumptions'!$D$94</f>
        <v>116131.87152516229</v>
      </c>
      <c r="AY168" s="209">
        <f>AY44*AY139*'Data &amp; Assumptions'!$D$93*'Data &amp; Assumptions'!$D$94</f>
        <v>13927.549160023715</v>
      </c>
      <c r="AZ168" s="209">
        <f>AZ44*AZ139*'Data &amp; Assumptions'!$D$93*'Data &amp; Assumptions'!$D$94</f>
        <v>13324.78906631335</v>
      </c>
      <c r="BA168" s="209">
        <f>BA44*BA139*'Data &amp; Assumptions'!$D$93*'Data &amp; Assumptions'!$D$94</f>
        <v>12748.115380656409</v>
      </c>
      <c r="BB168" s="209">
        <f>BB44*BB139*'Data &amp; Assumptions'!$D$93*'Data &amp; Assumptions'!$D$94</f>
        <v>12196.399128702278</v>
      </c>
      <c r="BC168" s="209">
        <f>BC44*BC139*'Data &amp; Assumptions'!$D$93*'Data &amp; Assumptions'!$D$94</f>
        <v>11668.560196146582</v>
      </c>
      <c r="BD168" s="209">
        <f>BD44*BD139*'Data &amp; Assumptions'!$D$93*'Data &amp; Assumptions'!$D$94</f>
        <v>11163.565214152122</v>
      </c>
      <c r="BE168" s="209">
        <f>BE44*BE139*'Data &amp; Assumptions'!$D$93*'Data &amp; Assumptions'!$D$94</f>
        <v>10680.425536286875</v>
      </c>
      <c r="BF168" s="209">
        <f>BF44*BF139*'Data &amp; Assumptions'!$D$93*'Data &amp; Assumptions'!$D$94</f>
        <v>10218.19530301716</v>
      </c>
      <c r="BG168" s="209">
        <f>BG44*BG139*'Data &amp; Assumptions'!$D$93*'Data &amp; Assumptions'!$D$94</f>
        <v>9775.969589962075</v>
      </c>
      <c r="BH168" s="209">
        <f>BH44*BH139*'Data &amp; Assumptions'!$D$93*'Data &amp; Assumptions'!$D$94</f>
        <v>9352.882636295883</v>
      </c>
      <c r="BI168" s="209">
        <f>BI44*BI139*'Data &amp; Assumptions'!$D$93*'Data &amp; Assumptions'!$D$94</f>
        <v>8948.10614981243</v>
      </c>
      <c r="BJ168" s="209">
        <f>BJ44*BJ139*'Data &amp; Assumptions'!$D$93*'Data &amp; Assumptions'!$D$94</f>
        <v>8560.847685353443</v>
      </c>
      <c r="BK168" s="209">
        <f>BK44*BK139*'Data &amp; Assumptions'!$D$93*'Data &amp; Assumptions'!$D$94</f>
        <v>8190.349093406361</v>
      </c>
      <c r="BL168" s="209">
        <f>BL44*BL139*'Data &amp; Assumptions'!$D$93*'Data &amp; Assumptions'!$D$94</f>
        <v>7835.885035851274</v>
      </c>
      <c r="BN168" s="203"/>
    </row>
    <row r="169" spans="7:66" s="233" customFormat="1" ht="12.75">
      <c r="G169" s="235" t="s">
        <v>384</v>
      </c>
      <c r="L169" s="224"/>
      <c r="M169" s="236"/>
      <c r="P169" s="243">
        <f t="shared" si="153"/>
        <v>1</v>
      </c>
      <c r="Q169" s="244">
        <f>SUM(Q160:Q168)</f>
        <v>875325.0646878792</v>
      </c>
      <c r="R169" s="244">
        <f aca="true" t="shared" si="155" ref="R169:AK169">SUM(R160:R168)</f>
        <v>1014324.2451416805</v>
      </c>
      <c r="S169" s="244">
        <f t="shared" si="155"/>
        <v>1747590.9529129793</v>
      </c>
      <c r="T169" s="244">
        <f t="shared" si="155"/>
        <v>5993191.025204266</v>
      </c>
      <c r="U169" s="244">
        <f t="shared" si="155"/>
        <v>6127426.725426826</v>
      </c>
      <c r="V169" s="244">
        <f t="shared" si="155"/>
        <v>6423939.421980574</v>
      </c>
      <c r="W169" s="244">
        <f t="shared" si="155"/>
        <v>6742499.061258604</v>
      </c>
      <c r="X169" s="244">
        <f t="shared" si="155"/>
        <v>814967.3224031585</v>
      </c>
      <c r="Y169" s="244">
        <f t="shared" si="155"/>
        <v>785832.9234201651</v>
      </c>
      <c r="Z169" s="244">
        <f t="shared" si="155"/>
        <v>757754.5713176833</v>
      </c>
      <c r="AA169" s="244">
        <f t="shared" si="155"/>
        <v>730693.4142756935</v>
      </c>
      <c r="AB169" s="244">
        <f t="shared" si="155"/>
        <v>704612.052121802</v>
      </c>
      <c r="AC169" s="244">
        <f t="shared" si="155"/>
        <v>679474.4812372916</v>
      </c>
      <c r="AD169" s="244">
        <f t="shared" si="155"/>
        <v>655246.0415866195</v>
      </c>
      <c r="AE169" s="244">
        <f t="shared" si="155"/>
        <v>631893.3657871109</v>
      </c>
      <c r="AF169" s="244">
        <f t="shared" si="155"/>
        <v>609384.3301389216</v>
      </c>
      <c r="AG169" s="244">
        <f t="shared" si="155"/>
        <v>587688.0075392211</v>
      </c>
      <c r="AH169" s="244">
        <f t="shared" si="155"/>
        <v>566774.6222063444</v>
      </c>
      <c r="AI169" s="244">
        <f t="shared" si="155"/>
        <v>546615.5061440286</v>
      </c>
      <c r="AJ169" s="244">
        <f t="shared" si="155"/>
        <v>527183.0572771832</v>
      </c>
      <c r="AK169" s="244">
        <f t="shared" si="155"/>
        <v>508450.6991946997</v>
      </c>
      <c r="AL169" s="244"/>
      <c r="AM169" s="207"/>
      <c r="AQ169" s="243">
        <f t="shared" si="154"/>
        <v>1</v>
      </c>
      <c r="AR169" s="244">
        <f>SUM(AR160:AR168)</f>
        <v>875325.0646878792</v>
      </c>
      <c r="AS169" s="244">
        <f aca="true" t="shared" si="156" ref="AS169:BL169">SUM(AS160:AS168)</f>
        <v>963608.0328845964</v>
      </c>
      <c r="AT169" s="244">
        <f t="shared" si="156"/>
        <v>1309275.4280074467</v>
      </c>
      <c r="AU169" s="244">
        <f t="shared" si="156"/>
        <v>4485165.784818378</v>
      </c>
      <c r="AV169" s="244">
        <f t="shared" si="156"/>
        <v>4580647.225148562</v>
      </c>
      <c r="AW169" s="244">
        <f t="shared" si="156"/>
        <v>4797088.059413786</v>
      </c>
      <c r="AX169" s="244">
        <f t="shared" si="156"/>
        <v>5029489.227303274</v>
      </c>
      <c r="AY169" s="244">
        <f t="shared" si="156"/>
        <v>607252.2339318178</v>
      </c>
      <c r="AZ169" s="244">
        <f t="shared" si="156"/>
        <v>584903.599550304</v>
      </c>
      <c r="BA169" s="244">
        <f t="shared" si="156"/>
        <v>563387.2339688665</v>
      </c>
      <c r="BB169" s="244">
        <f t="shared" si="156"/>
        <v>542671.7488329295</v>
      </c>
      <c r="BC169" s="244">
        <f t="shared" si="156"/>
        <v>522726.9553060358</v>
      </c>
      <c r="BD169" s="244">
        <f t="shared" si="156"/>
        <v>503523.81761019106</v>
      </c>
      <c r="BE169" s="244">
        <f t="shared" si="156"/>
        <v>485034.40838991</v>
      </c>
      <c r="BF169" s="244">
        <f t="shared" si="156"/>
        <v>467231.8658272974</v>
      </c>
      <c r="BG169" s="244">
        <f t="shared" si="156"/>
        <v>450090.3524384463</v>
      </c>
      <c r="BH169" s="244">
        <f t="shared" si="156"/>
        <v>433585.01548475516</v>
      </c>
      <c r="BI169" s="244">
        <f t="shared" si="156"/>
        <v>417691.94893455243</v>
      </c>
      <c r="BJ169" s="244">
        <f t="shared" si="156"/>
        <v>402388.1569140568</v>
      </c>
      <c r="BK169" s="244">
        <f t="shared" si="156"/>
        <v>387651.51858809876</v>
      </c>
      <c r="BL169" s="244">
        <f t="shared" si="156"/>
        <v>373460.7544144148</v>
      </c>
      <c r="BN169" s="207"/>
    </row>
    <row r="170" spans="12:13" ht="12.75">
      <c r="L170" s="4"/>
      <c r="M170" s="63"/>
    </row>
    <row r="171" spans="5:13" ht="12.75">
      <c r="E171" t="s">
        <v>324</v>
      </c>
      <c r="L171" s="4"/>
      <c r="M171" s="63"/>
    </row>
    <row r="172" spans="6:40" ht="25.5" customHeight="1">
      <c r="F172" s="449" t="s">
        <v>326</v>
      </c>
      <c r="G172" s="449"/>
      <c r="H172" s="449"/>
      <c r="I172" s="449"/>
      <c r="J172" s="449"/>
      <c r="L172" s="182" t="s">
        <v>64</v>
      </c>
      <c r="M172" s="65">
        <f>(1-'Data &amp; Assumptions'!D118)/'Data &amp; Assumptions'!D118</f>
        <v>0.3333333333333333</v>
      </c>
      <c r="AN172" s="65">
        <f>M172</f>
        <v>0.3333333333333333</v>
      </c>
    </row>
    <row r="173" spans="6:13" ht="25.5" customHeight="1">
      <c r="F173" s="449" t="s">
        <v>321</v>
      </c>
      <c r="G173" s="449"/>
      <c r="H173" s="449"/>
      <c r="I173" s="449"/>
      <c r="J173" s="449"/>
      <c r="K173" s="449"/>
      <c r="L173" s="4"/>
      <c r="M173" s="63"/>
    </row>
    <row r="174" spans="6:64" ht="12.75" customHeight="1">
      <c r="F174" s="13"/>
      <c r="G174" s="67" t="s">
        <v>233</v>
      </c>
      <c r="H174" s="13"/>
      <c r="I174" s="13"/>
      <c r="J174" s="13"/>
      <c r="K174" s="13"/>
      <c r="L174" s="182" t="s">
        <v>184</v>
      </c>
      <c r="M174" s="63"/>
      <c r="Q174" s="154">
        <f>Q160*$M$172</f>
        <v>206937.33687468217</v>
      </c>
      <c r="R174" s="220">
        <f aca="true" t="shared" si="157" ref="R174:AK174">R160*$M$172</f>
        <v>240480.58582371255</v>
      </c>
      <c r="S174" s="154">
        <f t="shared" si="157"/>
        <v>415497.2494172605</v>
      </c>
      <c r="T174" s="154">
        <f t="shared" si="157"/>
        <v>1428904.1550064743</v>
      </c>
      <c r="U174" s="220">
        <f t="shared" si="157"/>
        <v>1464978.3842442373</v>
      </c>
      <c r="V174" s="154">
        <f t="shared" si="157"/>
        <v>1540118.6260257468</v>
      </c>
      <c r="W174" s="154">
        <f t="shared" si="157"/>
        <v>1620932.1923766893</v>
      </c>
      <c r="X174" s="154">
        <f t="shared" si="157"/>
        <v>196456.75746917288</v>
      </c>
      <c r="Y174" s="154">
        <f t="shared" si="157"/>
        <v>189946.57344016043</v>
      </c>
      <c r="Z174" s="154">
        <f t="shared" si="157"/>
        <v>183652.12388950406</v>
      </c>
      <c r="AA174" s="154">
        <f t="shared" si="157"/>
        <v>177566.25980805003</v>
      </c>
      <c r="AB174" s="154">
        <f t="shared" si="157"/>
        <v>171682.0690905316</v>
      </c>
      <c r="AC174" s="154">
        <f t="shared" si="157"/>
        <v>165992.86868501085</v>
      </c>
      <c r="AD174" s="154">
        <f t="shared" si="157"/>
        <v>160492.19700252468</v>
      </c>
      <c r="AE174" s="154">
        <f t="shared" si="157"/>
        <v>155173.80657825692</v>
      </c>
      <c r="AF174" s="154">
        <f t="shared" si="157"/>
        <v>150031.6569758632</v>
      </c>
      <c r="AG174" s="154">
        <f t="shared" si="157"/>
        <v>145059.90792700037</v>
      </c>
      <c r="AH174" s="154">
        <f t="shared" si="157"/>
        <v>140252.91269811394</v>
      </c>
      <c r="AI174" s="154">
        <f t="shared" si="157"/>
        <v>135605.2116771266</v>
      </c>
      <c r="AJ174" s="154">
        <f t="shared" si="157"/>
        <v>131111.52617256498</v>
      </c>
      <c r="AK174" s="154">
        <f t="shared" si="157"/>
        <v>126766.75241826249</v>
      </c>
      <c r="AR174" s="154">
        <f>AR160*$AN$172</f>
        <v>206937.33687468217</v>
      </c>
      <c r="AS174" s="154">
        <f aca="true" t="shared" si="158" ref="AS174:BL174">AS160*$AN$172</f>
        <v>228456.5565325269</v>
      </c>
      <c r="AT174" s="154">
        <f t="shared" si="158"/>
        <v>311242.90909091744</v>
      </c>
      <c r="AU174" s="154">
        <f t="shared" si="158"/>
        <v>1069065.8610012245</v>
      </c>
      <c r="AV174" s="220">
        <f t="shared" si="158"/>
        <v>1094718.930572403</v>
      </c>
      <c r="AW174" s="154">
        <f t="shared" si="158"/>
        <v>1149464.6879620994</v>
      </c>
      <c r="AX174" s="154">
        <f t="shared" si="158"/>
        <v>1208304.4025860908</v>
      </c>
      <c r="AY174" s="154">
        <f t="shared" si="158"/>
        <v>146267.73335028012</v>
      </c>
      <c r="AZ174" s="154">
        <f t="shared" si="158"/>
        <v>141248.24891812593</v>
      </c>
      <c r="BA174" s="154">
        <f t="shared" si="158"/>
        <v>136401.01863518043</v>
      </c>
      <c r="BB174" s="154">
        <f t="shared" si="158"/>
        <v>131720.13123857242</v>
      </c>
      <c r="BC174" s="154">
        <f t="shared" si="158"/>
        <v>127199.8783228457</v>
      </c>
      <c r="BD174" s="154">
        <f t="shared" si="158"/>
        <v>122834.74737845376</v>
      </c>
      <c r="BE174" s="154">
        <f t="shared" si="158"/>
        <v>118619.41506919093</v>
      </c>
      <c r="BF174" s="154">
        <f t="shared" si="158"/>
        <v>114548.7407403214</v>
      </c>
      <c r="BG174" s="154">
        <f t="shared" si="158"/>
        <v>110617.7601494592</v>
      </c>
      <c r="BH174" s="154">
        <f t="shared" si="158"/>
        <v>106821.67941263669</v>
      </c>
      <c r="BI174" s="154">
        <f t="shared" si="158"/>
        <v>103155.86915806415</v>
      </c>
      <c r="BJ174" s="154">
        <f t="shared" si="158"/>
        <v>99615.85888058197</v>
      </c>
      <c r="BK174" s="154">
        <f t="shared" si="158"/>
        <v>96197.33148978751</v>
      </c>
      <c r="BL174" s="154">
        <f t="shared" si="158"/>
        <v>92896.11804532225</v>
      </c>
    </row>
    <row r="175" spans="6:64" ht="12.75" customHeight="1">
      <c r="F175" s="13"/>
      <c r="G175" s="67" t="s">
        <v>73</v>
      </c>
      <c r="H175" s="13"/>
      <c r="I175" s="13"/>
      <c r="J175" s="13"/>
      <c r="K175" s="13"/>
      <c r="L175" s="182" t="s">
        <v>184</v>
      </c>
      <c r="M175" s="63"/>
      <c r="Q175" s="154">
        <f>Q161*$M$172</f>
        <v>11156.766818858803</v>
      </c>
      <c r="R175" s="220">
        <f>R161*$M$172</f>
        <v>12838.71914659437</v>
      </c>
      <c r="S175" s="154">
        <f aca="true" t="shared" si="159" ref="S175:AK175">S161*$M$172</f>
        <v>21966.05199715388</v>
      </c>
      <c r="T175" s="154">
        <f t="shared" si="159"/>
        <v>74804.74212764428</v>
      </c>
      <c r="U175" s="220">
        <f t="shared" si="159"/>
        <v>75945.04165329933</v>
      </c>
      <c r="V175" s="154">
        <f t="shared" si="159"/>
        <v>79061.41047136144</v>
      </c>
      <c r="W175" s="154">
        <f t="shared" si="159"/>
        <v>82398.14017159231</v>
      </c>
      <c r="X175" s="154">
        <f t="shared" si="159"/>
        <v>9889.212524213066</v>
      </c>
      <c r="Y175" s="154">
        <f t="shared" si="159"/>
        <v>9468.220835687267</v>
      </c>
      <c r="Z175" s="154">
        <f t="shared" si="159"/>
        <v>9065.151100135517</v>
      </c>
      <c r="AA175" s="154">
        <f t="shared" si="159"/>
        <v>8679.240365681839</v>
      </c>
      <c r="AB175" s="154">
        <f t="shared" si="159"/>
        <v>8309.75815992249</v>
      </c>
      <c r="AC175" s="154">
        <f t="shared" si="159"/>
        <v>7956.005107248091</v>
      </c>
      <c r="AD175" s="154">
        <f t="shared" si="159"/>
        <v>7617.31160502833</v>
      </c>
      <c r="AE175" s="154">
        <f t="shared" si="159"/>
        <v>7293.036556153085</v>
      </c>
      <c r="AF175" s="154">
        <f t="shared" si="159"/>
        <v>6982.566155528327</v>
      </c>
      <c r="AG175" s="154">
        <f t="shared" si="159"/>
        <v>6685.3127282346295</v>
      </c>
      <c r="AH175" s="154">
        <f t="shared" si="159"/>
        <v>6400.713617143514</v>
      </c>
      <c r="AI175" s="154">
        <f t="shared" si="159"/>
        <v>6128.230117890712</v>
      </c>
      <c r="AJ175" s="154">
        <f t="shared" si="159"/>
        <v>5867.346459188169</v>
      </c>
      <c r="AK175" s="154">
        <f t="shared" si="159"/>
        <v>5617.568826543147</v>
      </c>
      <c r="AR175" s="154">
        <f>AR161*$AN$172</f>
        <v>11156.766818858803</v>
      </c>
      <c r="AS175" s="154">
        <f aca="true" t="shared" si="160" ref="AS175:BL175">AS161*$AN$172</f>
        <v>12196.783189264654</v>
      </c>
      <c r="AT175" s="154">
        <f t="shared" si="160"/>
        <v>16462.36569318719</v>
      </c>
      <c r="AU175" s="154">
        <f t="shared" si="160"/>
        <v>56020.67556812624</v>
      </c>
      <c r="AV175" s="220">
        <f t="shared" si="160"/>
        <v>56832.61120683826</v>
      </c>
      <c r="AW175" s="154">
        <f t="shared" si="160"/>
        <v>59120.99272645292</v>
      </c>
      <c r="AX175" s="154">
        <f t="shared" si="160"/>
        <v>61570.62232844937</v>
      </c>
      <c r="AY175" s="154">
        <f t="shared" si="160"/>
        <v>7384.087228000315</v>
      </c>
      <c r="AZ175" s="154">
        <f t="shared" si="160"/>
        <v>7064.5167810842195</v>
      </c>
      <c r="BA175" s="154">
        <f t="shared" si="160"/>
        <v>6758.7767870581865</v>
      </c>
      <c r="BB175" s="154">
        <f t="shared" si="160"/>
        <v>6466.2686879858975</v>
      </c>
      <c r="BC175" s="154">
        <f t="shared" si="160"/>
        <v>6186.419830477404</v>
      </c>
      <c r="BD175" s="154">
        <f t="shared" si="160"/>
        <v>5918.682344584869</v>
      </c>
      <c r="BE175" s="154">
        <f t="shared" si="160"/>
        <v>5662.532071218423</v>
      </c>
      <c r="BF175" s="154">
        <f t="shared" si="160"/>
        <v>5417.467535981965</v>
      </c>
      <c r="BG175" s="154">
        <f t="shared" si="160"/>
        <v>5183.008967418124</v>
      </c>
      <c r="BH175" s="154">
        <f t="shared" si="160"/>
        <v>4958.697357743922</v>
      </c>
      <c r="BI175" s="154">
        <f t="shared" si="160"/>
        <v>4744.09356423418</v>
      </c>
      <c r="BJ175" s="154">
        <f t="shared" si="160"/>
        <v>4538.777449496845</v>
      </c>
      <c r="BK175" s="154">
        <f t="shared" si="160"/>
        <v>4342.347058955504</v>
      </c>
      <c r="BL175" s="154">
        <f t="shared" si="160"/>
        <v>4154.417833927634</v>
      </c>
    </row>
    <row r="176" spans="6:64" ht="12.75" customHeight="1">
      <c r="F176" s="13"/>
      <c r="G176" s="67" t="s">
        <v>72</v>
      </c>
      <c r="H176" s="13"/>
      <c r="I176" s="13"/>
      <c r="J176" s="13"/>
      <c r="K176" s="13"/>
      <c r="L176" s="182" t="s">
        <v>184</v>
      </c>
      <c r="M176" s="63"/>
      <c r="Q176" s="154">
        <f aca="true" t="shared" si="161" ref="Q176:AK176">Q162*$M$172</f>
        <v>19102.87495006736</v>
      </c>
      <c r="R176" s="220">
        <f t="shared" si="161"/>
        <v>21982.752741758413</v>
      </c>
      <c r="S176" s="154">
        <f t="shared" si="161"/>
        <v>37610.78377465183</v>
      </c>
      <c r="T176" s="154">
        <f t="shared" si="161"/>
        <v>128082.41471184505</v>
      </c>
      <c r="U176" s="220">
        <f t="shared" si="161"/>
        <v>130034.8620111279</v>
      </c>
      <c r="V176" s="154">
        <f t="shared" si="161"/>
        <v>135370.7809916251</v>
      </c>
      <c r="W176" s="154">
        <f t="shared" si="161"/>
        <v>141084.00698626883</v>
      </c>
      <c r="X176" s="154">
        <f t="shared" si="161"/>
        <v>16932.53908339799</v>
      </c>
      <c r="Y176" s="154">
        <f t="shared" si="161"/>
        <v>16211.707348586177</v>
      </c>
      <c r="Z176" s="154">
        <f t="shared" si="161"/>
        <v>15521.56199739135</v>
      </c>
      <c r="AA176" s="154">
        <f t="shared" si="161"/>
        <v>14860.79668591246</v>
      </c>
      <c r="AB176" s="154">
        <f t="shared" si="161"/>
        <v>14228.16068235603</v>
      </c>
      <c r="AC176" s="154">
        <f t="shared" si="161"/>
        <v>13622.456499579757</v>
      </c>
      <c r="AD176" s="154">
        <f t="shared" si="161"/>
        <v>13042.53762842697</v>
      </c>
      <c r="AE176" s="154">
        <f t="shared" si="161"/>
        <v>12487.306367555164</v>
      </c>
      <c r="AF176" s="154">
        <f t="shared" si="161"/>
        <v>11955.711745643057</v>
      </c>
      <c r="AG176" s="154">
        <f t="shared" si="161"/>
        <v>11446.747532061698</v>
      </c>
      <c r="AH176" s="154">
        <f t="shared" si="161"/>
        <v>10959.450332223403</v>
      </c>
      <c r="AI176" s="154">
        <f t="shared" si="161"/>
        <v>10492.897764020727</v>
      </c>
      <c r="AJ176" s="154">
        <f t="shared" si="161"/>
        <v>10046.206711888446</v>
      </c>
      <c r="AK176" s="154">
        <f t="shared" si="161"/>
        <v>9618.531655197661</v>
      </c>
      <c r="AR176" s="154">
        <f aca="true" t="shared" si="162" ref="AR176:BL176">AR162*$AN$172</f>
        <v>19102.87495006736</v>
      </c>
      <c r="AS176" s="154">
        <f t="shared" si="162"/>
        <v>20883.615104670494</v>
      </c>
      <c r="AT176" s="154">
        <f t="shared" si="162"/>
        <v>28187.244416335438</v>
      </c>
      <c r="AU176" s="154">
        <f t="shared" si="162"/>
        <v>95919.90021582916</v>
      </c>
      <c r="AV176" s="220">
        <f t="shared" si="162"/>
        <v>97310.11525085174</v>
      </c>
      <c r="AW176" s="154">
        <f t="shared" si="162"/>
        <v>101228.33517217799</v>
      </c>
      <c r="AX176" s="154">
        <f t="shared" si="162"/>
        <v>105422.64780061973</v>
      </c>
      <c r="AY176" s="154">
        <f t="shared" si="162"/>
        <v>12643.20543998873</v>
      </c>
      <c r="AZ176" s="154">
        <f t="shared" si="162"/>
        <v>12096.029507723268</v>
      </c>
      <c r="BA176" s="154">
        <f t="shared" si="162"/>
        <v>11572.534397720623</v>
      </c>
      <c r="BB176" s="154">
        <f t="shared" si="162"/>
        <v>11071.695245196872</v>
      </c>
      <c r="BC176" s="154">
        <f t="shared" si="162"/>
        <v>10592.531539734638</v>
      </c>
      <c r="BD176" s="154">
        <f t="shared" si="162"/>
        <v>10134.105205699934</v>
      </c>
      <c r="BE176" s="154">
        <f t="shared" si="162"/>
        <v>9695.518765739944</v>
      </c>
      <c r="BF176" s="154">
        <f t="shared" si="162"/>
        <v>9275.913583761696</v>
      </c>
      <c r="BG176" s="154">
        <f t="shared" si="162"/>
        <v>8874.468183945984</v>
      </c>
      <c r="BH176" s="154">
        <f t="shared" si="162"/>
        <v>8490.396642519492</v>
      </c>
      <c r="BI176" s="154">
        <f t="shared" si="162"/>
        <v>8122.947049121107</v>
      </c>
      <c r="BJ176" s="154">
        <f t="shared" si="162"/>
        <v>7771.400034763265</v>
      </c>
      <c r="BK176" s="154">
        <f t="shared" si="162"/>
        <v>7435.067363494987</v>
      </c>
      <c r="BL176" s="154">
        <f t="shared" si="162"/>
        <v>7113.2905850199</v>
      </c>
    </row>
    <row r="177" spans="6:64" ht="12.75" customHeight="1">
      <c r="F177" s="13"/>
      <c r="G177" s="67" t="s">
        <v>85</v>
      </c>
      <c r="H177" s="13"/>
      <c r="I177" s="13"/>
      <c r="J177" s="13"/>
      <c r="K177" s="13"/>
      <c r="L177" s="182" t="s">
        <v>184</v>
      </c>
      <c r="M177" s="63"/>
      <c r="Q177" s="154">
        <f aca="true" t="shared" si="163" ref="Q177:AK177">Q163*$M$172</f>
        <v>8236.294014419018</v>
      </c>
      <c r="R177" s="220">
        <f t="shared" si="163"/>
        <v>9477.966813930274</v>
      </c>
      <c r="S177" s="154">
        <f t="shared" si="163"/>
        <v>16216.065596957707</v>
      </c>
      <c r="T177" s="154">
        <f t="shared" si="163"/>
        <v>55223.33305332056</v>
      </c>
      <c r="U177" s="220">
        <f t="shared" si="163"/>
        <v>56065.139851856635</v>
      </c>
      <c r="V177" s="154">
        <f t="shared" si="163"/>
        <v>58365.746314253964</v>
      </c>
      <c r="W177" s="154">
        <f t="shared" si="163"/>
        <v>60829.030463143004</v>
      </c>
      <c r="X177" s="154">
        <f t="shared" si="163"/>
        <v>7300.543539443204</v>
      </c>
      <c r="Y177" s="154">
        <f t="shared" si="163"/>
        <v>6989.75356053421</v>
      </c>
      <c r="Z177" s="154">
        <f t="shared" si="163"/>
        <v>6692.1941596595225</v>
      </c>
      <c r="AA177" s="154">
        <f t="shared" si="163"/>
        <v>6407.302100527468</v>
      </c>
      <c r="AB177" s="154">
        <f t="shared" si="163"/>
        <v>6134.538124266373</v>
      </c>
      <c r="AC177" s="154">
        <f t="shared" si="163"/>
        <v>5873.385928685879</v>
      </c>
      <c r="AD177" s="154">
        <f t="shared" si="163"/>
        <v>5623.351190992797</v>
      </c>
      <c r="AE177" s="154">
        <f t="shared" si="163"/>
        <v>5383.960632111507</v>
      </c>
      <c r="AF177" s="154">
        <f t="shared" si="163"/>
        <v>5154.761120833879</v>
      </c>
      <c r="AG177" s="154">
        <f t="shared" si="163"/>
        <v>4935.318816111112</v>
      </c>
      <c r="AH177" s="154">
        <f t="shared" si="163"/>
        <v>4725.218345854199</v>
      </c>
      <c r="AI177" s="154">
        <f t="shared" si="163"/>
        <v>4524.06202069642</v>
      </c>
      <c r="AJ177" s="154">
        <f t="shared" si="163"/>
        <v>4331.469081225938</v>
      </c>
      <c r="AK177" s="154">
        <f t="shared" si="163"/>
        <v>4147.074977262828</v>
      </c>
      <c r="AR177" s="154">
        <f aca="true" t="shared" si="164" ref="AR177:BL177">AR163*$AN$172</f>
        <v>8236.294014419018</v>
      </c>
      <c r="AS177" s="154">
        <f t="shared" si="164"/>
        <v>9004.068473233758</v>
      </c>
      <c r="AT177" s="154">
        <f t="shared" si="164"/>
        <v>12153.062461857897</v>
      </c>
      <c r="AU177" s="154">
        <f t="shared" si="164"/>
        <v>41356.31427606229</v>
      </c>
      <c r="AV177" s="220">
        <f t="shared" si="164"/>
        <v>41955.712000312735</v>
      </c>
      <c r="AW177" s="154">
        <f t="shared" si="164"/>
        <v>43645.07087271024</v>
      </c>
      <c r="AX177" s="154">
        <f t="shared" si="164"/>
        <v>45453.46840902544</v>
      </c>
      <c r="AY177" s="154">
        <f t="shared" si="164"/>
        <v>5451.177247437356</v>
      </c>
      <c r="AZ177" s="154">
        <f t="shared" si="164"/>
        <v>5215.25978121663</v>
      </c>
      <c r="BA177" s="154">
        <f t="shared" si="164"/>
        <v>4989.552412437669</v>
      </c>
      <c r="BB177" s="154">
        <f t="shared" si="164"/>
        <v>4773.613265848549</v>
      </c>
      <c r="BC177" s="154">
        <f t="shared" si="164"/>
        <v>4567.01958978974</v>
      </c>
      <c r="BD177" s="154">
        <f t="shared" si="164"/>
        <v>4369.366928557743</v>
      </c>
      <c r="BE177" s="154">
        <f t="shared" si="164"/>
        <v>4180.268330588087</v>
      </c>
      <c r="BF177" s="154">
        <f t="shared" si="164"/>
        <v>3999.3535909072984</v>
      </c>
      <c r="BG177" s="154">
        <f t="shared" si="164"/>
        <v>3826.2685263679787</v>
      </c>
      <c r="BH177" s="154">
        <f t="shared" si="164"/>
        <v>3660.674282254031</v>
      </c>
      <c r="BI177" s="154">
        <f t="shared" si="164"/>
        <v>3502.2466688913196</v>
      </c>
      <c r="BJ177" s="154">
        <f t="shared" si="164"/>
        <v>3350.6755269708433</v>
      </c>
      <c r="BK177" s="154">
        <f t="shared" si="164"/>
        <v>3205.6641203390946</v>
      </c>
      <c r="BL177" s="154">
        <f t="shared" si="164"/>
        <v>3066.928555066347</v>
      </c>
    </row>
    <row r="178" spans="6:64" ht="12.75" customHeight="1">
      <c r="F178" s="13"/>
      <c r="G178" s="67" t="s">
        <v>81</v>
      </c>
      <c r="H178" s="13"/>
      <c r="I178" s="13"/>
      <c r="J178" s="13"/>
      <c r="K178" s="13"/>
      <c r="L178" s="182" t="s">
        <v>184</v>
      </c>
      <c r="M178" s="63"/>
      <c r="Q178" s="154">
        <f aca="true" t="shared" si="165" ref="Q178:AK178">Q164*$M$172</f>
        <v>11376.24704794108</v>
      </c>
      <c r="R178" s="220">
        <f t="shared" si="165"/>
        <v>13091.287391962203</v>
      </c>
      <c r="S178" s="154">
        <f t="shared" si="165"/>
        <v>22398.17666217953</v>
      </c>
      <c r="T178" s="154">
        <f t="shared" si="165"/>
        <v>76276.32992769255</v>
      </c>
      <c r="U178" s="220">
        <f t="shared" si="165"/>
        <v>77439.06186635545</v>
      </c>
      <c r="V178" s="154">
        <f t="shared" si="165"/>
        <v>80616.73709631967</v>
      </c>
      <c r="W178" s="154">
        <f t="shared" si="165"/>
        <v>84019.10823289878</v>
      </c>
      <c r="X178" s="154">
        <f t="shared" si="165"/>
        <v>10083.756935286463</v>
      </c>
      <c r="Y178" s="154">
        <f t="shared" si="165"/>
        <v>9654.483335545661</v>
      </c>
      <c r="Z178" s="154">
        <f t="shared" si="165"/>
        <v>9243.484256365038</v>
      </c>
      <c r="AA178" s="154">
        <f t="shared" si="165"/>
        <v>8849.981736783959</v>
      </c>
      <c r="AB178" s="154">
        <f t="shared" si="165"/>
        <v>8473.230934263855</v>
      </c>
      <c r="AC178" s="154">
        <f t="shared" si="165"/>
        <v>8112.518714807535</v>
      </c>
      <c r="AD178" s="154">
        <f t="shared" si="165"/>
        <v>7767.162303102994</v>
      </c>
      <c r="AE178" s="154">
        <f t="shared" si="165"/>
        <v>7436.507990130133</v>
      </c>
      <c r="AF178" s="154">
        <f t="shared" si="165"/>
        <v>7119.929895783856</v>
      </c>
      <c r="AG178" s="154">
        <f t="shared" si="165"/>
        <v>6816.828784176598</v>
      </c>
      <c r="AH178" s="154">
        <f t="shared" si="165"/>
        <v>6526.630929371037</v>
      </c>
      <c r="AI178" s="154">
        <f t="shared" si="165"/>
        <v>6248.787029402933</v>
      </c>
      <c r="AJ178" s="154">
        <f t="shared" si="165"/>
        <v>5982.771166531708</v>
      </c>
      <c r="AK178" s="154">
        <f t="shared" si="165"/>
        <v>5728.079811755402</v>
      </c>
      <c r="AR178" s="154">
        <f aca="true" t="shared" si="166" ref="AR178:BL178">AR164*$AN$172</f>
        <v>11376.24704794108</v>
      </c>
      <c r="AS178" s="154">
        <f t="shared" si="166"/>
        <v>12436.72302236409</v>
      </c>
      <c r="AT178" s="154">
        <f t="shared" si="166"/>
        <v>16786.219714001665</v>
      </c>
      <c r="AU178" s="154">
        <f t="shared" si="166"/>
        <v>57122.735950552844</v>
      </c>
      <c r="AV178" s="220">
        <f t="shared" si="166"/>
        <v>57950.6443009723</v>
      </c>
      <c r="AW178" s="154">
        <f t="shared" si="166"/>
        <v>60284.04374632717</v>
      </c>
      <c r="AX178" s="154">
        <f t="shared" si="166"/>
        <v>62781.86340866477</v>
      </c>
      <c r="AY178" s="154">
        <f t="shared" si="166"/>
        <v>7529.349845986197</v>
      </c>
      <c r="AZ178" s="154">
        <f t="shared" si="166"/>
        <v>7203.492685720563</v>
      </c>
      <c r="BA178" s="154">
        <f t="shared" si="166"/>
        <v>6891.73805636002</v>
      </c>
      <c r="BB178" s="154">
        <f t="shared" si="166"/>
        <v>6593.47562490482</v>
      </c>
      <c r="BC178" s="154">
        <f t="shared" si="166"/>
        <v>6308.121472506658</v>
      </c>
      <c r="BD178" s="154">
        <f t="shared" si="166"/>
        <v>6035.116951307963</v>
      </c>
      <c r="BE178" s="154">
        <f t="shared" si="166"/>
        <v>5773.927590758694</v>
      </c>
      <c r="BF178" s="154">
        <f t="shared" si="166"/>
        <v>5524.042051264723</v>
      </c>
      <c r="BG178" s="154">
        <f t="shared" si="166"/>
        <v>5284.971123119123</v>
      </c>
      <c r="BH178" s="154">
        <f t="shared" si="166"/>
        <v>5056.246768760415</v>
      </c>
      <c r="BI178" s="154">
        <f t="shared" si="166"/>
        <v>4837.42120647774</v>
      </c>
      <c r="BJ178" s="154">
        <f t="shared" si="166"/>
        <v>4628.066033774259</v>
      </c>
      <c r="BK178" s="154">
        <f t="shared" si="166"/>
        <v>4427.771388667468</v>
      </c>
      <c r="BL178" s="154">
        <f t="shared" si="166"/>
        <v>4236.14514728807</v>
      </c>
    </row>
    <row r="179" spans="6:64" ht="12.75" customHeight="1">
      <c r="F179" s="13"/>
      <c r="G179" s="67" t="s">
        <v>82</v>
      </c>
      <c r="H179" s="13"/>
      <c r="I179" s="13"/>
      <c r="J179" s="13"/>
      <c r="K179" s="13"/>
      <c r="L179" s="182" t="s">
        <v>184</v>
      </c>
      <c r="M179" s="63"/>
      <c r="Q179" s="154">
        <f aca="true" t="shared" si="167" ref="Q179:AK179">Q165*$M$172</f>
        <v>1131.6563426571538</v>
      </c>
      <c r="R179" s="220">
        <f t="shared" si="167"/>
        <v>1302.2606091648604</v>
      </c>
      <c r="S179" s="154">
        <f t="shared" si="167"/>
        <v>2228.0668287964386</v>
      </c>
      <c r="T179" s="154">
        <f t="shared" si="167"/>
        <v>7587.6158625533135</v>
      </c>
      <c r="U179" s="220">
        <f t="shared" si="167"/>
        <v>7703.279048105882</v>
      </c>
      <c r="V179" s="154">
        <f t="shared" si="167"/>
        <v>8019.379455713015</v>
      </c>
      <c r="W179" s="154">
        <f t="shared" si="167"/>
        <v>8357.831570945531</v>
      </c>
      <c r="X179" s="154">
        <f t="shared" si="167"/>
        <v>1003.08541521127</v>
      </c>
      <c r="Y179" s="154">
        <f t="shared" si="167"/>
        <v>960.383266617399</v>
      </c>
      <c r="Z179" s="154">
        <f t="shared" si="167"/>
        <v>919.4989826508878</v>
      </c>
      <c r="AA179" s="154">
        <f t="shared" si="167"/>
        <v>880.355175360247</v>
      </c>
      <c r="AB179" s="154">
        <f t="shared" si="167"/>
        <v>842.8777512610197</v>
      </c>
      <c r="AC179" s="154">
        <f t="shared" si="167"/>
        <v>806.9957710876458</v>
      </c>
      <c r="AD179" s="154">
        <f t="shared" si="167"/>
        <v>772.6413155158176</v>
      </c>
      <c r="AE179" s="154">
        <f t="shared" si="167"/>
        <v>739.7493566012632</v>
      </c>
      <c r="AF179" s="154">
        <f t="shared" si="167"/>
        <v>708.2576346912597</v>
      </c>
      <c r="AG179" s="154">
        <f t="shared" si="167"/>
        <v>678.1065405763411</v>
      </c>
      <c r="AH179" s="154">
        <f t="shared" si="167"/>
        <v>649.2390026587769</v>
      </c>
      <c r="AI179" s="154">
        <f t="shared" si="167"/>
        <v>621.6003789243898</v>
      </c>
      <c r="AJ179" s="154">
        <f t="shared" si="167"/>
        <v>595.1383535132638</v>
      </c>
      <c r="AK179" s="154">
        <f t="shared" si="167"/>
        <v>569.8028376935395</v>
      </c>
      <c r="AR179" s="154">
        <f aca="true" t="shared" si="168" ref="AR179:BL179">AR165*$AN$172</f>
        <v>1131.6563426571538</v>
      </c>
      <c r="AS179" s="154">
        <f t="shared" si="168"/>
        <v>1237.1475787066174</v>
      </c>
      <c r="AT179" s="154">
        <f t="shared" si="168"/>
        <v>1669.815355497627</v>
      </c>
      <c r="AU179" s="154">
        <f t="shared" si="168"/>
        <v>5682.30508496846</v>
      </c>
      <c r="AV179" s="220">
        <f t="shared" si="168"/>
        <v>5764.661571421564</v>
      </c>
      <c r="AW179" s="154">
        <f t="shared" si="168"/>
        <v>5996.7773360635165</v>
      </c>
      <c r="AX179" s="154">
        <f t="shared" si="168"/>
        <v>6245.248862023358</v>
      </c>
      <c r="AY179" s="154">
        <f t="shared" si="168"/>
        <v>748.9848342241318</v>
      </c>
      <c r="AZ179" s="154">
        <f t="shared" si="168"/>
        <v>716.5700738325269</v>
      </c>
      <c r="BA179" s="154">
        <f t="shared" si="168"/>
        <v>685.5581678689874</v>
      </c>
      <c r="BB179" s="154">
        <f t="shared" si="168"/>
        <v>655.8884032348249</v>
      </c>
      <c r="BC179" s="154">
        <f t="shared" si="168"/>
        <v>627.5026943886425</v>
      </c>
      <c r="BD179" s="154">
        <f t="shared" si="168"/>
        <v>600.345469630197</v>
      </c>
      <c r="BE179" s="154">
        <f t="shared" si="168"/>
        <v>574.3635623057119</v>
      </c>
      <c r="BF179" s="154">
        <f t="shared" si="168"/>
        <v>549.5061067217239</v>
      </c>
      <c r="BG179" s="154">
        <f t="shared" si="168"/>
        <v>525.7244385634315</v>
      </c>
      <c r="BH179" s="154">
        <f t="shared" si="168"/>
        <v>502.97199962292655</v>
      </c>
      <c r="BI179" s="154">
        <f t="shared" si="168"/>
        <v>481.204246650528</v>
      </c>
      <c r="BJ179" s="154">
        <f t="shared" si="168"/>
        <v>460.37856415088174</v>
      </c>
      <c r="BK179" s="154">
        <f t="shared" si="168"/>
        <v>440.45418095312476</v>
      </c>
      <c r="BL179" s="154">
        <f t="shared" si="168"/>
        <v>421.3920903917616</v>
      </c>
    </row>
    <row r="180" spans="6:64" ht="12.75" customHeight="1">
      <c r="F180" s="13"/>
      <c r="G180" s="67" t="s">
        <v>189</v>
      </c>
      <c r="H180" s="13"/>
      <c r="I180" s="13"/>
      <c r="J180" s="13"/>
      <c r="K180" s="13"/>
      <c r="L180" s="182" t="s">
        <v>184</v>
      </c>
      <c r="M180" s="63"/>
      <c r="Q180" s="154">
        <f aca="true" t="shared" si="169" ref="Q180:AK180">Q166*$M$172</f>
        <v>17141.635478895598</v>
      </c>
      <c r="R180" s="220">
        <f t="shared" si="169"/>
        <v>19725.84416256081</v>
      </c>
      <c r="S180" s="154">
        <f t="shared" si="169"/>
        <v>33749.38836305206</v>
      </c>
      <c r="T180" s="154">
        <f t="shared" si="169"/>
        <v>114932.54654004013</v>
      </c>
      <c r="U180" s="220">
        <f t="shared" si="169"/>
        <v>116684.54146140875</v>
      </c>
      <c r="V180" s="154">
        <f t="shared" si="169"/>
        <v>121472.63636061574</v>
      </c>
      <c r="W180" s="154">
        <f t="shared" si="169"/>
        <v>126599.3012037203</v>
      </c>
      <c r="X180" s="154">
        <f t="shared" si="169"/>
        <v>15194.122008254819</v>
      </c>
      <c r="Y180" s="154">
        <f t="shared" si="169"/>
        <v>14547.296079065865</v>
      </c>
      <c r="Z180" s="154">
        <f t="shared" si="169"/>
        <v>13928.006047143288</v>
      </c>
      <c r="AA180" s="154">
        <f t="shared" si="169"/>
        <v>13335.079687311369</v>
      </c>
      <c r="AB180" s="154">
        <f t="shared" si="169"/>
        <v>12767.39467695887</v>
      </c>
      <c r="AC180" s="154">
        <f t="shared" si="169"/>
        <v>12223.876471645062</v>
      </c>
      <c r="AD180" s="154">
        <f t="shared" si="169"/>
        <v>11703.496271145716</v>
      </c>
      <c r="AE180" s="154">
        <f t="shared" si="169"/>
        <v>11205.269072086341</v>
      </c>
      <c r="AF180" s="154">
        <f t="shared" si="169"/>
        <v>10728.251803472202</v>
      </c>
      <c r="AG180" s="154">
        <f t="shared" si="169"/>
        <v>10271.541541596955</v>
      </c>
      <c r="AH180" s="154">
        <f t="shared" si="169"/>
        <v>9834.273800937708</v>
      </c>
      <c r="AI180" s="154">
        <f t="shared" si="169"/>
        <v>9415.620897813005</v>
      </c>
      <c r="AJ180" s="154">
        <f t="shared" si="169"/>
        <v>9014.790383696289</v>
      </c>
      <c r="AK180" s="154">
        <f t="shared" si="169"/>
        <v>8631.023545230219</v>
      </c>
      <c r="AR180" s="154">
        <f aca="true" t="shared" si="170" ref="AR180:BL180">AR166*$AN$172</f>
        <v>17141.635478895598</v>
      </c>
      <c r="AS180" s="154">
        <f t="shared" si="170"/>
        <v>18739.55195443276</v>
      </c>
      <c r="AT180" s="154">
        <f t="shared" si="170"/>
        <v>25293.33779351642</v>
      </c>
      <c r="AU180" s="154">
        <f t="shared" si="170"/>
        <v>86072.06867916942</v>
      </c>
      <c r="AV180" s="220">
        <f t="shared" si="170"/>
        <v>87319.55417179424</v>
      </c>
      <c r="AW180" s="154">
        <f t="shared" si="170"/>
        <v>90835.5012631658</v>
      </c>
      <c r="AX180" s="154">
        <f t="shared" si="170"/>
        <v>94599.19538508239</v>
      </c>
      <c r="AY180" s="154">
        <f t="shared" si="170"/>
        <v>11345.16241683873</v>
      </c>
      <c r="AZ180" s="154">
        <f t="shared" si="170"/>
        <v>10854.163528020603</v>
      </c>
      <c r="BA180" s="154">
        <f t="shared" si="170"/>
        <v>10384.4142167725</v>
      </c>
      <c r="BB180" s="154">
        <f t="shared" si="170"/>
        <v>9934.994838351184</v>
      </c>
      <c r="BC180" s="154">
        <f t="shared" si="170"/>
        <v>9505.025548638434</v>
      </c>
      <c r="BD180" s="154">
        <f t="shared" si="170"/>
        <v>9093.664581637873</v>
      </c>
      <c r="BE180" s="154">
        <f t="shared" si="170"/>
        <v>8700.10660152078</v>
      </c>
      <c r="BF180" s="154">
        <f t="shared" si="170"/>
        <v>8323.581125992687</v>
      </c>
      <c r="BG180" s="154">
        <f t="shared" si="170"/>
        <v>7963.35101789076</v>
      </c>
      <c r="BH180" s="154">
        <f t="shared" si="170"/>
        <v>7618.711042067223</v>
      </c>
      <c r="BI180" s="154">
        <f t="shared" si="170"/>
        <v>7288.9864847235995</v>
      </c>
      <c r="BJ180" s="154">
        <f t="shared" si="170"/>
        <v>6973.531832501439</v>
      </c>
      <c r="BK180" s="154">
        <f t="shared" si="170"/>
        <v>6671.729508736088</v>
      </c>
      <c r="BL180" s="154">
        <f t="shared" si="170"/>
        <v>6382.988664407477</v>
      </c>
    </row>
    <row r="181" spans="6:64" ht="12.75" customHeight="1">
      <c r="F181" s="13"/>
      <c r="G181" s="67" t="s">
        <v>84</v>
      </c>
      <c r="H181" s="13"/>
      <c r="I181" s="13"/>
      <c r="J181" s="13"/>
      <c r="K181" s="13"/>
      <c r="L181" s="182" t="s">
        <v>184</v>
      </c>
      <c r="M181" s="63"/>
      <c r="Q181" s="154">
        <f aca="true" t="shared" si="171" ref="Q181:AK181">Q167*$M$172</f>
        <v>9677.738079458268</v>
      </c>
      <c r="R181" s="220">
        <f t="shared" si="171"/>
        <v>11136.71758079959</v>
      </c>
      <c r="S181" s="154">
        <f t="shared" si="171"/>
        <v>19054.059417005985</v>
      </c>
      <c r="T181" s="154">
        <f t="shared" si="171"/>
        <v>64888.03729312049</v>
      </c>
      <c r="U181" s="220">
        <f t="shared" si="171"/>
        <v>65877.16974704663</v>
      </c>
      <c r="V181" s="154">
        <f t="shared" si="171"/>
        <v>68580.40820939548</v>
      </c>
      <c r="W181" s="154">
        <f t="shared" si="171"/>
        <v>71474.79478259143</v>
      </c>
      <c r="X181" s="154">
        <f t="shared" si="171"/>
        <v>8578.220749371434</v>
      </c>
      <c r="Y181" s="154">
        <f t="shared" si="171"/>
        <v>8213.039029493952</v>
      </c>
      <c r="Z181" s="154">
        <f t="shared" si="171"/>
        <v>7863.403387577337</v>
      </c>
      <c r="AA181" s="154">
        <f t="shared" si="171"/>
        <v>7528.652014645442</v>
      </c>
      <c r="AB181" s="154">
        <f t="shared" si="171"/>
        <v>7208.151275460385</v>
      </c>
      <c r="AC181" s="154">
        <f t="shared" si="171"/>
        <v>6901.294509142979</v>
      </c>
      <c r="AD181" s="154">
        <f t="shared" si="171"/>
        <v>6607.500880853</v>
      </c>
      <c r="AE181" s="154">
        <f t="shared" si="171"/>
        <v>6326.214282354684</v>
      </c>
      <c r="AF181" s="154">
        <f t="shared" si="171"/>
        <v>6056.902279383159</v>
      </c>
      <c r="AG181" s="154">
        <f t="shared" si="171"/>
        <v>5799.055103828106</v>
      </c>
      <c r="AH181" s="154">
        <f t="shared" si="171"/>
        <v>5552.18468881405</v>
      </c>
      <c r="AI181" s="154">
        <f t="shared" si="171"/>
        <v>5315.8237448635155</v>
      </c>
      <c r="AJ181" s="154">
        <f t="shared" si="171"/>
        <v>5089.524875385644</v>
      </c>
      <c r="AK181" s="154">
        <f t="shared" si="171"/>
        <v>4872.8597298205</v>
      </c>
      <c r="AR181" s="154">
        <f aca="true" t="shared" si="172" ref="AR181:BL181">AR167*$AN$172</f>
        <v>9677.738079458268</v>
      </c>
      <c r="AS181" s="154">
        <f t="shared" si="172"/>
        <v>10579.881701759608</v>
      </c>
      <c r="AT181" s="154">
        <f t="shared" si="172"/>
        <v>14279.985047067734</v>
      </c>
      <c r="AU181" s="154">
        <f t="shared" si="172"/>
        <v>48594.13430297795</v>
      </c>
      <c r="AV181" s="220">
        <f t="shared" si="172"/>
        <v>49298.43336886416</v>
      </c>
      <c r="AW181" s="154">
        <f t="shared" si="172"/>
        <v>51283.44903982615</v>
      </c>
      <c r="AX181" s="154">
        <f t="shared" si="172"/>
        <v>53408.336479414465</v>
      </c>
      <c r="AY181" s="154">
        <f t="shared" si="172"/>
        <v>6405.194561175777</v>
      </c>
      <c r="AZ181" s="154">
        <f t="shared" si="172"/>
        <v>6127.98888560652</v>
      </c>
      <c r="BA181" s="154">
        <f t="shared" si="172"/>
        <v>5862.780189338257</v>
      </c>
      <c r="BB181" s="154">
        <f t="shared" si="172"/>
        <v>5609.0492639812155</v>
      </c>
      <c r="BC181" s="154">
        <f t="shared" si="172"/>
        <v>5366.299371581836</v>
      </c>
      <c r="BD181" s="154">
        <f t="shared" si="172"/>
        <v>5134.055272140654</v>
      </c>
      <c r="BE181" s="154">
        <f t="shared" si="172"/>
        <v>4911.862293218466</v>
      </c>
      <c r="BF181" s="154">
        <f t="shared" si="172"/>
        <v>4699.285439808586</v>
      </c>
      <c r="BG181" s="154">
        <f t="shared" si="172"/>
        <v>4495.908542730143</v>
      </c>
      <c r="BH181" s="154">
        <f t="shared" si="172"/>
        <v>4301.33344388173</v>
      </c>
      <c r="BI181" s="154">
        <f t="shared" si="172"/>
        <v>4115.179216750713</v>
      </c>
      <c r="BJ181" s="154">
        <f t="shared" si="172"/>
        <v>3937.0814206616024</v>
      </c>
      <c r="BK181" s="154">
        <f t="shared" si="172"/>
        <v>3766.6913872970154</v>
      </c>
      <c r="BL181" s="154">
        <f t="shared" si="172"/>
        <v>3603.675538097758</v>
      </c>
    </row>
    <row r="182" spans="6:64" ht="12.75" customHeight="1">
      <c r="F182" s="13"/>
      <c r="G182" s="67" t="s">
        <v>190</v>
      </c>
      <c r="H182" s="13"/>
      <c r="I182" s="13"/>
      <c r="J182" s="13"/>
      <c r="K182" s="13"/>
      <c r="L182" s="182" t="s">
        <v>184</v>
      </c>
      <c r="M182" s="63"/>
      <c r="Q182" s="154">
        <f aca="true" t="shared" si="173" ref="Q182:AK182">Q168*$M$172</f>
        <v>7014.471955646901</v>
      </c>
      <c r="R182" s="220">
        <f t="shared" si="173"/>
        <v>8071.9474434103995</v>
      </c>
      <c r="S182" s="154">
        <f t="shared" si="173"/>
        <v>13810.475580601773</v>
      </c>
      <c r="T182" s="154">
        <f t="shared" si="173"/>
        <v>47031.16721206438</v>
      </c>
      <c r="U182" s="220">
        <f t="shared" si="173"/>
        <v>47748.095258837195</v>
      </c>
      <c r="V182" s="154">
        <f t="shared" si="173"/>
        <v>49707.41573516006</v>
      </c>
      <c r="W182" s="154">
        <f t="shared" si="173"/>
        <v>51805.28129835165</v>
      </c>
      <c r="X182" s="154">
        <f t="shared" si="173"/>
        <v>6217.536410035024</v>
      </c>
      <c r="Y182" s="154">
        <f t="shared" si="173"/>
        <v>5952.85091103067</v>
      </c>
      <c r="Z182" s="154">
        <f t="shared" si="173"/>
        <v>5699.433285467419</v>
      </c>
      <c r="AA182" s="154">
        <f t="shared" si="173"/>
        <v>5456.803850958406</v>
      </c>
      <c r="AB182" s="154">
        <f t="shared" si="173"/>
        <v>5224.5033455800485</v>
      </c>
      <c r="AC182" s="154">
        <f t="shared" si="173"/>
        <v>5002.092058556039</v>
      </c>
      <c r="AD182" s="154">
        <f t="shared" si="173"/>
        <v>4789.148997949565</v>
      </c>
      <c r="AE182" s="154">
        <f t="shared" si="173"/>
        <v>4585.271093787808</v>
      </c>
      <c r="AF182" s="154">
        <f t="shared" si="173"/>
        <v>4390.072435108236</v>
      </c>
      <c r="AG182" s="154">
        <f t="shared" si="173"/>
        <v>4203.183539487855</v>
      </c>
      <c r="AH182" s="154">
        <f t="shared" si="173"/>
        <v>4024.250653664867</v>
      </c>
      <c r="AI182" s="154">
        <f t="shared" si="173"/>
        <v>3852.935083937917</v>
      </c>
      <c r="AJ182" s="154">
        <f t="shared" si="173"/>
        <v>3688.912555066632</v>
      </c>
      <c r="AK182" s="154">
        <f t="shared" si="173"/>
        <v>3531.8725964674527</v>
      </c>
      <c r="AR182" s="154">
        <f aca="true" t="shared" si="174" ref="AR182:BL182">AR168*$AN$172</f>
        <v>7014.471955646901</v>
      </c>
      <c r="AS182" s="154">
        <f t="shared" si="174"/>
        <v>7668.350071239879</v>
      </c>
      <c r="AT182" s="154">
        <f t="shared" si="174"/>
        <v>10350.203096767498</v>
      </c>
      <c r="AU182" s="154">
        <f t="shared" si="174"/>
        <v>35221.26652721509</v>
      </c>
      <c r="AV182" s="220">
        <f t="shared" si="174"/>
        <v>35731.74593939644</v>
      </c>
      <c r="AW182" s="154">
        <f t="shared" si="174"/>
        <v>37170.49501910516</v>
      </c>
      <c r="AX182" s="154">
        <f t="shared" si="174"/>
        <v>38710.623841720764</v>
      </c>
      <c r="AY182" s="154">
        <f t="shared" si="174"/>
        <v>4642.516386674572</v>
      </c>
      <c r="AZ182" s="154">
        <f t="shared" si="174"/>
        <v>4441.596355437783</v>
      </c>
      <c r="BA182" s="154">
        <f t="shared" si="174"/>
        <v>4249.371793552136</v>
      </c>
      <c r="BB182" s="154">
        <f t="shared" si="174"/>
        <v>4065.4663762340924</v>
      </c>
      <c r="BC182" s="154">
        <f t="shared" si="174"/>
        <v>3889.520065382194</v>
      </c>
      <c r="BD182" s="154">
        <f t="shared" si="174"/>
        <v>3721.188404717374</v>
      </c>
      <c r="BE182" s="154">
        <f t="shared" si="174"/>
        <v>3560.1418454289583</v>
      </c>
      <c r="BF182" s="154">
        <f t="shared" si="174"/>
        <v>3406.06510100572</v>
      </c>
      <c r="BG182" s="154">
        <f t="shared" si="174"/>
        <v>3258.656529987358</v>
      </c>
      <c r="BH182" s="154">
        <f t="shared" si="174"/>
        <v>3117.6275454319607</v>
      </c>
      <c r="BI182" s="154">
        <f t="shared" si="174"/>
        <v>2982.7020499374767</v>
      </c>
      <c r="BJ182" s="154">
        <f t="shared" si="174"/>
        <v>2853.615895117814</v>
      </c>
      <c r="BK182" s="154">
        <f t="shared" si="174"/>
        <v>2730.1163644687867</v>
      </c>
      <c r="BL182" s="154">
        <f t="shared" si="174"/>
        <v>2611.961678617091</v>
      </c>
    </row>
    <row r="183" spans="6:37" ht="12.75" customHeight="1">
      <c r="F183" s="13"/>
      <c r="G183" s="67"/>
      <c r="H183" s="13"/>
      <c r="I183" s="13"/>
      <c r="J183" s="13"/>
      <c r="K183" s="13"/>
      <c r="L183" s="4"/>
      <c r="M183" s="63"/>
      <c r="Q183" s="154"/>
      <c r="R183" s="220"/>
      <c r="S183" s="154"/>
      <c r="T183" s="154"/>
      <c r="U183" s="220"/>
      <c r="V183" s="154"/>
      <c r="W183" s="154"/>
      <c r="X183" s="154"/>
      <c r="Y183" s="154"/>
      <c r="Z183" s="154"/>
      <c r="AA183" s="154"/>
      <c r="AB183" s="154"/>
      <c r="AC183" s="154"/>
      <c r="AD183" s="154"/>
      <c r="AE183" s="154"/>
      <c r="AF183" s="154"/>
      <c r="AG183" s="154"/>
      <c r="AH183" s="154"/>
      <c r="AI183" s="154"/>
      <c r="AJ183" s="154"/>
      <c r="AK183" s="154"/>
    </row>
    <row r="184" spans="5:37" ht="12.75" customHeight="1">
      <c r="E184" t="s">
        <v>325</v>
      </c>
      <c r="F184" s="13"/>
      <c r="G184" s="67"/>
      <c r="H184" s="13"/>
      <c r="I184" s="13"/>
      <c r="J184" s="13"/>
      <c r="K184" s="13"/>
      <c r="L184" s="4"/>
      <c r="M184" s="63"/>
      <c r="Q184" s="154"/>
      <c r="R184" s="220"/>
      <c r="S184" s="154"/>
      <c r="T184" s="154"/>
      <c r="U184" s="220"/>
      <c r="V184" s="154"/>
      <c r="W184" s="154"/>
      <c r="X184" s="154"/>
      <c r="Y184" s="154"/>
      <c r="Z184" s="154"/>
      <c r="AA184" s="154"/>
      <c r="AB184" s="154"/>
      <c r="AC184" s="154"/>
      <c r="AD184" s="154"/>
      <c r="AE184" s="154"/>
      <c r="AF184" s="154"/>
      <c r="AG184" s="154"/>
      <c r="AH184" s="154"/>
      <c r="AI184" s="154"/>
      <c r="AJ184" s="154"/>
      <c r="AK184" s="154"/>
    </row>
    <row r="185" spans="6:66" s="146" customFormat="1" ht="12.75" customHeight="1">
      <c r="F185" s="238"/>
      <c r="G185" s="231" t="s">
        <v>233</v>
      </c>
      <c r="H185" s="238"/>
      <c r="I185" s="238"/>
      <c r="J185" s="238"/>
      <c r="K185" s="238"/>
      <c r="L185" s="232" t="s">
        <v>184</v>
      </c>
      <c r="M185" s="147"/>
      <c r="P185" s="239"/>
      <c r="Q185" s="220">
        <f>Q160+Q174</f>
        <v>827749.3474987287</v>
      </c>
      <c r="R185" s="220">
        <f aca="true" t="shared" si="175" ref="R185:AK185">R160+R174</f>
        <v>961922.3432948502</v>
      </c>
      <c r="S185" s="220">
        <f t="shared" si="175"/>
        <v>1661988.997669042</v>
      </c>
      <c r="T185" s="220">
        <f t="shared" si="175"/>
        <v>5715616.620025897</v>
      </c>
      <c r="U185" s="220">
        <f t="shared" si="175"/>
        <v>5859913.536976949</v>
      </c>
      <c r="V185" s="220">
        <f t="shared" si="175"/>
        <v>6160474.504102987</v>
      </c>
      <c r="W185" s="220">
        <f t="shared" si="175"/>
        <v>6483728.769506757</v>
      </c>
      <c r="X185" s="220">
        <f t="shared" si="175"/>
        <v>785827.0298766915</v>
      </c>
      <c r="Y185" s="220">
        <f t="shared" si="175"/>
        <v>759786.2937606417</v>
      </c>
      <c r="Z185" s="220">
        <f t="shared" si="175"/>
        <v>734608.4955580162</v>
      </c>
      <c r="AA185" s="220">
        <f t="shared" si="175"/>
        <v>710265.0392322001</v>
      </c>
      <c r="AB185" s="220">
        <f t="shared" si="175"/>
        <v>686728.2763621263</v>
      </c>
      <c r="AC185" s="220">
        <f t="shared" si="175"/>
        <v>663971.4747400434</v>
      </c>
      <c r="AD185" s="220">
        <f t="shared" si="175"/>
        <v>641968.7880100987</v>
      </c>
      <c r="AE185" s="220">
        <f t="shared" si="175"/>
        <v>620695.2263130277</v>
      </c>
      <c r="AF185" s="220">
        <f t="shared" si="175"/>
        <v>600126.6279034528</v>
      </c>
      <c r="AG185" s="220">
        <f t="shared" si="175"/>
        <v>580239.6317080015</v>
      </c>
      <c r="AH185" s="220">
        <f t="shared" si="175"/>
        <v>561011.6507924558</v>
      </c>
      <c r="AI185" s="220">
        <f t="shared" si="175"/>
        <v>542420.8467085063</v>
      </c>
      <c r="AJ185" s="220">
        <f t="shared" si="175"/>
        <v>524446.1046902599</v>
      </c>
      <c r="AK185" s="220">
        <f t="shared" si="175"/>
        <v>507067.00967304996</v>
      </c>
      <c r="AM185" s="203"/>
      <c r="AQ185" s="239"/>
      <c r="AR185" s="220">
        <f>AR160+AR174</f>
        <v>827749.3474987287</v>
      </c>
      <c r="AS185" s="220">
        <f aca="true" t="shared" si="176" ref="AS185:BL185">AS160+AS174</f>
        <v>913826.2261301077</v>
      </c>
      <c r="AT185" s="220">
        <f t="shared" si="176"/>
        <v>1244971.6363636698</v>
      </c>
      <c r="AU185" s="220">
        <f t="shared" si="176"/>
        <v>4276263.444004898</v>
      </c>
      <c r="AV185" s="220">
        <f t="shared" si="176"/>
        <v>4378875.722289612</v>
      </c>
      <c r="AW185" s="220">
        <f t="shared" si="176"/>
        <v>4597858.751848398</v>
      </c>
      <c r="AX185" s="220">
        <f t="shared" si="176"/>
        <v>4833217.610344363</v>
      </c>
      <c r="AY185" s="220">
        <f t="shared" si="176"/>
        <v>585070.9334011205</v>
      </c>
      <c r="AZ185" s="220">
        <f t="shared" si="176"/>
        <v>564992.9956725037</v>
      </c>
      <c r="BA185" s="220">
        <f t="shared" si="176"/>
        <v>545604.0745407217</v>
      </c>
      <c r="BB185" s="220">
        <f t="shared" si="176"/>
        <v>526880.5249542897</v>
      </c>
      <c r="BC185" s="220">
        <f t="shared" si="176"/>
        <v>508799.5132913828</v>
      </c>
      <c r="BD185" s="220">
        <f t="shared" si="176"/>
        <v>491338.98951381503</v>
      </c>
      <c r="BE185" s="220">
        <f t="shared" si="176"/>
        <v>474477.6602767637</v>
      </c>
      <c r="BF185" s="220">
        <f t="shared" si="176"/>
        <v>458194.9629612856</v>
      </c>
      <c r="BG185" s="220">
        <f t="shared" si="176"/>
        <v>442471.0405978368</v>
      </c>
      <c r="BH185" s="220">
        <f t="shared" si="176"/>
        <v>427286.71765054675</v>
      </c>
      <c r="BI185" s="220">
        <f t="shared" si="176"/>
        <v>412623.4766322566</v>
      </c>
      <c r="BJ185" s="220">
        <f t="shared" si="176"/>
        <v>398463.4355223279</v>
      </c>
      <c r="BK185" s="220">
        <f t="shared" si="176"/>
        <v>384789.32595915004</v>
      </c>
      <c r="BL185" s="220">
        <f t="shared" si="176"/>
        <v>371584.472181289</v>
      </c>
      <c r="BN185" s="203"/>
    </row>
    <row r="186" spans="6:66" s="146" customFormat="1" ht="12.75" customHeight="1">
      <c r="F186" s="238"/>
      <c r="G186" s="231" t="s">
        <v>73</v>
      </c>
      <c r="H186" s="238"/>
      <c r="I186" s="238"/>
      <c r="J186" s="238"/>
      <c r="K186" s="238"/>
      <c r="L186" s="232" t="s">
        <v>184</v>
      </c>
      <c r="M186" s="147"/>
      <c r="P186" s="239"/>
      <c r="Q186" s="220">
        <f>Q161+Q175</f>
        <v>44627.06727543521</v>
      </c>
      <c r="R186" s="220">
        <f>R161+R175</f>
        <v>51354.87658637748</v>
      </c>
      <c r="S186" s="220">
        <f aca="true" t="shared" si="177" ref="S186:AK186">S161+S175</f>
        <v>87864.20798861553</v>
      </c>
      <c r="T186" s="220">
        <f t="shared" si="177"/>
        <v>299218.9685105771</v>
      </c>
      <c r="U186" s="220">
        <f t="shared" si="177"/>
        <v>303780.1666131973</v>
      </c>
      <c r="V186" s="220">
        <f t="shared" si="177"/>
        <v>316245.64188544574</v>
      </c>
      <c r="W186" s="220">
        <f t="shared" si="177"/>
        <v>329592.56068636925</v>
      </c>
      <c r="X186" s="220">
        <f t="shared" si="177"/>
        <v>39556.850096852264</v>
      </c>
      <c r="Y186" s="220">
        <f t="shared" si="177"/>
        <v>37872.88334274907</v>
      </c>
      <c r="Z186" s="220">
        <f t="shared" si="177"/>
        <v>36260.60440054207</v>
      </c>
      <c r="AA186" s="220">
        <f t="shared" si="177"/>
        <v>34716.961462727355</v>
      </c>
      <c r="AB186" s="220">
        <f t="shared" si="177"/>
        <v>33239.03263968996</v>
      </c>
      <c r="AC186" s="220">
        <f t="shared" si="177"/>
        <v>31824.020428992364</v>
      </c>
      <c r="AD186" s="220">
        <f t="shared" si="177"/>
        <v>30469.24642011332</v>
      </c>
      <c r="AE186" s="220">
        <f t="shared" si="177"/>
        <v>29172.14622461234</v>
      </c>
      <c r="AF186" s="220">
        <f t="shared" si="177"/>
        <v>27930.264622113307</v>
      </c>
      <c r="AG186" s="220">
        <f t="shared" si="177"/>
        <v>26741.250912938518</v>
      </c>
      <c r="AH186" s="220">
        <f t="shared" si="177"/>
        <v>25602.854468574056</v>
      </c>
      <c r="AI186" s="220">
        <f t="shared" si="177"/>
        <v>24512.920471562848</v>
      </c>
      <c r="AJ186" s="220">
        <f t="shared" si="177"/>
        <v>23469.385836752677</v>
      </c>
      <c r="AK186" s="220">
        <f t="shared" si="177"/>
        <v>22470.27530617259</v>
      </c>
      <c r="AM186" s="203"/>
      <c r="AQ186" s="239"/>
      <c r="AR186" s="220">
        <f>AR161+AR175</f>
        <v>44627.06727543521</v>
      </c>
      <c r="AS186" s="220">
        <f aca="true" t="shared" si="178" ref="AS186:BL186">AS161+AS175</f>
        <v>48787.132757058615</v>
      </c>
      <c r="AT186" s="220">
        <f t="shared" si="178"/>
        <v>65849.46277274875</v>
      </c>
      <c r="AU186" s="220">
        <f t="shared" si="178"/>
        <v>224082.70227250495</v>
      </c>
      <c r="AV186" s="220">
        <f t="shared" si="178"/>
        <v>227330.44482735303</v>
      </c>
      <c r="AW186" s="220">
        <f t="shared" si="178"/>
        <v>236483.97090581167</v>
      </c>
      <c r="AX186" s="220">
        <f t="shared" si="178"/>
        <v>246282.48931379747</v>
      </c>
      <c r="AY186" s="220">
        <f t="shared" si="178"/>
        <v>29536.34891200126</v>
      </c>
      <c r="AZ186" s="220">
        <f t="shared" si="178"/>
        <v>28258.067124336878</v>
      </c>
      <c r="BA186" s="220">
        <f t="shared" si="178"/>
        <v>27035.107148232746</v>
      </c>
      <c r="BB186" s="220">
        <f t="shared" si="178"/>
        <v>25865.07475194359</v>
      </c>
      <c r="BC186" s="220">
        <f t="shared" si="178"/>
        <v>24745.679321909614</v>
      </c>
      <c r="BD186" s="220">
        <f t="shared" si="178"/>
        <v>23674.729378339474</v>
      </c>
      <c r="BE186" s="220">
        <f t="shared" si="178"/>
        <v>22650.128284873692</v>
      </c>
      <c r="BF186" s="220">
        <f t="shared" si="178"/>
        <v>21669.87014392786</v>
      </c>
      <c r="BG186" s="220">
        <f t="shared" si="178"/>
        <v>20732.035869672494</v>
      </c>
      <c r="BH186" s="220">
        <f t="shared" si="178"/>
        <v>19834.78943097569</v>
      </c>
      <c r="BI186" s="220">
        <f t="shared" si="178"/>
        <v>18976.37425693672</v>
      </c>
      <c r="BJ186" s="220">
        <f t="shared" si="178"/>
        <v>18155.10979798738</v>
      </c>
      <c r="BK186" s="220">
        <f t="shared" si="178"/>
        <v>17369.388235822014</v>
      </c>
      <c r="BL186" s="220">
        <f t="shared" si="178"/>
        <v>16617.671335710536</v>
      </c>
      <c r="BN186" s="203"/>
    </row>
    <row r="187" spans="6:66" s="146" customFormat="1" ht="12.75" customHeight="1">
      <c r="F187" s="238"/>
      <c r="G187" s="231" t="s">
        <v>72</v>
      </c>
      <c r="H187" s="238"/>
      <c r="I187" s="238"/>
      <c r="J187" s="238"/>
      <c r="K187" s="238"/>
      <c r="L187" s="232" t="s">
        <v>184</v>
      </c>
      <c r="M187" s="147"/>
      <c r="P187" s="239"/>
      <c r="Q187" s="220">
        <f aca="true" t="shared" si="179" ref="Q187:AK187">Q162+Q176</f>
        <v>76411.49980026943</v>
      </c>
      <c r="R187" s="220">
        <f t="shared" si="179"/>
        <v>87931.01096703365</v>
      </c>
      <c r="S187" s="220">
        <f t="shared" si="179"/>
        <v>150443.1350986073</v>
      </c>
      <c r="T187" s="220">
        <f t="shared" si="179"/>
        <v>512329.6588473802</v>
      </c>
      <c r="U187" s="220">
        <f t="shared" si="179"/>
        <v>520139.4480445116</v>
      </c>
      <c r="V187" s="220">
        <f t="shared" si="179"/>
        <v>541483.1239665004</v>
      </c>
      <c r="W187" s="220">
        <f t="shared" si="179"/>
        <v>564336.0279450753</v>
      </c>
      <c r="X187" s="220">
        <f t="shared" si="179"/>
        <v>67730.15633359196</v>
      </c>
      <c r="Y187" s="220">
        <f t="shared" si="179"/>
        <v>64846.829394344706</v>
      </c>
      <c r="Z187" s="220">
        <f t="shared" si="179"/>
        <v>62086.2479895654</v>
      </c>
      <c r="AA187" s="220">
        <f t="shared" si="179"/>
        <v>59443.18674364984</v>
      </c>
      <c r="AB187" s="220">
        <f t="shared" si="179"/>
        <v>56912.64272942412</v>
      </c>
      <c r="AC187" s="220">
        <f t="shared" si="179"/>
        <v>54489.82599831903</v>
      </c>
      <c r="AD187" s="220">
        <f t="shared" si="179"/>
        <v>52170.15051370788</v>
      </c>
      <c r="AE187" s="220">
        <f t="shared" si="179"/>
        <v>49949.225470220656</v>
      </c>
      <c r="AF187" s="220">
        <f t="shared" si="179"/>
        <v>47822.84698257223</v>
      </c>
      <c r="AG187" s="220">
        <f t="shared" si="179"/>
        <v>45786.99012824679</v>
      </c>
      <c r="AH187" s="220">
        <f t="shared" si="179"/>
        <v>43837.80132889361</v>
      </c>
      <c r="AI187" s="220">
        <f t="shared" si="179"/>
        <v>41971.59105608291</v>
      </c>
      <c r="AJ187" s="220">
        <f t="shared" si="179"/>
        <v>40184.826847553784</v>
      </c>
      <c r="AK187" s="220">
        <f t="shared" si="179"/>
        <v>38474.126620790645</v>
      </c>
      <c r="AM187" s="203"/>
      <c r="AQ187" s="239"/>
      <c r="AR187" s="220">
        <f aca="true" t="shared" si="180" ref="AR187:BL187">AR162+AR176</f>
        <v>76411.49980026943</v>
      </c>
      <c r="AS187" s="220">
        <f t="shared" si="180"/>
        <v>83534.46041868198</v>
      </c>
      <c r="AT187" s="220">
        <f t="shared" si="180"/>
        <v>112748.97766534175</v>
      </c>
      <c r="AU187" s="220">
        <f t="shared" si="180"/>
        <v>383679.6008633166</v>
      </c>
      <c r="AV187" s="220">
        <f t="shared" si="180"/>
        <v>389240.46100340696</v>
      </c>
      <c r="AW187" s="220">
        <f t="shared" si="180"/>
        <v>404913.34068871196</v>
      </c>
      <c r="AX187" s="220">
        <f t="shared" si="180"/>
        <v>421690.5912024789</v>
      </c>
      <c r="AY187" s="220">
        <f t="shared" si="180"/>
        <v>50572.82175995492</v>
      </c>
      <c r="AZ187" s="220">
        <f t="shared" si="180"/>
        <v>48384.11803089307</v>
      </c>
      <c r="BA187" s="220">
        <f t="shared" si="180"/>
        <v>46290.13759088249</v>
      </c>
      <c r="BB187" s="220">
        <f t="shared" si="180"/>
        <v>44286.78098078749</v>
      </c>
      <c r="BC187" s="220">
        <f t="shared" si="180"/>
        <v>42370.126158938554</v>
      </c>
      <c r="BD187" s="220">
        <f t="shared" si="180"/>
        <v>40536.42082279974</v>
      </c>
      <c r="BE187" s="220">
        <f t="shared" si="180"/>
        <v>38782.075062959775</v>
      </c>
      <c r="BF187" s="220">
        <f t="shared" si="180"/>
        <v>37103.654335046784</v>
      </c>
      <c r="BG187" s="220">
        <f t="shared" si="180"/>
        <v>35497.87273578394</v>
      </c>
      <c r="BH187" s="220">
        <f t="shared" si="180"/>
        <v>33961.58657007797</v>
      </c>
      <c r="BI187" s="220">
        <f t="shared" si="180"/>
        <v>32491.788196484427</v>
      </c>
      <c r="BJ187" s="220">
        <f t="shared" si="180"/>
        <v>31085.60013905306</v>
      </c>
      <c r="BK187" s="220">
        <f t="shared" si="180"/>
        <v>29740.26945397995</v>
      </c>
      <c r="BL187" s="220">
        <f t="shared" si="180"/>
        <v>28453.1623400796</v>
      </c>
      <c r="BN187" s="203"/>
    </row>
    <row r="188" spans="6:66" s="146" customFormat="1" ht="12.75" customHeight="1">
      <c r="F188" s="238"/>
      <c r="G188" s="231" t="s">
        <v>85</v>
      </c>
      <c r="H188" s="238"/>
      <c r="I188" s="238"/>
      <c r="J188" s="238"/>
      <c r="K188" s="238"/>
      <c r="L188" s="232" t="s">
        <v>184</v>
      </c>
      <c r="M188" s="147"/>
      <c r="P188" s="239"/>
      <c r="Q188" s="220">
        <f aca="true" t="shared" si="181" ref="Q188:AK188">Q163+Q177</f>
        <v>32945.17605767607</v>
      </c>
      <c r="R188" s="220">
        <f t="shared" si="181"/>
        <v>37911.867255721096</v>
      </c>
      <c r="S188" s="220">
        <f t="shared" si="181"/>
        <v>64864.26238783083</v>
      </c>
      <c r="T188" s="220">
        <f t="shared" si="181"/>
        <v>220893.33221328224</v>
      </c>
      <c r="U188" s="220">
        <f t="shared" si="181"/>
        <v>224260.55940742654</v>
      </c>
      <c r="V188" s="220">
        <f t="shared" si="181"/>
        <v>233462.98525701585</v>
      </c>
      <c r="W188" s="220">
        <f t="shared" si="181"/>
        <v>243316.12185257202</v>
      </c>
      <c r="X188" s="220">
        <f t="shared" si="181"/>
        <v>29202.174157772817</v>
      </c>
      <c r="Y188" s="220">
        <f t="shared" si="181"/>
        <v>27959.01424213684</v>
      </c>
      <c r="Z188" s="220">
        <f t="shared" si="181"/>
        <v>26768.77663863809</v>
      </c>
      <c r="AA188" s="220">
        <f t="shared" si="181"/>
        <v>25629.20840210987</v>
      </c>
      <c r="AB188" s="220">
        <f t="shared" si="181"/>
        <v>24538.152497065494</v>
      </c>
      <c r="AC188" s="220">
        <f t="shared" si="181"/>
        <v>23493.543714743515</v>
      </c>
      <c r="AD188" s="220">
        <f t="shared" si="181"/>
        <v>22493.404763971186</v>
      </c>
      <c r="AE188" s="220">
        <f t="shared" si="181"/>
        <v>21535.842528446028</v>
      </c>
      <c r="AF188" s="220">
        <f t="shared" si="181"/>
        <v>20619.044483335518</v>
      </c>
      <c r="AG188" s="220">
        <f t="shared" si="181"/>
        <v>19741.275264444448</v>
      </c>
      <c r="AH188" s="220">
        <f t="shared" si="181"/>
        <v>18900.873383416794</v>
      </c>
      <c r="AI188" s="220">
        <f t="shared" si="181"/>
        <v>18096.24808278568</v>
      </c>
      <c r="AJ188" s="220">
        <f t="shared" si="181"/>
        <v>17325.87632490375</v>
      </c>
      <c r="AK188" s="220">
        <f t="shared" si="181"/>
        <v>16588.29990905131</v>
      </c>
      <c r="AM188" s="203"/>
      <c r="AQ188" s="239"/>
      <c r="AR188" s="220">
        <f aca="true" t="shared" si="182" ref="AR188:BL188">AR163+AR177</f>
        <v>32945.17605767607</v>
      </c>
      <c r="AS188" s="220">
        <f t="shared" si="182"/>
        <v>36016.27389293503</v>
      </c>
      <c r="AT188" s="220">
        <f t="shared" si="182"/>
        <v>48612.24984743159</v>
      </c>
      <c r="AU188" s="220">
        <f t="shared" si="182"/>
        <v>165425.25710424915</v>
      </c>
      <c r="AV188" s="220">
        <f t="shared" si="182"/>
        <v>167822.84800125094</v>
      </c>
      <c r="AW188" s="220">
        <f t="shared" si="182"/>
        <v>174580.28349084096</v>
      </c>
      <c r="AX188" s="220">
        <f t="shared" si="182"/>
        <v>181813.87363610175</v>
      </c>
      <c r="AY188" s="220">
        <f t="shared" si="182"/>
        <v>21804.708989749422</v>
      </c>
      <c r="AZ188" s="220">
        <f t="shared" si="182"/>
        <v>20861.03912486652</v>
      </c>
      <c r="BA188" s="220">
        <f t="shared" si="182"/>
        <v>19958.209649750675</v>
      </c>
      <c r="BB188" s="220">
        <f t="shared" si="182"/>
        <v>19094.453063394198</v>
      </c>
      <c r="BC188" s="220">
        <f t="shared" si="182"/>
        <v>18268.07835915896</v>
      </c>
      <c r="BD188" s="220">
        <f t="shared" si="182"/>
        <v>17477.467714230974</v>
      </c>
      <c r="BE188" s="220">
        <f t="shared" si="182"/>
        <v>16721.07332235235</v>
      </c>
      <c r="BF188" s="220">
        <f t="shared" si="182"/>
        <v>15997.414363629194</v>
      </c>
      <c r="BG188" s="220">
        <f t="shared" si="182"/>
        <v>15305.074105471915</v>
      </c>
      <c r="BH188" s="220">
        <f t="shared" si="182"/>
        <v>14642.697129016124</v>
      </c>
      <c r="BI188" s="220">
        <f t="shared" si="182"/>
        <v>14008.986675565278</v>
      </c>
      <c r="BJ188" s="220">
        <f t="shared" si="182"/>
        <v>13402.702107883373</v>
      </c>
      <c r="BK188" s="220">
        <f t="shared" si="182"/>
        <v>12822.656481356378</v>
      </c>
      <c r="BL188" s="220">
        <f t="shared" si="182"/>
        <v>12267.714220265389</v>
      </c>
      <c r="BN188" s="203"/>
    </row>
    <row r="189" spans="6:66" s="146" customFormat="1" ht="12.75" customHeight="1">
      <c r="F189" s="238"/>
      <c r="G189" s="231" t="s">
        <v>81</v>
      </c>
      <c r="H189" s="238"/>
      <c r="I189" s="238"/>
      <c r="J189" s="238"/>
      <c r="K189" s="238"/>
      <c r="L189" s="232" t="s">
        <v>184</v>
      </c>
      <c r="M189" s="147"/>
      <c r="P189" s="239"/>
      <c r="Q189" s="220">
        <f>Q164+Q178</f>
        <v>45504.98819176432</v>
      </c>
      <c r="R189" s="220">
        <f aca="true" t="shared" si="183" ref="R189:AK189">R164+R178</f>
        <v>52365.14956784881</v>
      </c>
      <c r="S189" s="220">
        <f t="shared" si="183"/>
        <v>89592.70664871811</v>
      </c>
      <c r="T189" s="220">
        <f t="shared" si="183"/>
        <v>305105.3197107702</v>
      </c>
      <c r="U189" s="220">
        <f t="shared" si="183"/>
        <v>309756.2474654218</v>
      </c>
      <c r="V189" s="220">
        <f t="shared" si="183"/>
        <v>322466.9483852787</v>
      </c>
      <c r="W189" s="220">
        <f t="shared" si="183"/>
        <v>336076.43293159513</v>
      </c>
      <c r="X189" s="220">
        <f t="shared" si="183"/>
        <v>40335.02774114585</v>
      </c>
      <c r="Y189" s="220">
        <f t="shared" si="183"/>
        <v>38617.933342182645</v>
      </c>
      <c r="Z189" s="220">
        <f t="shared" si="183"/>
        <v>36973.93702546015</v>
      </c>
      <c r="AA189" s="220">
        <f t="shared" si="183"/>
        <v>35399.926947135835</v>
      </c>
      <c r="AB189" s="220">
        <f t="shared" si="183"/>
        <v>33892.92373705542</v>
      </c>
      <c r="AC189" s="220">
        <f t="shared" si="183"/>
        <v>32450.07485923014</v>
      </c>
      <c r="AD189" s="220">
        <f t="shared" si="183"/>
        <v>31068.649212411976</v>
      </c>
      <c r="AE189" s="220">
        <f t="shared" si="183"/>
        <v>29746.031960520533</v>
      </c>
      <c r="AF189" s="220">
        <f t="shared" si="183"/>
        <v>28479.719583135426</v>
      </c>
      <c r="AG189" s="220">
        <f t="shared" si="183"/>
        <v>27267.31513670639</v>
      </c>
      <c r="AH189" s="220">
        <f t="shared" si="183"/>
        <v>26106.52371748415</v>
      </c>
      <c r="AI189" s="220">
        <f t="shared" si="183"/>
        <v>24995.14811761173</v>
      </c>
      <c r="AJ189" s="220">
        <f t="shared" si="183"/>
        <v>23931.084666126833</v>
      </c>
      <c r="AK189" s="220">
        <f t="shared" si="183"/>
        <v>22912.31924702161</v>
      </c>
      <c r="AM189" s="203"/>
      <c r="AQ189" s="239"/>
      <c r="AR189" s="220">
        <f aca="true" t="shared" si="184" ref="AR189:BL189">AR164+AR178</f>
        <v>45504.98819176432</v>
      </c>
      <c r="AS189" s="220">
        <f t="shared" si="184"/>
        <v>49746.89208945636</v>
      </c>
      <c r="AT189" s="220">
        <f t="shared" si="184"/>
        <v>67144.87885600666</v>
      </c>
      <c r="AU189" s="220">
        <f t="shared" si="184"/>
        <v>228490.94380221138</v>
      </c>
      <c r="AV189" s="220">
        <f t="shared" si="184"/>
        <v>231802.5772038892</v>
      </c>
      <c r="AW189" s="220">
        <f t="shared" si="184"/>
        <v>241136.17498530867</v>
      </c>
      <c r="AX189" s="220">
        <f t="shared" si="184"/>
        <v>251127.4536346591</v>
      </c>
      <c r="AY189" s="220">
        <f t="shared" si="184"/>
        <v>30117.399383944787</v>
      </c>
      <c r="AZ189" s="220">
        <f t="shared" si="184"/>
        <v>28813.97074288225</v>
      </c>
      <c r="BA189" s="220">
        <f t="shared" si="184"/>
        <v>27566.95222544008</v>
      </c>
      <c r="BB189" s="220">
        <f t="shared" si="184"/>
        <v>26373.90249961928</v>
      </c>
      <c r="BC189" s="220">
        <f t="shared" si="184"/>
        <v>25232.485890026634</v>
      </c>
      <c r="BD189" s="220">
        <f t="shared" si="184"/>
        <v>24140.467805231852</v>
      </c>
      <c r="BE189" s="220">
        <f t="shared" si="184"/>
        <v>23095.710363034777</v>
      </c>
      <c r="BF189" s="220">
        <f t="shared" si="184"/>
        <v>22096.168205058893</v>
      </c>
      <c r="BG189" s="220">
        <f t="shared" si="184"/>
        <v>21139.884492476493</v>
      </c>
      <c r="BH189" s="220">
        <f t="shared" si="184"/>
        <v>20224.98707504166</v>
      </c>
      <c r="BI189" s="220">
        <f t="shared" si="184"/>
        <v>19349.68482591096</v>
      </c>
      <c r="BJ189" s="220">
        <f t="shared" si="184"/>
        <v>18512.264135097037</v>
      </c>
      <c r="BK189" s="220">
        <f t="shared" si="184"/>
        <v>17711.085554669873</v>
      </c>
      <c r="BL189" s="220">
        <f t="shared" si="184"/>
        <v>16944.58058915228</v>
      </c>
      <c r="BN189" s="203"/>
    </row>
    <row r="190" spans="6:66" s="146" customFormat="1" ht="12.75" customHeight="1">
      <c r="F190" s="238"/>
      <c r="G190" s="231" t="s">
        <v>82</v>
      </c>
      <c r="H190" s="238"/>
      <c r="I190" s="238"/>
      <c r="J190" s="238"/>
      <c r="K190" s="238"/>
      <c r="L190" s="232" t="s">
        <v>184</v>
      </c>
      <c r="M190" s="147"/>
      <c r="P190" s="239"/>
      <c r="Q190" s="220">
        <f aca="true" t="shared" si="185" ref="Q190:AK190">Q165+Q179</f>
        <v>4526.625370628615</v>
      </c>
      <c r="R190" s="220">
        <f t="shared" si="185"/>
        <v>5209.042436659442</v>
      </c>
      <c r="S190" s="220">
        <f t="shared" si="185"/>
        <v>8912.267315185754</v>
      </c>
      <c r="T190" s="220">
        <f t="shared" si="185"/>
        <v>30350.463450213254</v>
      </c>
      <c r="U190" s="220">
        <f t="shared" si="185"/>
        <v>30813.116192423528</v>
      </c>
      <c r="V190" s="220">
        <f t="shared" si="185"/>
        <v>32077.51782285206</v>
      </c>
      <c r="W190" s="220">
        <f t="shared" si="185"/>
        <v>33431.326283782124</v>
      </c>
      <c r="X190" s="220">
        <f t="shared" si="185"/>
        <v>4012.34166084508</v>
      </c>
      <c r="Y190" s="220">
        <f t="shared" si="185"/>
        <v>3841.533066469596</v>
      </c>
      <c r="Z190" s="220">
        <f t="shared" si="185"/>
        <v>3677.995930603551</v>
      </c>
      <c r="AA190" s="220">
        <f t="shared" si="185"/>
        <v>3521.420701440988</v>
      </c>
      <c r="AB190" s="220">
        <f t="shared" si="185"/>
        <v>3371.511005044079</v>
      </c>
      <c r="AC190" s="220">
        <f t="shared" si="185"/>
        <v>3227.9830843505833</v>
      </c>
      <c r="AD190" s="220">
        <f t="shared" si="185"/>
        <v>3090.5652620632704</v>
      </c>
      <c r="AE190" s="220">
        <f t="shared" si="185"/>
        <v>2958.997426405053</v>
      </c>
      <c r="AF190" s="220">
        <f t="shared" si="185"/>
        <v>2833.0305387650387</v>
      </c>
      <c r="AG190" s="220">
        <f t="shared" si="185"/>
        <v>2712.4261623053644</v>
      </c>
      <c r="AH190" s="220">
        <f t="shared" si="185"/>
        <v>2596.9560106351078</v>
      </c>
      <c r="AI190" s="220">
        <f t="shared" si="185"/>
        <v>2486.4015156975593</v>
      </c>
      <c r="AJ190" s="220">
        <f t="shared" si="185"/>
        <v>2380.5534140530553</v>
      </c>
      <c r="AK190" s="220">
        <f t="shared" si="185"/>
        <v>2279.211350774158</v>
      </c>
      <c r="AM190" s="203"/>
      <c r="AQ190" s="239"/>
      <c r="AR190" s="220">
        <f aca="true" t="shared" si="186" ref="AR190:BL190">AR165+AR179</f>
        <v>4526.625370628615</v>
      </c>
      <c r="AS190" s="220">
        <f t="shared" si="186"/>
        <v>4948.59031482647</v>
      </c>
      <c r="AT190" s="220">
        <f t="shared" si="186"/>
        <v>6679.261421990508</v>
      </c>
      <c r="AU190" s="220">
        <f t="shared" si="186"/>
        <v>22729.22033987384</v>
      </c>
      <c r="AV190" s="220">
        <f t="shared" si="186"/>
        <v>23058.646285686256</v>
      </c>
      <c r="AW190" s="220">
        <f t="shared" si="186"/>
        <v>23987.109344254066</v>
      </c>
      <c r="AX190" s="220">
        <f t="shared" si="186"/>
        <v>24980.995448093432</v>
      </c>
      <c r="AY190" s="220">
        <f t="shared" si="186"/>
        <v>2995.939336896527</v>
      </c>
      <c r="AZ190" s="220">
        <f t="shared" si="186"/>
        <v>2866.2802953301075</v>
      </c>
      <c r="BA190" s="220">
        <f t="shared" si="186"/>
        <v>2742.2326714759497</v>
      </c>
      <c r="BB190" s="220">
        <f t="shared" si="186"/>
        <v>2623.5536129392995</v>
      </c>
      <c r="BC190" s="220">
        <f t="shared" si="186"/>
        <v>2510.01077755457</v>
      </c>
      <c r="BD190" s="220">
        <f t="shared" si="186"/>
        <v>2401.381878520788</v>
      </c>
      <c r="BE190" s="220">
        <f t="shared" si="186"/>
        <v>2297.4542492228475</v>
      </c>
      <c r="BF190" s="220">
        <f t="shared" si="186"/>
        <v>2198.0244268868955</v>
      </c>
      <c r="BG190" s="220">
        <f t="shared" si="186"/>
        <v>2102.897754253726</v>
      </c>
      <c r="BH190" s="220">
        <f t="shared" si="186"/>
        <v>2011.8879984917062</v>
      </c>
      <c r="BI190" s="220">
        <f t="shared" si="186"/>
        <v>1924.816986602112</v>
      </c>
      <c r="BJ190" s="220">
        <f t="shared" si="186"/>
        <v>1841.514256603527</v>
      </c>
      <c r="BK190" s="220">
        <f t="shared" si="186"/>
        <v>1761.816723812499</v>
      </c>
      <c r="BL190" s="220">
        <f t="shared" si="186"/>
        <v>1685.5683615670464</v>
      </c>
      <c r="BN190" s="203"/>
    </row>
    <row r="191" spans="6:66" s="146" customFormat="1" ht="12.75" customHeight="1">
      <c r="F191" s="238"/>
      <c r="G191" s="231" t="s">
        <v>189</v>
      </c>
      <c r="H191" s="238"/>
      <c r="I191" s="238"/>
      <c r="J191" s="238"/>
      <c r="K191" s="238"/>
      <c r="L191" s="232" t="s">
        <v>184</v>
      </c>
      <c r="M191" s="147"/>
      <c r="P191" s="239"/>
      <c r="Q191" s="220">
        <f aca="true" t="shared" si="187" ref="Q191:AK191">Q166+Q180</f>
        <v>68566.54191558239</v>
      </c>
      <c r="R191" s="220">
        <f t="shared" si="187"/>
        <v>78903.37665024324</v>
      </c>
      <c r="S191" s="220">
        <f t="shared" si="187"/>
        <v>134997.55345220823</v>
      </c>
      <c r="T191" s="220">
        <f t="shared" si="187"/>
        <v>459730.1861601605</v>
      </c>
      <c r="U191" s="220">
        <f t="shared" si="187"/>
        <v>466738.165845635</v>
      </c>
      <c r="V191" s="220">
        <f t="shared" si="187"/>
        <v>485890.54544246296</v>
      </c>
      <c r="W191" s="220">
        <f t="shared" si="187"/>
        <v>506397.2048148812</v>
      </c>
      <c r="X191" s="220">
        <f t="shared" si="187"/>
        <v>60776.488033019275</v>
      </c>
      <c r="Y191" s="220">
        <f t="shared" si="187"/>
        <v>58189.18431626346</v>
      </c>
      <c r="Z191" s="220">
        <f t="shared" si="187"/>
        <v>55712.02418857315</v>
      </c>
      <c r="AA191" s="220">
        <f t="shared" si="187"/>
        <v>53340.318749245474</v>
      </c>
      <c r="AB191" s="220">
        <f t="shared" si="187"/>
        <v>51069.57870783548</v>
      </c>
      <c r="AC191" s="220">
        <f t="shared" si="187"/>
        <v>48895.50588658025</v>
      </c>
      <c r="AD191" s="220">
        <f t="shared" si="187"/>
        <v>46813.98508458286</v>
      </c>
      <c r="AE191" s="220">
        <f t="shared" si="187"/>
        <v>44821.076288345364</v>
      </c>
      <c r="AF191" s="220">
        <f t="shared" si="187"/>
        <v>42913.007213888806</v>
      </c>
      <c r="AG191" s="220">
        <f t="shared" si="187"/>
        <v>41086.16616638782</v>
      </c>
      <c r="AH191" s="220">
        <f t="shared" si="187"/>
        <v>39337.09520375083</v>
      </c>
      <c r="AI191" s="220">
        <f t="shared" si="187"/>
        <v>37662.48359125202</v>
      </c>
      <c r="AJ191" s="220">
        <f t="shared" si="187"/>
        <v>36059.161534785155</v>
      </c>
      <c r="AK191" s="220">
        <f t="shared" si="187"/>
        <v>34524.094180920874</v>
      </c>
      <c r="AM191" s="203"/>
      <c r="AQ191" s="239"/>
      <c r="AR191" s="220">
        <f aca="true" t="shared" si="188" ref="AR191:BL191">AR166+AR180</f>
        <v>68566.54191558239</v>
      </c>
      <c r="AS191" s="220">
        <f t="shared" si="188"/>
        <v>74958.20781773105</v>
      </c>
      <c r="AT191" s="220">
        <f t="shared" si="188"/>
        <v>101173.35117406568</v>
      </c>
      <c r="AU191" s="220">
        <f t="shared" si="188"/>
        <v>344288.27471667767</v>
      </c>
      <c r="AV191" s="220">
        <f t="shared" si="188"/>
        <v>349278.21668717696</v>
      </c>
      <c r="AW191" s="220">
        <f t="shared" si="188"/>
        <v>363342.0050526632</v>
      </c>
      <c r="AX191" s="220">
        <f t="shared" si="188"/>
        <v>378396.78154032957</v>
      </c>
      <c r="AY191" s="220">
        <f t="shared" si="188"/>
        <v>45380.64966735492</v>
      </c>
      <c r="AZ191" s="220">
        <f t="shared" si="188"/>
        <v>43416.65411208241</v>
      </c>
      <c r="BA191" s="220">
        <f t="shared" si="188"/>
        <v>41537.65686709</v>
      </c>
      <c r="BB191" s="220">
        <f t="shared" si="188"/>
        <v>39739.979353404735</v>
      </c>
      <c r="BC191" s="220">
        <f t="shared" si="188"/>
        <v>38020.102194553736</v>
      </c>
      <c r="BD191" s="220">
        <f t="shared" si="188"/>
        <v>36374.65832655149</v>
      </c>
      <c r="BE191" s="220">
        <f t="shared" si="188"/>
        <v>34800.42640608312</v>
      </c>
      <c r="BF191" s="220">
        <f t="shared" si="188"/>
        <v>33294.32450397075</v>
      </c>
      <c r="BG191" s="220">
        <f t="shared" si="188"/>
        <v>31853.40407156304</v>
      </c>
      <c r="BH191" s="220">
        <f t="shared" si="188"/>
        <v>30474.844168268894</v>
      </c>
      <c r="BI191" s="220">
        <f t="shared" si="188"/>
        <v>29155.945938894398</v>
      </c>
      <c r="BJ191" s="220">
        <f t="shared" si="188"/>
        <v>27894.127330005755</v>
      </c>
      <c r="BK191" s="220">
        <f t="shared" si="188"/>
        <v>26686.918034944352</v>
      </c>
      <c r="BL191" s="220">
        <f t="shared" si="188"/>
        <v>25531.954657629907</v>
      </c>
      <c r="BN191" s="203"/>
    </row>
    <row r="192" spans="6:66" s="146" customFormat="1" ht="12.75" customHeight="1">
      <c r="F192" s="238"/>
      <c r="G192" s="231" t="s">
        <v>84</v>
      </c>
      <c r="H192" s="238"/>
      <c r="I192" s="238"/>
      <c r="J192" s="238"/>
      <c r="K192" s="238"/>
      <c r="L192" s="232" t="s">
        <v>184</v>
      </c>
      <c r="M192" s="147"/>
      <c r="P192" s="239"/>
      <c r="Q192" s="220">
        <f aca="true" t="shared" si="189" ref="Q192:AK192">Q167+Q181</f>
        <v>38710.95231783307</v>
      </c>
      <c r="R192" s="220">
        <f t="shared" si="189"/>
        <v>44546.87032319836</v>
      </c>
      <c r="S192" s="220">
        <f t="shared" si="189"/>
        <v>76216.23766802394</v>
      </c>
      <c r="T192" s="220">
        <f t="shared" si="189"/>
        <v>259552.14917248196</v>
      </c>
      <c r="U192" s="220">
        <f t="shared" si="189"/>
        <v>263508.6789881865</v>
      </c>
      <c r="V192" s="220">
        <f t="shared" si="189"/>
        <v>274321.6328375819</v>
      </c>
      <c r="W192" s="220">
        <f t="shared" si="189"/>
        <v>285899.1791303657</v>
      </c>
      <c r="X192" s="220">
        <f t="shared" si="189"/>
        <v>34312.882997485736</v>
      </c>
      <c r="Y192" s="220">
        <f t="shared" si="189"/>
        <v>32852.15611797581</v>
      </c>
      <c r="Z192" s="220">
        <f t="shared" si="189"/>
        <v>31453.613550309346</v>
      </c>
      <c r="AA192" s="220">
        <f t="shared" si="189"/>
        <v>30114.60805858177</v>
      </c>
      <c r="AB192" s="220">
        <f t="shared" si="189"/>
        <v>28832.60510184154</v>
      </c>
      <c r="AC192" s="220">
        <f t="shared" si="189"/>
        <v>27605.178036571917</v>
      </c>
      <c r="AD192" s="220">
        <f t="shared" si="189"/>
        <v>26430.003523412</v>
      </c>
      <c r="AE192" s="220">
        <f t="shared" si="189"/>
        <v>25304.857129418735</v>
      </c>
      <c r="AF192" s="220">
        <f t="shared" si="189"/>
        <v>24227.609117532636</v>
      </c>
      <c r="AG192" s="220">
        <f t="shared" si="189"/>
        <v>23196.220415312426</v>
      </c>
      <c r="AH192" s="220">
        <f t="shared" si="189"/>
        <v>22208.7387552562</v>
      </c>
      <c r="AI192" s="220">
        <f t="shared" si="189"/>
        <v>21263.294979454062</v>
      </c>
      <c r="AJ192" s="220">
        <f t="shared" si="189"/>
        <v>20358.099501542576</v>
      </c>
      <c r="AK192" s="220">
        <f t="shared" si="189"/>
        <v>19491.438919282</v>
      </c>
      <c r="AM192" s="203"/>
      <c r="AQ192" s="239"/>
      <c r="AR192" s="220">
        <f aca="true" t="shared" si="190" ref="AR192:BL192">AR167+AR181</f>
        <v>38710.95231783307</v>
      </c>
      <c r="AS192" s="220">
        <f t="shared" si="190"/>
        <v>42319.52680703843</v>
      </c>
      <c r="AT192" s="220">
        <f t="shared" si="190"/>
        <v>57119.940188270935</v>
      </c>
      <c r="AU192" s="220">
        <f t="shared" si="190"/>
        <v>194376.5372119118</v>
      </c>
      <c r="AV192" s="220">
        <f t="shared" si="190"/>
        <v>197193.73347545663</v>
      </c>
      <c r="AW192" s="220">
        <f t="shared" si="190"/>
        <v>205133.7961593046</v>
      </c>
      <c r="AX192" s="220">
        <f t="shared" si="190"/>
        <v>213633.34591765786</v>
      </c>
      <c r="AY192" s="220">
        <f t="shared" si="190"/>
        <v>25620.77824470311</v>
      </c>
      <c r="AZ192" s="220">
        <f t="shared" si="190"/>
        <v>24511.95554242608</v>
      </c>
      <c r="BA192" s="220">
        <f t="shared" si="190"/>
        <v>23451.120757353026</v>
      </c>
      <c r="BB192" s="220">
        <f t="shared" si="190"/>
        <v>22436.197055924862</v>
      </c>
      <c r="BC192" s="220">
        <f t="shared" si="190"/>
        <v>21465.197486327343</v>
      </c>
      <c r="BD192" s="220">
        <f t="shared" si="190"/>
        <v>20536.221088562615</v>
      </c>
      <c r="BE192" s="220">
        <f t="shared" si="190"/>
        <v>19647.449172873865</v>
      </c>
      <c r="BF192" s="220">
        <f t="shared" si="190"/>
        <v>18797.141759234342</v>
      </c>
      <c r="BG192" s="220">
        <f t="shared" si="190"/>
        <v>17983.634170920574</v>
      </c>
      <c r="BH192" s="220">
        <f t="shared" si="190"/>
        <v>17205.33377552692</v>
      </c>
      <c r="BI192" s="220">
        <f t="shared" si="190"/>
        <v>16460.71686700285</v>
      </c>
      <c r="BJ192" s="220">
        <f t="shared" si="190"/>
        <v>15748.32568264641</v>
      </c>
      <c r="BK192" s="220">
        <f t="shared" si="190"/>
        <v>15066.765549188061</v>
      </c>
      <c r="BL192" s="220">
        <f t="shared" si="190"/>
        <v>14414.702152391032</v>
      </c>
      <c r="BN192" s="203"/>
    </row>
    <row r="193" spans="6:66" s="146" customFormat="1" ht="12.75" customHeight="1">
      <c r="F193" s="238"/>
      <c r="G193" s="231" t="s">
        <v>190</v>
      </c>
      <c r="H193" s="238"/>
      <c r="I193" s="238"/>
      <c r="J193" s="238"/>
      <c r="K193" s="238"/>
      <c r="L193" s="232" t="s">
        <v>184</v>
      </c>
      <c r="M193" s="147"/>
      <c r="P193" s="239"/>
      <c r="Q193" s="220">
        <f aca="true" t="shared" si="191" ref="Q193:AK193">Q168+Q182</f>
        <v>28057.887822587603</v>
      </c>
      <c r="R193" s="220">
        <f t="shared" si="191"/>
        <v>32287.789773641598</v>
      </c>
      <c r="S193" s="220">
        <f t="shared" si="191"/>
        <v>55241.90232240709</v>
      </c>
      <c r="T193" s="220">
        <f t="shared" si="191"/>
        <v>188124.6688482575</v>
      </c>
      <c r="U193" s="220">
        <f t="shared" si="191"/>
        <v>190992.38103534878</v>
      </c>
      <c r="V193" s="220">
        <f t="shared" si="191"/>
        <v>198829.66294064024</v>
      </c>
      <c r="W193" s="220">
        <f t="shared" si="191"/>
        <v>207221.1251934066</v>
      </c>
      <c r="X193" s="220">
        <f t="shared" si="191"/>
        <v>24870.145640140097</v>
      </c>
      <c r="Y193" s="220">
        <f t="shared" si="191"/>
        <v>23811.40364412268</v>
      </c>
      <c r="Z193" s="220">
        <f t="shared" si="191"/>
        <v>22797.733141869678</v>
      </c>
      <c r="AA193" s="220">
        <f t="shared" si="191"/>
        <v>21827.215403833623</v>
      </c>
      <c r="AB193" s="220">
        <f t="shared" si="191"/>
        <v>20898.013382320194</v>
      </c>
      <c r="AC193" s="220">
        <f t="shared" si="191"/>
        <v>20008.368234224155</v>
      </c>
      <c r="AD193" s="220">
        <f t="shared" si="191"/>
        <v>19156.59599179826</v>
      </c>
      <c r="AE193" s="220">
        <f t="shared" si="191"/>
        <v>18341.084375151233</v>
      </c>
      <c r="AF193" s="220">
        <f t="shared" si="191"/>
        <v>17560.289740432945</v>
      </c>
      <c r="AG193" s="220">
        <f t="shared" si="191"/>
        <v>16812.73415795142</v>
      </c>
      <c r="AH193" s="220">
        <f t="shared" si="191"/>
        <v>16097.002614659468</v>
      </c>
      <c r="AI193" s="220">
        <f t="shared" si="191"/>
        <v>15411.740335751669</v>
      </c>
      <c r="AJ193" s="220">
        <f t="shared" si="191"/>
        <v>14755.650220266529</v>
      </c>
      <c r="AK193" s="220">
        <f t="shared" si="191"/>
        <v>14127.49038586981</v>
      </c>
      <c r="AM193" s="203"/>
      <c r="AQ193" s="239"/>
      <c r="AR193" s="220">
        <f aca="true" t="shared" si="192" ref="AR193:BL193">AR168+AR182</f>
        <v>28057.887822587603</v>
      </c>
      <c r="AS193" s="220">
        <f t="shared" si="192"/>
        <v>30673.400284959516</v>
      </c>
      <c r="AT193" s="220">
        <f t="shared" si="192"/>
        <v>41400.81238706999</v>
      </c>
      <c r="AU193" s="220">
        <f t="shared" si="192"/>
        <v>140885.06610886037</v>
      </c>
      <c r="AV193" s="220">
        <f t="shared" si="192"/>
        <v>142926.98375758575</v>
      </c>
      <c r="AW193" s="220">
        <f t="shared" si="192"/>
        <v>148681.98007642064</v>
      </c>
      <c r="AX193" s="220">
        <f t="shared" si="192"/>
        <v>154842.49536688306</v>
      </c>
      <c r="AY193" s="220">
        <f t="shared" si="192"/>
        <v>18570.065546698286</v>
      </c>
      <c r="AZ193" s="220">
        <f t="shared" si="192"/>
        <v>17766.385421751133</v>
      </c>
      <c r="BA193" s="220">
        <f t="shared" si="192"/>
        <v>16997.487174208545</v>
      </c>
      <c r="BB193" s="220">
        <f t="shared" si="192"/>
        <v>16261.86550493637</v>
      </c>
      <c r="BC193" s="220">
        <f t="shared" si="192"/>
        <v>15558.080261528776</v>
      </c>
      <c r="BD193" s="220">
        <f t="shared" si="192"/>
        <v>14884.753618869496</v>
      </c>
      <c r="BE193" s="220">
        <f t="shared" si="192"/>
        <v>14240.567381715833</v>
      </c>
      <c r="BF193" s="220">
        <f t="shared" si="192"/>
        <v>13624.26040402288</v>
      </c>
      <c r="BG193" s="220">
        <f t="shared" si="192"/>
        <v>13034.626119949433</v>
      </c>
      <c r="BH193" s="220">
        <f t="shared" si="192"/>
        <v>12470.510181727843</v>
      </c>
      <c r="BI193" s="220">
        <f t="shared" si="192"/>
        <v>11930.808199749907</v>
      </c>
      <c r="BJ193" s="220">
        <f t="shared" si="192"/>
        <v>11414.463580471256</v>
      </c>
      <c r="BK193" s="220">
        <f t="shared" si="192"/>
        <v>10920.465457875147</v>
      </c>
      <c r="BL193" s="220">
        <f t="shared" si="192"/>
        <v>10447.846714468364</v>
      </c>
      <c r="BN193" s="203"/>
    </row>
    <row r="194" spans="6:66" s="233" customFormat="1" ht="12.75" customHeight="1">
      <c r="F194" s="240"/>
      <c r="G194" s="235" t="s">
        <v>384</v>
      </c>
      <c r="H194" s="240"/>
      <c r="I194" s="240"/>
      <c r="J194" s="240"/>
      <c r="K194" s="240"/>
      <c r="L194" s="224" t="s">
        <v>184</v>
      </c>
      <c r="M194" s="236"/>
      <c r="P194" s="239"/>
      <c r="Q194" s="237">
        <f>SUM(Q185:Q193)</f>
        <v>1167100.0862505054</v>
      </c>
      <c r="R194" s="237">
        <f aca="true" t="shared" si="193" ref="R194:AK194">SUM(R185:R193)</f>
        <v>1352432.3268555738</v>
      </c>
      <c r="S194" s="237">
        <f t="shared" si="193"/>
        <v>2330121.270550639</v>
      </c>
      <c r="T194" s="237">
        <f t="shared" si="193"/>
        <v>7990921.366939021</v>
      </c>
      <c r="U194" s="237">
        <f t="shared" si="193"/>
        <v>8169902.3005691</v>
      </c>
      <c r="V194" s="237">
        <f t="shared" si="193"/>
        <v>8565252.562640764</v>
      </c>
      <c r="W194" s="237">
        <f t="shared" si="193"/>
        <v>8989998.748344805</v>
      </c>
      <c r="X194" s="237">
        <f t="shared" si="193"/>
        <v>1086623.0965375446</v>
      </c>
      <c r="Y194" s="237">
        <f t="shared" si="193"/>
        <v>1047777.2312268865</v>
      </c>
      <c r="Z194" s="237">
        <f t="shared" si="193"/>
        <v>1010339.4284235777</v>
      </c>
      <c r="AA194" s="237">
        <f t="shared" si="193"/>
        <v>974257.885700925</v>
      </c>
      <c r="AB194" s="237">
        <f t="shared" si="193"/>
        <v>939482.7361624027</v>
      </c>
      <c r="AC194" s="237">
        <f t="shared" si="193"/>
        <v>905965.9749830553</v>
      </c>
      <c r="AD194" s="237">
        <f t="shared" si="193"/>
        <v>873661.3887821595</v>
      </c>
      <c r="AE194" s="237">
        <f t="shared" si="193"/>
        <v>842524.4877161477</v>
      </c>
      <c r="AF194" s="237">
        <f t="shared" si="193"/>
        <v>812512.4401852288</v>
      </c>
      <c r="AG194" s="237">
        <f t="shared" si="193"/>
        <v>783584.0100522947</v>
      </c>
      <c r="AH194" s="237">
        <f t="shared" si="193"/>
        <v>755699.4962751261</v>
      </c>
      <c r="AI194" s="237">
        <f t="shared" si="193"/>
        <v>728820.6748587048</v>
      </c>
      <c r="AJ194" s="237">
        <f t="shared" si="193"/>
        <v>702910.7430362445</v>
      </c>
      <c r="AK194" s="237">
        <f t="shared" si="193"/>
        <v>677934.265592933</v>
      </c>
      <c r="AM194" s="207"/>
      <c r="AQ194" s="239"/>
      <c r="AR194" s="237">
        <f>SUM(AR185:AR193)</f>
        <v>1167100.0862505054</v>
      </c>
      <c r="AS194" s="237">
        <f>SUM(AS185:AS193)</f>
        <v>1284810.7105127948</v>
      </c>
      <c r="AT194" s="237">
        <f aca="true" t="shared" si="194" ref="AT194:BL194">SUM(AT185:AT193)</f>
        <v>1745700.5706765954</v>
      </c>
      <c r="AU194" s="237">
        <f>SUM(AU185:AU193)</f>
        <v>5980221.046424503</v>
      </c>
      <c r="AV194" s="237">
        <f t="shared" si="194"/>
        <v>6107529.633531418</v>
      </c>
      <c r="AW194" s="237">
        <f t="shared" si="194"/>
        <v>6396117.412551715</v>
      </c>
      <c r="AX194" s="237">
        <f t="shared" si="194"/>
        <v>6705985.636404364</v>
      </c>
      <c r="AY194" s="237">
        <f t="shared" si="194"/>
        <v>809669.6452424236</v>
      </c>
      <c r="AZ194" s="237">
        <f t="shared" si="194"/>
        <v>779871.4660670721</v>
      </c>
      <c r="BA194" s="237">
        <f t="shared" si="194"/>
        <v>751182.9786251553</v>
      </c>
      <c r="BB194" s="237">
        <f t="shared" si="194"/>
        <v>723562.3317772395</v>
      </c>
      <c r="BC194" s="237">
        <f t="shared" si="194"/>
        <v>696969.273741381</v>
      </c>
      <c r="BD194" s="237">
        <f t="shared" si="194"/>
        <v>671365.0901469216</v>
      </c>
      <c r="BE194" s="237">
        <f t="shared" si="194"/>
        <v>646712.5445198801</v>
      </c>
      <c r="BF194" s="237">
        <f t="shared" si="194"/>
        <v>622975.8211030633</v>
      </c>
      <c r="BG194" s="237">
        <f t="shared" si="194"/>
        <v>600120.4699179283</v>
      </c>
      <c r="BH194" s="237">
        <f t="shared" si="194"/>
        <v>578113.3539796736</v>
      </c>
      <c r="BI194" s="237">
        <f t="shared" si="194"/>
        <v>556922.5985794032</v>
      </c>
      <c r="BJ194" s="237">
        <f t="shared" si="194"/>
        <v>536517.5425520757</v>
      </c>
      <c r="BK194" s="237">
        <f t="shared" si="194"/>
        <v>516868.69145079836</v>
      </c>
      <c r="BL194" s="237">
        <f t="shared" si="194"/>
        <v>497947.6725525532</v>
      </c>
      <c r="BN194" s="207"/>
    </row>
    <row r="195" spans="12:66" s="146" customFormat="1" ht="12.75">
      <c r="L195" s="241"/>
      <c r="M195" s="147"/>
      <c r="Q195" s="242"/>
      <c r="AM195" s="203"/>
      <c r="BN195" s="203"/>
    </row>
    <row r="196" spans="3:13" ht="12.75">
      <c r="C196" t="s">
        <v>74</v>
      </c>
      <c r="F196" s="158"/>
      <c r="L196" s="4"/>
      <c r="M196" s="63"/>
    </row>
    <row r="197" spans="4:13" ht="12.75">
      <c r="D197" t="s">
        <v>370</v>
      </c>
      <c r="L197" s="4"/>
      <c r="M197" s="63"/>
    </row>
    <row r="198" spans="4:64" ht="26.25" customHeight="1">
      <c r="D198" t="s">
        <v>365</v>
      </c>
      <c r="L198" s="183" t="s">
        <v>366</v>
      </c>
      <c r="M198" s="63"/>
      <c r="Q198" s="63">
        <f>'Data &amp; Assumptions'!$D$15</f>
        <v>1072.3076923076924</v>
      </c>
      <c r="R198" s="147">
        <f aca="true" t="shared" si="195" ref="R198:AK198">Q198*(1+Q16)</f>
        <v>1131.5278409952969</v>
      </c>
      <c r="S198" s="147">
        <f t="shared" si="195"/>
        <v>1194.0185304388242</v>
      </c>
      <c r="T198" s="147">
        <f t="shared" si="195"/>
        <v>1259.9603822184831</v>
      </c>
      <c r="U198" s="147">
        <f t="shared" si="195"/>
        <v>1379.2465722510024</v>
      </c>
      <c r="V198" s="147">
        <f t="shared" si="195"/>
        <v>1443.2392562547511</v>
      </c>
      <c r="W198" s="147">
        <f t="shared" si="195"/>
        <v>1510.2009986476176</v>
      </c>
      <c r="X198" s="147">
        <f t="shared" si="195"/>
        <v>1580.2695543597977</v>
      </c>
      <c r="Y198" s="147">
        <f t="shared" si="195"/>
        <v>1653.5890697150896</v>
      </c>
      <c r="Z198" s="147">
        <f t="shared" si="195"/>
        <v>1713.9866961508828</v>
      </c>
      <c r="AA198" s="147">
        <f t="shared" si="195"/>
        <v>1776.5903563261868</v>
      </c>
      <c r="AB198" s="147">
        <f t="shared" si="195"/>
        <v>1841.4806260044386</v>
      </c>
      <c r="AC198" s="147">
        <f t="shared" si="195"/>
        <v>1908.741023992755</v>
      </c>
      <c r="AD198" s="147">
        <f t="shared" si="195"/>
        <v>1978.4581196371103</v>
      </c>
      <c r="AE198" s="147">
        <f t="shared" si="195"/>
        <v>2050.7216442437966</v>
      </c>
      <c r="AF198" s="147">
        <f t="shared" si="195"/>
        <v>2117.593002208268</v>
      </c>
      <c r="AG198" s="147">
        <f t="shared" si="195"/>
        <v>2186.6449479324506</v>
      </c>
      <c r="AH198" s="147">
        <f t="shared" si="195"/>
        <v>2257.9485875389432</v>
      </c>
      <c r="AI198" s="147">
        <f t="shared" si="195"/>
        <v>2331.5773458282565</v>
      </c>
      <c r="AJ198" s="147">
        <f t="shared" si="195"/>
        <v>2407.6070418878735</v>
      </c>
      <c r="AK198" s="147">
        <f t="shared" si="195"/>
        <v>2486.1159671668256</v>
      </c>
      <c r="AL198" s="63"/>
      <c r="AR198" s="63">
        <f>'Data &amp; Assumptions'!$D$15</f>
        <v>1072.3076923076924</v>
      </c>
      <c r="AS198" s="63">
        <f aca="true" t="shared" si="196" ref="AS198:BL198">AR198*(1+AR16)</f>
        <v>1131.5278409952969</v>
      </c>
      <c r="AT198" s="63">
        <f t="shared" si="196"/>
        <v>1194.0185304388242</v>
      </c>
      <c r="AU198" s="63">
        <f t="shared" si="196"/>
        <v>1259.9603822184831</v>
      </c>
      <c r="AV198" s="147">
        <f t="shared" si="196"/>
        <v>1379.2465722510024</v>
      </c>
      <c r="AW198" s="63">
        <f t="shared" si="196"/>
        <v>1443.2392562547511</v>
      </c>
      <c r="AX198" s="63">
        <f t="shared" si="196"/>
        <v>1510.2009986476176</v>
      </c>
      <c r="AY198" s="63">
        <f t="shared" si="196"/>
        <v>1580.2695543597977</v>
      </c>
      <c r="AZ198" s="63">
        <f t="shared" si="196"/>
        <v>1653.5890697150896</v>
      </c>
      <c r="BA198" s="63">
        <f t="shared" si="196"/>
        <v>1713.9866961508828</v>
      </c>
      <c r="BB198" s="63">
        <f t="shared" si="196"/>
        <v>1776.5903563261868</v>
      </c>
      <c r="BC198" s="63">
        <f t="shared" si="196"/>
        <v>1841.4806260044386</v>
      </c>
      <c r="BD198" s="63">
        <f t="shared" si="196"/>
        <v>1908.741023992755</v>
      </c>
      <c r="BE198" s="63">
        <f t="shared" si="196"/>
        <v>1978.4581196371103</v>
      </c>
      <c r="BF198" s="63">
        <f t="shared" si="196"/>
        <v>2050.7216442437966</v>
      </c>
      <c r="BG198" s="63">
        <f t="shared" si="196"/>
        <v>2117.593002208268</v>
      </c>
      <c r="BH198" s="63">
        <f t="shared" si="196"/>
        <v>2186.6449479324506</v>
      </c>
      <c r="BI198" s="63">
        <f t="shared" si="196"/>
        <v>2257.9485875389432</v>
      </c>
      <c r="BJ198" s="63">
        <f t="shared" si="196"/>
        <v>2331.5773458282565</v>
      </c>
      <c r="BK198" s="63">
        <f t="shared" si="196"/>
        <v>2407.6070418878735</v>
      </c>
      <c r="BL198" s="63">
        <f t="shared" si="196"/>
        <v>2486.1159671668256</v>
      </c>
    </row>
    <row r="199" spans="4:64" ht="12.75">
      <c r="D199" s="18" t="s">
        <v>361</v>
      </c>
      <c r="E199" s="18"/>
      <c r="F199" s="18"/>
      <c r="G199" s="67"/>
      <c r="L199" s="182" t="s">
        <v>64</v>
      </c>
      <c r="M199" s="63"/>
      <c r="O199" s="75">
        <f>'Data &amp; Assumptions'!$D$141</f>
        <v>0.18</v>
      </c>
      <c r="P199" s="75">
        <f>IF(O199*(1+'Data &amp; Assumptions'!$D$142)&lt;'Data &amp; Assumptions'!$D$143,O199*(1+'Data &amp; Assumptions'!$D$142),'Data &amp; Assumptions'!$D$143)</f>
        <v>0.18639167443944482</v>
      </c>
      <c r="Q199" s="75">
        <f>IF(P199*(1+'Data &amp; Assumptions'!$D$142)&lt;'Data &amp; Assumptions'!$D$143,P199*(1+'Data &amp; Assumptions'!$D$142),'Data &amp; Assumptions'!$D$143)</f>
        <v>0.19301031277966663</v>
      </c>
      <c r="R199" s="246">
        <f>IF(Q199*(1+'Data &amp; Assumptions'!$D$142)&lt;'Data &amp; Assumptions'!$D$143,Q199*(1+'Data &amp; Assumptions'!$D$142),'Data &amp; Assumptions'!$D$143)</f>
        <v>0.19986397435046133</v>
      </c>
      <c r="S199" s="75">
        <f>IF(R199*(1+'Data &amp; Assumptions'!$D$142)&lt;'Data &amp; Assumptions'!$D$143,R199*(1+'Data &amp; Assumptions'!$D$142),'Data &amp; Assumptions'!$D$143)</f>
        <v>0.20696100466280412</v>
      </c>
      <c r="T199" s="75">
        <f>IF(S199*(1+'Data &amp; Assumptions'!$D$142)&lt;'Data &amp; Assumptions'!$D$143,S199*(1+'Data &amp; Assumptions'!$D$142),'Data &amp; Assumptions'!$D$143)</f>
        <v>0.21431004557094338</v>
      </c>
      <c r="U199" s="246">
        <f>IF(T199*(1+'Data &amp; Assumptions'!$D$142)&lt;'Data &amp; Assumptions'!$D$143,T199*(1+'Data &amp; Assumptions'!$D$142),'Data &amp; Assumptions'!$D$143)</f>
        <v>0.2219200457953437</v>
      </c>
      <c r="V199" s="75">
        <f>IF(U199*(1+'Data &amp; Assumptions'!$D$142)&lt;'Data &amp; Assumptions'!$D$143,U199*(1+'Data &amp; Assumptions'!$D$142),'Data &amp; Assumptions'!$D$143)</f>
        <v>0.22980027181929105</v>
      </c>
      <c r="W199" s="75">
        <f>IF(V199*(1+'Data &amp; Assumptions'!$D$142)&lt;'Data &amp; Assumptions'!$D$143,V199*(1+'Data &amp; Assumptions'!$D$142),'Data &amp; Assumptions'!$D$143)</f>
        <v>0.23</v>
      </c>
      <c r="X199" s="75">
        <f>IF(W199*(1+'Data &amp; Assumptions'!$D$142)&lt;'Data &amp; Assumptions'!$D$143,W199*(1+'Data &amp; Assumptions'!$D$142),'Data &amp; Assumptions'!$D$143)</f>
        <v>0.23</v>
      </c>
      <c r="Y199" s="75">
        <f>IF(X199*(1+'Data &amp; Assumptions'!$D$142)&lt;'Data &amp; Assumptions'!$D$143,X199*(1+'Data &amp; Assumptions'!$D$142),'Data &amp; Assumptions'!$D$143)</f>
        <v>0.23</v>
      </c>
      <c r="Z199" s="75">
        <f>IF(Y199*(1+'Data &amp; Assumptions'!$D$142)&lt;'Data &amp; Assumptions'!$D$143,Y199*(1+'Data &amp; Assumptions'!$D$142),'Data &amp; Assumptions'!$D$143)</f>
        <v>0.23</v>
      </c>
      <c r="AA199" s="75">
        <f>IF(Z199*(1+'Data &amp; Assumptions'!$D$142)&lt;'Data &amp; Assumptions'!$D$143,Z199*(1+'Data &amp; Assumptions'!$D$142),'Data &amp; Assumptions'!$D$143)</f>
        <v>0.23</v>
      </c>
      <c r="AB199" s="75">
        <f>IF(AA199*(1+'Data &amp; Assumptions'!$D$142)&lt;'Data &amp; Assumptions'!$D$143,AA199*(1+'Data &amp; Assumptions'!$D$142),'Data &amp; Assumptions'!$D$143)</f>
        <v>0.23</v>
      </c>
      <c r="AC199" s="75">
        <f>IF(AB199*(1+'Data &amp; Assumptions'!$D$142)&lt;'Data &amp; Assumptions'!$D$143,AB199*(1+'Data &amp; Assumptions'!$D$142),'Data &amp; Assumptions'!$D$143)</f>
        <v>0.23</v>
      </c>
      <c r="AD199" s="75">
        <f>IF(AC199*(1+'Data &amp; Assumptions'!$D$142)&lt;'Data &amp; Assumptions'!$D$143,AC199*(1+'Data &amp; Assumptions'!$D$142),'Data &amp; Assumptions'!$D$143)</f>
        <v>0.23</v>
      </c>
      <c r="AE199" s="75">
        <f>IF(AD199*(1+'Data &amp; Assumptions'!$D$142)&lt;'Data &amp; Assumptions'!$D$143,AD199*(1+'Data &amp; Assumptions'!$D$142),'Data &amp; Assumptions'!$D$143)</f>
        <v>0.23</v>
      </c>
      <c r="AF199" s="75">
        <f>IF(AE199*(1+'Data &amp; Assumptions'!$D$142)&lt;'Data &amp; Assumptions'!$D$143,AE199*(1+'Data &amp; Assumptions'!$D$142),'Data &amp; Assumptions'!$D$143)</f>
        <v>0.23</v>
      </c>
      <c r="AG199" s="75">
        <f>IF(AF199*(1+'Data &amp; Assumptions'!$D$142)&lt;'Data &amp; Assumptions'!$D$143,AF199*(1+'Data &amp; Assumptions'!$D$142),'Data &amp; Assumptions'!$D$143)</f>
        <v>0.23</v>
      </c>
      <c r="AH199" s="75">
        <f>IF(AG199*(1+'Data &amp; Assumptions'!$D$142)&lt;'Data &amp; Assumptions'!$D$143,AG199*(1+'Data &amp; Assumptions'!$D$142),'Data &amp; Assumptions'!$D$143)</f>
        <v>0.23</v>
      </c>
      <c r="AI199" s="75">
        <f>IF(AH199*(1+'Data &amp; Assumptions'!$D$142)&lt;'Data &amp; Assumptions'!$D$143,AH199*(1+'Data &amp; Assumptions'!$D$142),'Data &amp; Assumptions'!$D$143)</f>
        <v>0.23</v>
      </c>
      <c r="AJ199" s="75">
        <f>IF(AI199*(1+'Data &amp; Assumptions'!$D$142)&lt;'Data &amp; Assumptions'!$D$143,AI199*(1+'Data &amp; Assumptions'!$D$142),'Data &amp; Assumptions'!$D$143)</f>
        <v>0.23</v>
      </c>
      <c r="AK199" s="75">
        <f>IF(AJ199*(1+'Data &amp; Assumptions'!$D$142)&lt;'Data &amp; Assumptions'!$D$143,AJ199*(1+'Data &amp; Assumptions'!$D$142),'Data &amp; Assumptions'!$D$143)</f>
        <v>0.23</v>
      </c>
      <c r="AL199" s="75"/>
      <c r="AP199" s="75">
        <f>'Data &amp; Assumptions'!$D$141</f>
        <v>0.18</v>
      </c>
      <c r="AQ199" s="75">
        <f>IF(AP199*(1+'Data &amp; Assumptions'!$D$142)&lt;'Data &amp; Assumptions'!$D$143,AP199*(1+'Data &amp; Assumptions'!$D$142),'Data &amp; Assumptions'!$D$143)</f>
        <v>0.18639167443944482</v>
      </c>
      <c r="AR199" s="75">
        <f>IF(AQ199*(1+'Data &amp; Assumptions'!$D$142)&lt;'Data &amp; Assumptions'!$D$143,AQ199*(1+'Data &amp; Assumptions'!$D$142),'Data &amp; Assumptions'!$D$143)</f>
        <v>0.19301031277966663</v>
      </c>
      <c r="AS199" s="75">
        <f>IF(AR199*(1+'Data &amp; Assumptions'!$D$142)&lt;'Data &amp; Assumptions'!$D$143,AR199*(1+'Data &amp; Assumptions'!$D$142),'Data &amp; Assumptions'!$D$143)</f>
        <v>0.19986397435046133</v>
      </c>
      <c r="AT199" s="75">
        <f>IF(AS199*(1+'Data &amp; Assumptions'!$D$142)&lt;'Data &amp; Assumptions'!$D$143,AS199*(1+'Data &amp; Assumptions'!$D$142),'Data &amp; Assumptions'!$D$143)</f>
        <v>0.20696100466280412</v>
      </c>
      <c r="AU199" s="75">
        <f>IF(AT199*(1+'Data &amp; Assumptions'!$D$142)&lt;'Data &amp; Assumptions'!$D$143,AT199*(1+'Data &amp; Assumptions'!$D$142),'Data &amp; Assumptions'!$D$143)</f>
        <v>0.21431004557094338</v>
      </c>
      <c r="AV199" s="246">
        <f>IF(AU199*(1+'Data &amp; Assumptions'!$D$142)&lt;'Data &amp; Assumptions'!$D$143,AU199*(1+'Data &amp; Assumptions'!$D$142),'Data &amp; Assumptions'!$D$143)</f>
        <v>0.2219200457953437</v>
      </c>
      <c r="AW199" s="75">
        <f>IF(AV199*(1+'Data &amp; Assumptions'!$D$142)&lt;'Data &amp; Assumptions'!$D$143,AV199*(1+'Data &amp; Assumptions'!$D$142),'Data &amp; Assumptions'!$D$143)</f>
        <v>0.22980027181929105</v>
      </c>
      <c r="AX199" s="75">
        <f>IF(AW199*(1+'Data &amp; Assumptions'!$D$142)&lt;'Data &amp; Assumptions'!$D$143,AW199*(1+'Data &amp; Assumptions'!$D$142),'Data &amp; Assumptions'!$D$143)</f>
        <v>0.23</v>
      </c>
      <c r="AY199" s="75">
        <f>IF(AX199*(1+'Data &amp; Assumptions'!$D$142)&lt;'Data &amp; Assumptions'!$D$143,AX199*(1+'Data &amp; Assumptions'!$D$142),'Data &amp; Assumptions'!$D$143)</f>
        <v>0.23</v>
      </c>
      <c r="AZ199" s="75">
        <f>IF(AY199*(1+'Data &amp; Assumptions'!$D$142)&lt;'Data &amp; Assumptions'!$D$143,AY199*(1+'Data &amp; Assumptions'!$D$142),'Data &amp; Assumptions'!$D$143)</f>
        <v>0.23</v>
      </c>
      <c r="BA199" s="75">
        <f>IF(AZ199*(1+'Data &amp; Assumptions'!$D$142)&lt;'Data &amp; Assumptions'!$D$143,AZ199*(1+'Data &amp; Assumptions'!$D$142),'Data &amp; Assumptions'!$D$143)</f>
        <v>0.23</v>
      </c>
      <c r="BB199" s="75">
        <f>IF(BA199*(1+'Data &amp; Assumptions'!$D$142)&lt;'Data &amp; Assumptions'!$D$143,BA199*(1+'Data &amp; Assumptions'!$D$142),'Data &amp; Assumptions'!$D$143)</f>
        <v>0.23</v>
      </c>
      <c r="BC199" s="75">
        <f>IF(BB199*(1+'Data &amp; Assumptions'!$D$142)&lt;'Data &amp; Assumptions'!$D$143,BB199*(1+'Data &amp; Assumptions'!$D$142),'Data &amp; Assumptions'!$D$143)</f>
        <v>0.23</v>
      </c>
      <c r="BD199" s="75">
        <f>IF(BC199*(1+'Data &amp; Assumptions'!$D$142)&lt;'Data &amp; Assumptions'!$D$143,BC199*(1+'Data &amp; Assumptions'!$D$142),'Data &amp; Assumptions'!$D$143)</f>
        <v>0.23</v>
      </c>
      <c r="BE199" s="75">
        <f>IF(BD199*(1+'Data &amp; Assumptions'!$D$142)&lt;'Data &amp; Assumptions'!$D$143,BD199*(1+'Data &amp; Assumptions'!$D$142),'Data &amp; Assumptions'!$D$143)</f>
        <v>0.23</v>
      </c>
      <c r="BF199" s="75">
        <f>IF(BE199*(1+'Data &amp; Assumptions'!$D$142)&lt;'Data &amp; Assumptions'!$D$143,BE199*(1+'Data &amp; Assumptions'!$D$142),'Data &amp; Assumptions'!$D$143)</f>
        <v>0.23</v>
      </c>
      <c r="BG199" s="75">
        <f>IF(BF199*(1+'Data &amp; Assumptions'!$D$142)&lt;'Data &amp; Assumptions'!$D$143,BF199*(1+'Data &amp; Assumptions'!$D$142),'Data &amp; Assumptions'!$D$143)</f>
        <v>0.23</v>
      </c>
      <c r="BH199" s="75">
        <f>IF(BG199*(1+'Data &amp; Assumptions'!$D$142)&lt;'Data &amp; Assumptions'!$D$143,BG199*(1+'Data &amp; Assumptions'!$D$142),'Data &amp; Assumptions'!$D$143)</f>
        <v>0.23</v>
      </c>
      <c r="BI199" s="75">
        <f>IF(BH199*(1+'Data &amp; Assumptions'!$D$142)&lt;'Data &amp; Assumptions'!$D$143,BH199*(1+'Data &amp; Assumptions'!$D$142),'Data &amp; Assumptions'!$D$143)</f>
        <v>0.23</v>
      </c>
      <c r="BJ199" s="75">
        <f>IF(BI199*(1+'Data &amp; Assumptions'!$D$142)&lt;'Data &amp; Assumptions'!$D$143,BI199*(1+'Data &amp; Assumptions'!$D$142),'Data &amp; Assumptions'!$D$143)</f>
        <v>0.23</v>
      </c>
      <c r="BK199" s="75">
        <f>IF(BJ199*(1+'Data &amp; Assumptions'!$D$142)&lt;'Data &amp; Assumptions'!$D$143,BJ199*(1+'Data &amp; Assumptions'!$D$142),'Data &amp; Assumptions'!$D$143)</f>
        <v>0.23</v>
      </c>
      <c r="BL199" s="75">
        <f>IF(BK199*(1+'Data &amp; Assumptions'!$D$142)&lt;'Data &amp; Assumptions'!$D$143,BK199*(1+'Data &amp; Assumptions'!$D$142),'Data &amp; Assumptions'!$D$143)</f>
        <v>0.23</v>
      </c>
    </row>
    <row r="200" spans="4:64" ht="12.75">
      <c r="D200" s="156" t="s">
        <v>351</v>
      </c>
      <c r="E200" s="18"/>
      <c r="F200" s="18"/>
      <c r="G200" s="67"/>
      <c r="L200" s="182"/>
      <c r="M200" s="63"/>
      <c r="Q200" s="63">
        <f>Q198*Q199</f>
        <v>206.96644308835022</v>
      </c>
      <c r="R200" s="147">
        <f aca="true" t="shared" si="197" ref="R200:AK200">R198*R199</f>
        <v>226.1516513895169</v>
      </c>
      <c r="S200" s="63">
        <f t="shared" si="197"/>
        <v>247.11527464562403</v>
      </c>
      <c r="T200" s="63">
        <f t="shared" si="197"/>
        <v>270.02216693082636</v>
      </c>
      <c r="U200" s="147">
        <f t="shared" si="197"/>
        <v>306.0824624770133</v>
      </c>
      <c r="V200" s="63">
        <f t="shared" si="197"/>
        <v>331.65677338761327</v>
      </c>
      <c r="W200" s="63">
        <f t="shared" si="197"/>
        <v>347.34622968895206</v>
      </c>
      <c r="X200" s="63">
        <f t="shared" si="197"/>
        <v>363.4619975027535</v>
      </c>
      <c r="Y200" s="63">
        <f t="shared" si="197"/>
        <v>380.32548603447066</v>
      </c>
      <c r="Z200" s="63">
        <f t="shared" si="197"/>
        <v>394.21694011470305</v>
      </c>
      <c r="AA200" s="63">
        <f t="shared" si="197"/>
        <v>408.61578195502295</v>
      </c>
      <c r="AB200" s="63">
        <f t="shared" si="197"/>
        <v>423.5405439810209</v>
      </c>
      <c r="AC200" s="63">
        <f t="shared" si="197"/>
        <v>439.0104355183336</v>
      </c>
      <c r="AD200" s="63">
        <f t="shared" si="197"/>
        <v>455.0453675165354</v>
      </c>
      <c r="AE200" s="63">
        <f t="shared" si="197"/>
        <v>471.6659781760732</v>
      </c>
      <c r="AF200" s="63">
        <f t="shared" si="197"/>
        <v>487.04639050790166</v>
      </c>
      <c r="AG200" s="63">
        <f t="shared" si="197"/>
        <v>502.92833802446364</v>
      </c>
      <c r="AH200" s="63">
        <f t="shared" si="197"/>
        <v>519.328175133957</v>
      </c>
      <c r="AI200" s="63">
        <f t="shared" si="197"/>
        <v>536.262789540499</v>
      </c>
      <c r="AJ200" s="63">
        <f t="shared" si="197"/>
        <v>553.749619634211</v>
      </c>
      <c r="AK200" s="63">
        <f t="shared" si="197"/>
        <v>571.8066724483699</v>
      </c>
      <c r="AL200" s="63"/>
      <c r="AR200" s="63">
        <f aca="true" t="shared" si="198" ref="AR200:BL200">AR198*AR199</f>
        <v>206.96644308835022</v>
      </c>
      <c r="AS200" s="63">
        <f t="shared" si="198"/>
        <v>226.1516513895169</v>
      </c>
      <c r="AT200" s="63">
        <f t="shared" si="198"/>
        <v>247.11527464562403</v>
      </c>
      <c r="AU200" s="63">
        <f t="shared" si="198"/>
        <v>270.02216693082636</v>
      </c>
      <c r="AV200" s="147">
        <f t="shared" si="198"/>
        <v>306.0824624770133</v>
      </c>
      <c r="AW200" s="63">
        <f t="shared" si="198"/>
        <v>331.65677338761327</v>
      </c>
      <c r="AX200" s="63">
        <f t="shared" si="198"/>
        <v>347.34622968895206</v>
      </c>
      <c r="AY200" s="63">
        <f t="shared" si="198"/>
        <v>363.4619975027535</v>
      </c>
      <c r="AZ200" s="63">
        <f t="shared" si="198"/>
        <v>380.32548603447066</v>
      </c>
      <c r="BA200" s="63">
        <f t="shared" si="198"/>
        <v>394.21694011470305</v>
      </c>
      <c r="BB200" s="63">
        <f t="shared" si="198"/>
        <v>408.61578195502295</v>
      </c>
      <c r="BC200" s="63">
        <f t="shared" si="198"/>
        <v>423.5405439810209</v>
      </c>
      <c r="BD200" s="63">
        <f t="shared" si="198"/>
        <v>439.0104355183336</v>
      </c>
      <c r="BE200" s="63">
        <f t="shared" si="198"/>
        <v>455.0453675165354</v>
      </c>
      <c r="BF200" s="63">
        <f t="shared" si="198"/>
        <v>471.6659781760732</v>
      </c>
      <c r="BG200" s="63">
        <f t="shared" si="198"/>
        <v>487.04639050790166</v>
      </c>
      <c r="BH200" s="63">
        <f t="shared" si="198"/>
        <v>502.92833802446364</v>
      </c>
      <c r="BI200" s="63">
        <f t="shared" si="198"/>
        <v>519.328175133957</v>
      </c>
      <c r="BJ200" s="63">
        <f t="shared" si="198"/>
        <v>536.262789540499</v>
      </c>
      <c r="BK200" s="63">
        <f t="shared" si="198"/>
        <v>553.749619634211</v>
      </c>
      <c r="BL200" s="63">
        <f t="shared" si="198"/>
        <v>571.8066724483699</v>
      </c>
    </row>
    <row r="201" spans="4:64" ht="12.75">
      <c r="D201" s="18" t="s">
        <v>352</v>
      </c>
      <c r="E201" s="18"/>
      <c r="F201" s="18"/>
      <c r="G201" s="67"/>
      <c r="L201" s="182"/>
      <c r="M201" s="63"/>
      <c r="Q201" s="63">
        <f>Q200*'Data &amp; Assumptions'!$D$145</f>
        <v>68.9888143627834</v>
      </c>
      <c r="R201" s="147">
        <f>R200*'Data &amp; Assumptions'!$D$145</f>
        <v>75.38388379650563</v>
      </c>
      <c r="S201" s="63">
        <f>S200*'Data &amp; Assumptions'!$D$145</f>
        <v>82.371758215208</v>
      </c>
      <c r="T201" s="63">
        <f>T200*'Data &amp; Assumptions'!$D$145</f>
        <v>90.00738897694211</v>
      </c>
      <c r="U201" s="147">
        <f>U200*'Data &amp; Assumptions'!$D$145</f>
        <v>102.02748749233776</v>
      </c>
      <c r="V201" s="63">
        <f>V200*'Data &amp; Assumptions'!$D$145</f>
        <v>110.55225779587109</v>
      </c>
      <c r="W201" s="63">
        <f>W200*'Data &amp; Assumptions'!$D$145</f>
        <v>115.78207656298402</v>
      </c>
      <c r="X201" s="63">
        <f>X200*'Data &amp; Assumptions'!$D$145</f>
        <v>121.15399916758449</v>
      </c>
      <c r="Y201" s="63">
        <f>Y200*'Data &amp; Assumptions'!$D$145</f>
        <v>126.77516201149021</v>
      </c>
      <c r="Z201" s="63">
        <f>Z200*'Data &amp; Assumptions'!$D$145</f>
        <v>131.40564670490102</v>
      </c>
      <c r="AA201" s="63">
        <f>AA200*'Data &amp; Assumptions'!$D$145</f>
        <v>136.2052606516743</v>
      </c>
      <c r="AB201" s="63">
        <f>AB200*'Data &amp; Assumptions'!$D$145</f>
        <v>141.18018132700695</v>
      </c>
      <c r="AC201" s="63">
        <f>AC200*'Data &amp; Assumptions'!$D$145</f>
        <v>146.33681183944452</v>
      </c>
      <c r="AD201" s="63">
        <f>AD200*'Data &amp; Assumptions'!$D$145</f>
        <v>151.68178917217847</v>
      </c>
      <c r="AE201" s="63">
        <f>AE200*'Data &amp; Assumptions'!$D$145</f>
        <v>157.22199272535772</v>
      </c>
      <c r="AF201" s="63">
        <f>AF200*'Data &amp; Assumptions'!$D$145</f>
        <v>162.34879683596722</v>
      </c>
      <c r="AG201" s="63">
        <f>AG200*'Data &amp; Assumptions'!$D$145</f>
        <v>167.64277934148788</v>
      </c>
      <c r="AH201" s="63">
        <f>AH200*'Data &amp; Assumptions'!$D$145</f>
        <v>173.10939171131898</v>
      </c>
      <c r="AI201" s="63">
        <f>AI200*'Data &amp; Assumptions'!$D$145</f>
        <v>178.75426318016633</v>
      </c>
      <c r="AJ201" s="63">
        <f>AJ200*'Data &amp; Assumptions'!$D$145</f>
        <v>184.58320654473698</v>
      </c>
      <c r="AK201" s="63">
        <f>AK200*'Data &amp; Assumptions'!$D$145</f>
        <v>190.60222414945662</v>
      </c>
      <c r="AL201" s="63"/>
      <c r="AR201" s="63">
        <f>AR200*'Data &amp; Assumptions'!$D$145</f>
        <v>68.9888143627834</v>
      </c>
      <c r="AS201" s="63">
        <f>AS200*'Data &amp; Assumptions'!$D$145</f>
        <v>75.38388379650563</v>
      </c>
      <c r="AT201" s="63">
        <f>AT200*'Data &amp; Assumptions'!$D$145</f>
        <v>82.371758215208</v>
      </c>
      <c r="AU201" s="63">
        <f>AU200*'Data &amp; Assumptions'!$D$145</f>
        <v>90.00738897694211</v>
      </c>
      <c r="AV201" s="147">
        <f>AV200*'Data &amp; Assumptions'!$D$145</f>
        <v>102.02748749233776</v>
      </c>
      <c r="AW201" s="63">
        <f>AW200*'Data &amp; Assumptions'!$D$145</f>
        <v>110.55225779587109</v>
      </c>
      <c r="AX201" s="63">
        <f>AX200*'Data &amp; Assumptions'!$D$145</f>
        <v>115.78207656298402</v>
      </c>
      <c r="AY201" s="63">
        <f>AY200*'Data &amp; Assumptions'!$D$145</f>
        <v>121.15399916758449</v>
      </c>
      <c r="AZ201" s="63">
        <f>AZ200*'Data &amp; Assumptions'!$D$145</f>
        <v>126.77516201149021</v>
      </c>
      <c r="BA201" s="63">
        <f>BA200*'Data &amp; Assumptions'!$D$145</f>
        <v>131.40564670490102</v>
      </c>
      <c r="BB201" s="63">
        <f>BB200*'Data &amp; Assumptions'!$D$145</f>
        <v>136.2052606516743</v>
      </c>
      <c r="BC201" s="63">
        <f>BC200*'Data &amp; Assumptions'!$D$145</f>
        <v>141.18018132700695</v>
      </c>
      <c r="BD201" s="63">
        <f>BD200*'Data &amp; Assumptions'!$D$145</f>
        <v>146.33681183944452</v>
      </c>
      <c r="BE201" s="63">
        <f>BE200*'Data &amp; Assumptions'!$D$145</f>
        <v>151.68178917217847</v>
      </c>
      <c r="BF201" s="63">
        <f>BF200*'Data &amp; Assumptions'!$D$145</f>
        <v>157.22199272535772</v>
      </c>
      <c r="BG201" s="63">
        <f>BG200*'Data &amp; Assumptions'!$D$145</f>
        <v>162.34879683596722</v>
      </c>
      <c r="BH201" s="63">
        <f>BH200*'Data &amp; Assumptions'!$D$145</f>
        <v>167.64277934148788</v>
      </c>
      <c r="BI201" s="63">
        <f>BI200*'Data &amp; Assumptions'!$D$145</f>
        <v>173.10939171131898</v>
      </c>
      <c r="BJ201" s="63">
        <f>BJ200*'Data &amp; Assumptions'!$D$145</f>
        <v>178.75426318016633</v>
      </c>
      <c r="BK201" s="63">
        <f>BK200*'Data &amp; Assumptions'!$D$145</f>
        <v>184.58320654473698</v>
      </c>
      <c r="BL201" s="63">
        <f>BL200*'Data &amp; Assumptions'!$D$145</f>
        <v>190.60222414945662</v>
      </c>
    </row>
    <row r="202" spans="4:64" ht="12.75">
      <c r="D202" s="18" t="s">
        <v>372</v>
      </c>
      <c r="E202" s="18"/>
      <c r="F202" s="18"/>
      <c r="G202" s="67"/>
      <c r="L202" s="182"/>
      <c r="M202" s="63"/>
      <c r="Q202" s="63">
        <f>Q201*'Data &amp; Assumptions'!$D$147</f>
        <v>27.595525745113363</v>
      </c>
      <c r="R202" s="147">
        <f>R201*'Data &amp; Assumptions'!$D$147</f>
        <v>30.15355351860225</v>
      </c>
      <c r="S202" s="63">
        <f>S201*'Data &amp; Assumptions'!$D$147</f>
        <v>32.9487032860832</v>
      </c>
      <c r="T202" s="63">
        <f>T201*'Data &amp; Assumptions'!$D$147</f>
        <v>36.00295559077684</v>
      </c>
      <c r="U202" s="147">
        <f>U201*'Data &amp; Assumptions'!$D$147</f>
        <v>40.81099499693511</v>
      </c>
      <c r="V202" s="63">
        <f>V201*'Data &amp; Assumptions'!$D$147</f>
        <v>44.22090311834844</v>
      </c>
      <c r="W202" s="63">
        <f>W201*'Data &amp; Assumptions'!$D$147</f>
        <v>46.31283062519361</v>
      </c>
      <c r="X202" s="63">
        <f>X201*'Data &amp; Assumptions'!$D$147</f>
        <v>48.461599667033795</v>
      </c>
      <c r="Y202" s="63">
        <f>Y201*'Data &amp; Assumptions'!$D$147</f>
        <v>50.71006480459609</v>
      </c>
      <c r="Z202" s="63">
        <f>Z201*'Data &amp; Assumptions'!$D$147</f>
        <v>52.56225868196041</v>
      </c>
      <c r="AA202" s="63">
        <f>AA201*'Data &amp; Assumptions'!$D$147</f>
        <v>54.48210426066973</v>
      </c>
      <c r="AB202" s="63">
        <f>AB201*'Data &amp; Assumptions'!$D$147</f>
        <v>56.472072530802784</v>
      </c>
      <c r="AC202" s="63">
        <f>AC201*'Data &amp; Assumptions'!$D$147</f>
        <v>58.534724735777814</v>
      </c>
      <c r="AD202" s="63">
        <f>AD201*'Data &amp; Assumptions'!$D$147</f>
        <v>60.67271566887139</v>
      </c>
      <c r="AE202" s="63">
        <f>AE201*'Data &amp; Assumptions'!$D$147</f>
        <v>62.88879709014309</v>
      </c>
      <c r="AF202" s="63">
        <f>AF201*'Data &amp; Assumptions'!$D$147</f>
        <v>64.9395187343869</v>
      </c>
      <c r="AG202" s="63">
        <f>AG201*'Data &amp; Assumptions'!$D$147</f>
        <v>67.05711173659516</v>
      </c>
      <c r="AH202" s="63">
        <f>AH201*'Data &amp; Assumptions'!$D$147</f>
        <v>69.2437566845276</v>
      </c>
      <c r="AI202" s="63">
        <f>AI201*'Data &amp; Assumptions'!$D$147</f>
        <v>71.50170527206653</v>
      </c>
      <c r="AJ202" s="63">
        <f>AJ201*'Data &amp; Assumptions'!$D$147</f>
        <v>73.8332826178948</v>
      </c>
      <c r="AK202" s="63">
        <f>AK201*'Data &amp; Assumptions'!$D$147</f>
        <v>76.24088965978265</v>
      </c>
      <c r="AL202" s="63"/>
      <c r="AR202" s="63">
        <f>AR201*'Data &amp; Assumptions'!$D$147</f>
        <v>27.595525745113363</v>
      </c>
      <c r="AS202" s="63">
        <f>AS201*'Data &amp; Assumptions'!$D$147</f>
        <v>30.15355351860225</v>
      </c>
      <c r="AT202" s="63">
        <f>AT201*'Data &amp; Assumptions'!$D$147</f>
        <v>32.9487032860832</v>
      </c>
      <c r="AU202" s="63">
        <f>AU201*'Data &amp; Assumptions'!$D$147</f>
        <v>36.00295559077684</v>
      </c>
      <c r="AV202" s="147">
        <f>AV201*'Data &amp; Assumptions'!$D$147</f>
        <v>40.81099499693511</v>
      </c>
      <c r="AW202" s="63">
        <f>AW201*'Data &amp; Assumptions'!$D$147</f>
        <v>44.22090311834844</v>
      </c>
      <c r="AX202" s="63">
        <f>AX201*'Data &amp; Assumptions'!$D$147</f>
        <v>46.31283062519361</v>
      </c>
      <c r="AY202" s="63">
        <f>AY201*'Data &amp; Assumptions'!$D$147</f>
        <v>48.461599667033795</v>
      </c>
      <c r="AZ202" s="63">
        <f>AZ201*'Data &amp; Assumptions'!$D$147</f>
        <v>50.71006480459609</v>
      </c>
      <c r="BA202" s="63">
        <f>BA201*'Data &amp; Assumptions'!$D$147</f>
        <v>52.56225868196041</v>
      </c>
      <c r="BB202" s="63">
        <f>BB201*'Data &amp; Assumptions'!$D$147</f>
        <v>54.48210426066973</v>
      </c>
      <c r="BC202" s="63">
        <f>BC201*'Data &amp; Assumptions'!$D$147</f>
        <v>56.472072530802784</v>
      </c>
      <c r="BD202" s="63">
        <f>BD201*'Data &amp; Assumptions'!$D$147</f>
        <v>58.534724735777814</v>
      </c>
      <c r="BE202" s="63">
        <f>BE201*'Data &amp; Assumptions'!$D$147</f>
        <v>60.67271566887139</v>
      </c>
      <c r="BF202" s="63">
        <f>BF201*'Data &amp; Assumptions'!$D$147</f>
        <v>62.88879709014309</v>
      </c>
      <c r="BG202" s="63">
        <f>BG201*'Data &amp; Assumptions'!$D$147</f>
        <v>64.9395187343869</v>
      </c>
      <c r="BH202" s="63">
        <f>BH201*'Data &amp; Assumptions'!$D$147</f>
        <v>67.05711173659516</v>
      </c>
      <c r="BI202" s="63">
        <f>BI201*'Data &amp; Assumptions'!$D$147</f>
        <v>69.2437566845276</v>
      </c>
      <c r="BJ202" s="63">
        <f>BJ201*'Data &amp; Assumptions'!$D$147</f>
        <v>71.50170527206653</v>
      </c>
      <c r="BK202" s="63">
        <f>BK201*'Data &amp; Assumptions'!$D$147</f>
        <v>73.8332826178948</v>
      </c>
      <c r="BL202" s="63">
        <f>BL201*'Data &amp; Assumptions'!$D$147</f>
        <v>76.24088965978265</v>
      </c>
    </row>
    <row r="203" spans="4:64" ht="12.75">
      <c r="D203" s="156" t="s">
        <v>373</v>
      </c>
      <c r="E203" s="18"/>
      <c r="F203" s="18"/>
      <c r="G203" s="67"/>
      <c r="L203" s="182"/>
      <c r="M203" s="63"/>
      <c r="Q203" s="63">
        <f>Q202*'Data &amp; Assumptions'!$D$18*'Data &amp; Assumptions'!$D$31</f>
        <v>205.37490819087802</v>
      </c>
      <c r="R203" s="147">
        <f>R202*'Data &amp; Assumptions'!$D$18*'Data &amp; Assumptions'!$D$31</f>
        <v>224.4125856746283</v>
      </c>
      <c r="S203" s="63">
        <f>S202*'Data &amp; Assumptions'!$D$18*'Data &amp; Assumptions'!$D$31</f>
        <v>245.21500242067668</v>
      </c>
      <c r="T203" s="63">
        <f>T202*'Data &amp; Assumptions'!$D$18*'Data &amp; Assumptions'!$D$31</f>
        <v>267.9457448048587</v>
      </c>
      <c r="U203" s="147">
        <f>U202*'Data &amp; Assumptions'!$D$18*'Data &amp; Assumptions'!$D$31</f>
        <v>303.72874313359085</v>
      </c>
      <c r="V203" s="63">
        <f>V202*'Data &amp; Assumptions'!$D$18*'Data &amp; Assumptions'!$D$31</f>
        <v>329.1063921714463</v>
      </c>
      <c r="W203" s="63">
        <f>W202*'Data &amp; Assumptions'!$D$18*'Data &amp; Assumptions'!$D$31</f>
        <v>344.6751993624591</v>
      </c>
      <c r="X203" s="63">
        <f>X202*'Data &amp; Assumptions'!$D$18*'Data &amp; Assumptions'!$D$31</f>
        <v>360.66703980671934</v>
      </c>
      <c r="Y203" s="63">
        <f>Y202*'Data &amp; Assumptions'!$D$18*'Data &amp; Assumptions'!$D$31</f>
        <v>377.40085113042704</v>
      </c>
      <c r="Z203" s="63">
        <f>Z202*'Data &amp; Assumptions'!$D$18*'Data &amp; Assumptions'!$D$31</f>
        <v>391.18548241554635</v>
      </c>
      <c r="AA203" s="63">
        <f>AA202*'Data &amp; Assumptions'!$D$18*'Data &amp; Assumptions'!$D$31</f>
        <v>405.47359973970754</v>
      </c>
      <c r="AB203" s="63">
        <f>AB202*'Data &amp; Assumptions'!$D$18*'Data &amp; Assumptions'!$D$31</f>
        <v>420.2835930174659</v>
      </c>
      <c r="AC203" s="63">
        <f>AC202*'Data &amp; Assumptions'!$D$18*'Data &amp; Assumptions'!$D$31</f>
        <v>435.6345238581828</v>
      </c>
      <c r="AD203" s="63">
        <f>AD202*'Data &amp; Assumptions'!$D$18*'Data &amp; Assumptions'!$D$31</f>
        <v>451.5461500997948</v>
      </c>
      <c r="AE203" s="63">
        <f>AE202*'Data &amp; Assumptions'!$D$18*'Data &amp; Assumptions'!$D$31</f>
        <v>468.03895123868153</v>
      </c>
      <c r="AF203" s="63">
        <f>AF202*'Data &amp; Assumptions'!$D$18*'Data &amp; Assumptions'!$D$31</f>
        <v>483.30109095298644</v>
      </c>
      <c r="AG203" s="63">
        <f>AG202*'Data &amp; Assumptions'!$D$18*'Data &amp; Assumptions'!$D$31</f>
        <v>499.060909136236</v>
      </c>
      <c r="AH203" s="63">
        <f>AH202*'Data &amp; Assumptions'!$D$18*'Data &amp; Assumptions'!$D$31</f>
        <v>515.3346344341566</v>
      </c>
      <c r="AI203" s="63">
        <f>AI202*'Data &amp; Assumptions'!$D$18*'Data &amp; Assumptions'!$D$31</f>
        <v>532.1390246874441</v>
      </c>
      <c r="AJ203" s="63">
        <f>AJ202*'Data &amp; Assumptions'!$D$18*'Data &amp; Assumptions'!$D$31</f>
        <v>549.4913841881217</v>
      </c>
      <c r="AK203" s="63">
        <f>AK202*'Data &amp; Assumptions'!$D$18*'Data &amp; Assumptions'!$D$31</f>
        <v>567.4095814986039</v>
      </c>
      <c r="AL203" s="63"/>
      <c r="AR203" s="63">
        <f>AR202*'Data &amp; Assumptions'!$D$18*'Data &amp; Assumptions'!$D$31</f>
        <v>205.37490819087802</v>
      </c>
      <c r="AS203" s="63">
        <f>AS202*'Data &amp; Assumptions'!$D$18*'Data &amp; Assumptions'!$D$31</f>
        <v>224.4125856746283</v>
      </c>
      <c r="AT203" s="63">
        <f>AT202*'Data &amp; Assumptions'!$D$18*'Data &amp; Assumptions'!$D$31</f>
        <v>245.21500242067668</v>
      </c>
      <c r="AU203" s="63">
        <f>AU202*'Data &amp; Assumptions'!$D$18*'Data &amp; Assumptions'!$D$31</f>
        <v>267.9457448048587</v>
      </c>
      <c r="AV203" s="147">
        <f>AV202*'Data &amp; Assumptions'!$D$18*'Data &amp; Assumptions'!$D$31</f>
        <v>303.72874313359085</v>
      </c>
      <c r="AW203" s="63">
        <f>AW202*'Data &amp; Assumptions'!$D$18*'Data &amp; Assumptions'!$D$31</f>
        <v>329.1063921714463</v>
      </c>
      <c r="AX203" s="63">
        <f>AX202*'Data &amp; Assumptions'!$D$18*'Data &amp; Assumptions'!$D$31</f>
        <v>344.6751993624591</v>
      </c>
      <c r="AY203" s="63">
        <f>AY202*'Data &amp; Assumptions'!$D$18*'Data &amp; Assumptions'!$D$31</f>
        <v>360.66703980671934</v>
      </c>
      <c r="AZ203" s="63">
        <f>AZ202*'Data &amp; Assumptions'!$D$18*'Data &amp; Assumptions'!$D$31</f>
        <v>377.40085113042704</v>
      </c>
      <c r="BA203" s="63">
        <f>BA202*'Data &amp; Assumptions'!$D$18*'Data &amp; Assumptions'!$D$31</f>
        <v>391.18548241554635</v>
      </c>
      <c r="BB203" s="63">
        <f>BB202*'Data &amp; Assumptions'!$D$18*'Data &amp; Assumptions'!$D$31</f>
        <v>405.47359973970754</v>
      </c>
      <c r="BC203" s="63">
        <f>BC202*'Data &amp; Assumptions'!$D$18*'Data &amp; Assumptions'!$D$31</f>
        <v>420.2835930174659</v>
      </c>
      <c r="BD203" s="63">
        <f>BD202*'Data &amp; Assumptions'!$D$18*'Data &amp; Assumptions'!$D$31</f>
        <v>435.6345238581828</v>
      </c>
      <c r="BE203" s="63">
        <f>BE202*'Data &amp; Assumptions'!$D$18*'Data &amp; Assumptions'!$D$31</f>
        <v>451.5461500997948</v>
      </c>
      <c r="BF203" s="63">
        <f>BF202*'Data &amp; Assumptions'!$D$18*'Data &amp; Assumptions'!$D$31</f>
        <v>468.03895123868153</v>
      </c>
      <c r="BG203" s="63">
        <f>BG202*'Data &amp; Assumptions'!$D$18*'Data &amp; Assumptions'!$D$31</f>
        <v>483.30109095298644</v>
      </c>
      <c r="BH203" s="63">
        <f>BH202*'Data &amp; Assumptions'!$D$18*'Data &amp; Assumptions'!$D$31</f>
        <v>499.060909136236</v>
      </c>
      <c r="BI203" s="63">
        <f>BI202*'Data &amp; Assumptions'!$D$18*'Data &amp; Assumptions'!$D$31</f>
        <v>515.3346344341566</v>
      </c>
      <c r="BJ203" s="63">
        <f>BJ202*'Data &amp; Assumptions'!$D$18*'Data &amp; Assumptions'!$D$31</f>
        <v>532.1390246874441</v>
      </c>
      <c r="BK203" s="63">
        <f>BK202*'Data &amp; Assumptions'!$D$18*'Data &amp; Assumptions'!$D$31</f>
        <v>549.4913841881217</v>
      </c>
      <c r="BL203" s="63">
        <f>BL202*'Data &amp; Assumptions'!$D$18*'Data &amp; Assumptions'!$D$31</f>
        <v>567.4095814986039</v>
      </c>
    </row>
    <row r="204" spans="4:64" ht="12.75">
      <c r="D204" s="156" t="s">
        <v>377</v>
      </c>
      <c r="E204" s="18"/>
      <c r="F204" s="18"/>
      <c r="G204" s="67"/>
      <c r="L204" s="182"/>
      <c r="M204" s="63"/>
      <c r="Q204" s="75">
        <f aca="true" t="shared" si="199" ref="Q204:AK204">(1-P29/$P$17)</f>
        <v>0.88525</v>
      </c>
      <c r="R204" s="246">
        <f t="shared" si="199"/>
        <v>0.8708693495038589</v>
      </c>
      <c r="S204" s="75">
        <f t="shared" si="199"/>
        <v>0.8578260995038589</v>
      </c>
      <c r="T204" s="75">
        <f t="shared" si="199"/>
        <v>0.8366855269262726</v>
      </c>
      <c r="U204" s="246">
        <f t="shared" si="199"/>
        <v>0.768483938906118</v>
      </c>
      <c r="V204" s="75">
        <f t="shared" si="199"/>
        <v>0.702889744912291</v>
      </c>
      <c r="W204" s="75">
        <f t="shared" si="199"/>
        <v>0.6382006385460968</v>
      </c>
      <c r="X204" s="75">
        <f t="shared" si="199"/>
        <v>0.5743324466581654</v>
      </c>
      <c r="Y204" s="75">
        <f t="shared" si="199"/>
        <v>0.567070893167536</v>
      </c>
      <c r="Z204" s="75">
        <f t="shared" si="199"/>
        <v>0.5604846641515351</v>
      </c>
      <c r="AA204" s="75">
        <f t="shared" si="199"/>
        <v>0.5545109544340221</v>
      </c>
      <c r="AB204" s="75">
        <f t="shared" si="199"/>
        <v>0.549092799720238</v>
      </c>
      <c r="AC204" s="75">
        <f t="shared" si="199"/>
        <v>0.5441785333948357</v>
      </c>
      <c r="AD204" s="75">
        <f t="shared" si="199"/>
        <v>0.5397212938376958</v>
      </c>
      <c r="AE204" s="75">
        <f t="shared" si="199"/>
        <v>0.5356785775593701</v>
      </c>
      <c r="AF204" s="75">
        <f t="shared" si="199"/>
        <v>0.5320118338949286</v>
      </c>
      <c r="AG204" s="75">
        <f t="shared" si="199"/>
        <v>0.5286860973912801</v>
      </c>
      <c r="AH204" s="75">
        <f t="shared" si="199"/>
        <v>0.5256696543824709</v>
      </c>
      <c r="AI204" s="75">
        <f t="shared" si="199"/>
        <v>0.5229337405734811</v>
      </c>
      <c r="AJ204" s="75">
        <f t="shared" si="199"/>
        <v>0.5204522667487272</v>
      </c>
      <c r="AK204" s="75">
        <f t="shared" si="199"/>
        <v>0.5182015699896755</v>
      </c>
      <c r="AL204" s="75"/>
      <c r="AR204" s="75">
        <f aca="true" t="shared" si="200" ref="AR204:BL204">(1-AQ29/$P$17)</f>
        <v>0.88525</v>
      </c>
      <c r="AS204" s="75">
        <f t="shared" si="200"/>
        <v>0.8708693495038589</v>
      </c>
      <c r="AT204" s="75">
        <f t="shared" si="200"/>
        <v>0.8578260995038589</v>
      </c>
      <c r="AU204" s="75">
        <f t="shared" si="200"/>
        <v>0.8489534286913589</v>
      </c>
      <c r="AV204" s="246">
        <f t="shared" si="200"/>
        <v>0.8409059162644213</v>
      </c>
      <c r="AW204" s="75">
        <f t="shared" si="200"/>
        <v>0.8336068224931891</v>
      </c>
      <c r="AX204" s="75">
        <f t="shared" si="200"/>
        <v>0.8269865444426814</v>
      </c>
      <c r="AY204" s="75">
        <f t="shared" si="200"/>
        <v>0.8209819522508708</v>
      </c>
      <c r="AZ204" s="75">
        <f t="shared" si="200"/>
        <v>0.8155357871328988</v>
      </c>
      <c r="BA204" s="75">
        <f t="shared" si="200"/>
        <v>0.810596115370898</v>
      </c>
      <c r="BB204" s="75">
        <f t="shared" si="200"/>
        <v>0.8061158330827634</v>
      </c>
      <c r="BC204" s="75">
        <f t="shared" si="200"/>
        <v>0.8020522170474252</v>
      </c>
      <c r="BD204" s="75">
        <f t="shared" si="200"/>
        <v>0.7983665173033736</v>
      </c>
      <c r="BE204" s="75">
        <f t="shared" si="200"/>
        <v>0.7950235876355187</v>
      </c>
      <c r="BF204" s="75">
        <f t="shared" si="200"/>
        <v>0.7919915504267744</v>
      </c>
      <c r="BG204" s="75">
        <f t="shared" si="200"/>
        <v>0.7892414926784432</v>
      </c>
      <c r="BH204" s="75">
        <f t="shared" si="200"/>
        <v>0.7867471903007068</v>
      </c>
      <c r="BI204" s="75">
        <f t="shared" si="200"/>
        <v>0.7844848580441001</v>
      </c>
      <c r="BJ204" s="75">
        <f t="shared" si="200"/>
        <v>0.7824329226873576</v>
      </c>
      <c r="BK204" s="75">
        <f t="shared" si="200"/>
        <v>0.7805718173187922</v>
      </c>
      <c r="BL204" s="75">
        <f t="shared" si="200"/>
        <v>0.7788837947495034</v>
      </c>
    </row>
    <row r="205" spans="4:64" ht="12.75">
      <c r="D205" s="156" t="s">
        <v>376</v>
      </c>
      <c r="E205" s="18"/>
      <c r="F205" s="18"/>
      <c r="G205" s="67"/>
      <c r="L205" s="182"/>
      <c r="M205" s="63"/>
      <c r="Q205" s="63">
        <f>Q203*(1+'Data &amp; Assumptions'!$D$134)</f>
        <v>262.87988248432384</v>
      </c>
      <c r="R205" s="147">
        <f>R203*(1+'Data &amp; Assumptions'!$D$134)</f>
        <v>287.24810966352425</v>
      </c>
      <c r="S205" s="63">
        <f>S203*(1+'Data &amp; Assumptions'!$D$134)</f>
        <v>313.87520309846616</v>
      </c>
      <c r="T205" s="63">
        <f>T203*(1+'Data &amp; Assumptions'!$D$134)</f>
        <v>342.9705533502191</v>
      </c>
      <c r="U205" s="147">
        <f>U203*(1+'Data &amp; Assumptions'!$D$134)</f>
        <v>388.7727912109963</v>
      </c>
      <c r="V205" s="63">
        <f>V203*(1+'Data &amp; Assumptions'!$D$134)</f>
        <v>421.2561819794513</v>
      </c>
      <c r="W205" s="63">
        <f>W203*(1+'Data &amp; Assumptions'!$D$134)</f>
        <v>441.1842551839477</v>
      </c>
      <c r="X205" s="63">
        <f>X203*(1+'Data &amp; Assumptions'!$D$134)</f>
        <v>461.6538109526008</v>
      </c>
      <c r="Y205" s="63">
        <f>Y203*(1+'Data &amp; Assumptions'!$D$134)</f>
        <v>483.0730894469466</v>
      </c>
      <c r="Z205" s="63">
        <f>Z203*(1+'Data &amp; Assumptions'!$D$134)</f>
        <v>500.7174174918993</v>
      </c>
      <c r="AA205" s="63">
        <f>AA203*(1+'Data &amp; Assumptions'!$D$134)</f>
        <v>519.0062076668256</v>
      </c>
      <c r="AB205" s="63">
        <f>AB203*(1+'Data &amp; Assumptions'!$D$134)</f>
        <v>537.9629990623563</v>
      </c>
      <c r="AC205" s="63">
        <f>AC203*(1+'Data &amp; Assumptions'!$D$134)</f>
        <v>557.612190538474</v>
      </c>
      <c r="AD205" s="63">
        <f>AD203*(1+'Data &amp; Assumptions'!$D$134)</f>
        <v>577.9790721277374</v>
      </c>
      <c r="AE205" s="63">
        <f>AE203*(1+'Data &amp; Assumptions'!$D$134)</f>
        <v>599.0898575855124</v>
      </c>
      <c r="AF205" s="63">
        <f>AF203*(1+'Data &amp; Assumptions'!$D$134)</f>
        <v>618.6253964198227</v>
      </c>
      <c r="AG205" s="63">
        <f>AG203*(1+'Data &amp; Assumptions'!$D$134)</f>
        <v>638.797963694382</v>
      </c>
      <c r="AH205" s="63">
        <f>AH203*(1+'Data &amp; Assumptions'!$D$134)</f>
        <v>659.6283320757204</v>
      </c>
      <c r="AI205" s="63">
        <f>AI203*(1+'Data &amp; Assumptions'!$D$134)</f>
        <v>681.1379515999286</v>
      </c>
      <c r="AJ205" s="63">
        <f>AJ203*(1+'Data &amp; Assumptions'!$D$134)</f>
        <v>703.3489717607958</v>
      </c>
      <c r="AK205" s="63">
        <f>AK203*(1+'Data &amp; Assumptions'!$D$134)</f>
        <v>726.284264318213</v>
      </c>
      <c r="AL205" s="63"/>
      <c r="AR205" s="63">
        <f>AR203*(1+'Data &amp; Assumptions'!$D$134)</f>
        <v>262.87988248432384</v>
      </c>
      <c r="AS205" s="63">
        <f>AS203*(1+'Data &amp; Assumptions'!$D$134)</f>
        <v>287.24810966352425</v>
      </c>
      <c r="AT205" s="63">
        <f>AT203*(1+'Data &amp; Assumptions'!$D$134)</f>
        <v>313.87520309846616</v>
      </c>
      <c r="AU205" s="63">
        <f>AU203*(1+'Data &amp; Assumptions'!$D$134)</f>
        <v>342.9705533502191</v>
      </c>
      <c r="AV205" s="147">
        <f>AV203*(1+'Data &amp; Assumptions'!$D$134)</f>
        <v>388.7727912109963</v>
      </c>
      <c r="AW205" s="63">
        <f>AW203*(1+'Data &amp; Assumptions'!$D$134)</f>
        <v>421.2561819794513</v>
      </c>
      <c r="AX205" s="63">
        <f>AX203*(1+'Data &amp; Assumptions'!$D$134)</f>
        <v>441.1842551839477</v>
      </c>
      <c r="AY205" s="63">
        <f>AY203*(1+'Data &amp; Assumptions'!$D$134)</f>
        <v>461.6538109526008</v>
      </c>
      <c r="AZ205" s="63">
        <f>AZ203*(1+'Data &amp; Assumptions'!$D$134)</f>
        <v>483.0730894469466</v>
      </c>
      <c r="BA205" s="63">
        <f>BA203*(1+'Data &amp; Assumptions'!$D$134)</f>
        <v>500.7174174918993</v>
      </c>
      <c r="BB205" s="63">
        <f>BB203*(1+'Data &amp; Assumptions'!$D$134)</f>
        <v>519.0062076668256</v>
      </c>
      <c r="BC205" s="63">
        <f>BC203*(1+'Data &amp; Assumptions'!$D$134)</f>
        <v>537.9629990623563</v>
      </c>
      <c r="BD205" s="63">
        <f>BD203*(1+'Data &amp; Assumptions'!$D$134)</f>
        <v>557.612190538474</v>
      </c>
      <c r="BE205" s="63">
        <f>BE203*(1+'Data &amp; Assumptions'!$D$134)</f>
        <v>577.9790721277374</v>
      </c>
      <c r="BF205" s="63">
        <f>BF203*(1+'Data &amp; Assumptions'!$D$134)</f>
        <v>599.0898575855124</v>
      </c>
      <c r="BG205" s="63">
        <f>BG203*(1+'Data &amp; Assumptions'!$D$134)</f>
        <v>618.6253964198227</v>
      </c>
      <c r="BH205" s="63">
        <f>BH203*(1+'Data &amp; Assumptions'!$D$134)</f>
        <v>638.797963694382</v>
      </c>
      <c r="BI205" s="63">
        <f>BI203*(1+'Data &amp; Assumptions'!$D$134)</f>
        <v>659.6283320757204</v>
      </c>
      <c r="BJ205" s="63">
        <f>BJ203*(1+'Data &amp; Assumptions'!$D$134)</f>
        <v>681.1379515999286</v>
      </c>
      <c r="BK205" s="63">
        <f>BK203*(1+'Data &amp; Assumptions'!$D$134)</f>
        <v>703.3489717607958</v>
      </c>
      <c r="BL205" s="63">
        <f>BL203*(1+'Data &amp; Assumptions'!$D$134)</f>
        <v>726.284264318213</v>
      </c>
    </row>
    <row r="206" spans="4:64" ht="12.75">
      <c r="D206" s="156" t="s">
        <v>378</v>
      </c>
      <c r="E206" s="18"/>
      <c r="F206" s="18"/>
      <c r="G206" s="67"/>
      <c r="L206" s="182"/>
      <c r="M206" s="63"/>
      <c r="Q206" s="75">
        <f>1-Q204</f>
        <v>0.11475000000000002</v>
      </c>
      <c r="R206" s="246">
        <f aca="true" t="shared" si="201" ref="R206:AK206">1-R204</f>
        <v>0.12913065049614114</v>
      </c>
      <c r="S206" s="75">
        <f t="shared" si="201"/>
        <v>0.1421739004961411</v>
      </c>
      <c r="T206" s="75">
        <f t="shared" si="201"/>
        <v>0.16331447307372737</v>
      </c>
      <c r="U206" s="246">
        <f t="shared" si="201"/>
        <v>0.231516061093882</v>
      </c>
      <c r="V206" s="75">
        <f t="shared" si="201"/>
        <v>0.29711025508770905</v>
      </c>
      <c r="W206" s="75">
        <f t="shared" si="201"/>
        <v>0.36179936145390323</v>
      </c>
      <c r="X206" s="75">
        <f t="shared" si="201"/>
        <v>0.4256675533418346</v>
      </c>
      <c r="Y206" s="75">
        <f t="shared" si="201"/>
        <v>0.432929106832464</v>
      </c>
      <c r="Z206" s="75">
        <f t="shared" si="201"/>
        <v>0.4395153358484649</v>
      </c>
      <c r="AA206" s="75">
        <f t="shared" si="201"/>
        <v>0.4454890455659779</v>
      </c>
      <c r="AB206" s="75">
        <f t="shared" si="201"/>
        <v>0.45090720027976205</v>
      </c>
      <c r="AC206" s="75">
        <f t="shared" si="201"/>
        <v>0.4558214666051643</v>
      </c>
      <c r="AD206" s="75">
        <f t="shared" si="201"/>
        <v>0.46027870616230415</v>
      </c>
      <c r="AE206" s="75">
        <f t="shared" si="201"/>
        <v>0.4643214224406299</v>
      </c>
      <c r="AF206" s="75">
        <f t="shared" si="201"/>
        <v>0.46798816610507143</v>
      </c>
      <c r="AG206" s="75">
        <f t="shared" si="201"/>
        <v>0.47131390260871986</v>
      </c>
      <c r="AH206" s="75">
        <f t="shared" si="201"/>
        <v>0.47433034561752907</v>
      </c>
      <c r="AI206" s="75">
        <f t="shared" si="201"/>
        <v>0.4770662594265189</v>
      </c>
      <c r="AJ206" s="75">
        <f t="shared" si="201"/>
        <v>0.47954773325127276</v>
      </c>
      <c r="AK206" s="75">
        <f t="shared" si="201"/>
        <v>0.4817984300103245</v>
      </c>
      <c r="AL206" s="75"/>
      <c r="AR206" s="75">
        <f>1-AR204</f>
        <v>0.11475000000000002</v>
      </c>
      <c r="AS206" s="75">
        <f aca="true" t="shared" si="202" ref="AS206:BL206">1-AS204</f>
        <v>0.12913065049614114</v>
      </c>
      <c r="AT206" s="75">
        <f t="shared" si="202"/>
        <v>0.1421739004961411</v>
      </c>
      <c r="AU206" s="75">
        <f t="shared" si="202"/>
        <v>0.15104657130864108</v>
      </c>
      <c r="AV206" s="246">
        <f t="shared" si="202"/>
        <v>0.15909408373557865</v>
      </c>
      <c r="AW206" s="75">
        <f t="shared" si="202"/>
        <v>0.16639317750681093</v>
      </c>
      <c r="AX206" s="75">
        <f t="shared" si="202"/>
        <v>0.17301345555731862</v>
      </c>
      <c r="AY206" s="75">
        <f t="shared" si="202"/>
        <v>0.17901804774912922</v>
      </c>
      <c r="AZ206" s="75">
        <f t="shared" si="202"/>
        <v>0.18446421286710124</v>
      </c>
      <c r="BA206" s="75">
        <f t="shared" si="202"/>
        <v>0.18940388462910196</v>
      </c>
      <c r="BB206" s="75">
        <f t="shared" si="202"/>
        <v>0.19388416691723664</v>
      </c>
      <c r="BC206" s="75">
        <f t="shared" si="202"/>
        <v>0.19794778295257476</v>
      </c>
      <c r="BD206" s="75">
        <f t="shared" si="202"/>
        <v>0.2016334826966264</v>
      </c>
      <c r="BE206" s="75">
        <f t="shared" si="202"/>
        <v>0.20497641236448128</v>
      </c>
      <c r="BF206" s="75">
        <f t="shared" si="202"/>
        <v>0.20800844957322562</v>
      </c>
      <c r="BG206" s="75">
        <f t="shared" si="202"/>
        <v>0.21075850732155677</v>
      </c>
      <c r="BH206" s="75">
        <f t="shared" si="202"/>
        <v>0.21325280969929317</v>
      </c>
      <c r="BI206" s="75">
        <f t="shared" si="202"/>
        <v>0.21551514195589994</v>
      </c>
      <c r="BJ206" s="75">
        <f t="shared" si="202"/>
        <v>0.21756707731264235</v>
      </c>
      <c r="BK206" s="75">
        <f t="shared" si="202"/>
        <v>0.21942818268120778</v>
      </c>
      <c r="BL206" s="75">
        <f t="shared" si="202"/>
        <v>0.22111620525049658</v>
      </c>
    </row>
    <row r="207" spans="4:64" ht="25.5" customHeight="1">
      <c r="D207" s="444" t="s">
        <v>382</v>
      </c>
      <c r="E207" s="444"/>
      <c r="F207" s="444"/>
      <c r="G207" s="444"/>
      <c r="H207" s="444"/>
      <c r="I207" s="444"/>
      <c r="J207" s="444"/>
      <c r="K207" s="444"/>
      <c r="L207" s="182"/>
      <c r="M207" s="63"/>
      <c r="Q207" s="63">
        <f>Q204*Q203+Q206*Q205</f>
        <v>211.97360399105094</v>
      </c>
      <c r="R207" s="147">
        <f aca="true" t="shared" si="203" ref="R207:AK207">R204*R203+R206*R205</f>
        <v>232.5265777615803</v>
      </c>
      <c r="S207" s="63">
        <f t="shared" si="203"/>
        <v>254.9766909598858</v>
      </c>
      <c r="T207" s="63">
        <f t="shared" si="203"/>
        <v>280.1983818799015</v>
      </c>
      <c r="U207" s="147">
        <f t="shared" si="203"/>
        <v>323.4178061639505</v>
      </c>
      <c r="V207" s="63">
        <f t="shared" si="203"/>
        <v>356.48503972758147</v>
      </c>
      <c r="W207" s="63">
        <f t="shared" si="203"/>
        <v>379.5921141331928</v>
      </c>
      <c r="X207" s="63">
        <f t="shared" si="203"/>
        <v>403.6538316002785</v>
      </c>
      <c r="Y207" s="63">
        <f t="shared" si="203"/>
        <v>423.14943888178516</v>
      </c>
      <c r="Z207" s="63">
        <f t="shared" si="203"/>
        <v>439.32644764676184</v>
      </c>
      <c r="AA207" s="63">
        <f t="shared" si="203"/>
        <v>456.05113288577576</v>
      </c>
      <c r="AB207" s="63">
        <f t="shared" si="203"/>
        <v>473.34608452775274</v>
      </c>
      <c r="AC207" s="63">
        <f t="shared" si="203"/>
        <v>491.234562777469</v>
      </c>
      <c r="AD207" s="63">
        <f t="shared" si="203"/>
        <v>509.7405318671357</v>
      </c>
      <c r="AE207" s="63">
        <f t="shared" si="203"/>
        <v>528.8886944857758</v>
      </c>
      <c r="AF207" s="63">
        <f t="shared" si="203"/>
        <v>546.6312644978536</v>
      </c>
      <c r="AG207" s="63">
        <f t="shared" si="203"/>
        <v>564.9209256590834</v>
      </c>
      <c r="AH207" s="63">
        <f>AH204*AH203+AH206*AH205</f>
        <v>583.7775139069108</v>
      </c>
      <c r="AI207" s="63">
        <f t="shared" si="203"/>
        <v>603.2213854081483</v>
      </c>
      <c r="AJ207" s="63">
        <f t="shared" si="203"/>
        <v>623.2734415521068</v>
      </c>
      <c r="AK207" s="63">
        <f t="shared" si="203"/>
        <v>643.9551542494798</v>
      </c>
      <c r="AL207" s="63"/>
      <c r="AR207" s="63">
        <f>AR204*AR203+AR206*AR205</f>
        <v>211.97360399105094</v>
      </c>
      <c r="AS207" s="63">
        <f aca="true" t="shared" si="204" ref="AS207:BL207">AS204*AS203+AS206*AS205</f>
        <v>232.5265777615803</v>
      </c>
      <c r="AT207" s="63">
        <f t="shared" si="204"/>
        <v>254.9766909598858</v>
      </c>
      <c r="AU207" s="63">
        <f t="shared" si="204"/>
        <v>279.27798489872265</v>
      </c>
      <c r="AV207" s="147">
        <f t="shared" si="204"/>
        <v>317.2587480396302</v>
      </c>
      <c r="AW207" s="63">
        <f t="shared" si="204"/>
        <v>344.439488504185</v>
      </c>
      <c r="AX207" s="63">
        <f t="shared" si="204"/>
        <v>361.37256460270896</v>
      </c>
      <c r="AY207" s="63">
        <f t="shared" si="204"/>
        <v>378.7454944257431</v>
      </c>
      <c r="AZ207" s="63">
        <f t="shared" si="204"/>
        <v>396.8935973933885</v>
      </c>
      <c r="BA207" s="63">
        <f t="shared" si="204"/>
        <v>411.9312564099502</v>
      </c>
      <c r="BB207" s="63">
        <f t="shared" si="204"/>
        <v>427.48577484559814</v>
      </c>
      <c r="BC207" s="63">
        <f t="shared" si="204"/>
        <v>443.57797054322776</v>
      </c>
      <c r="BD207" s="63">
        <f t="shared" si="204"/>
        <v>460.22930560213814</v>
      </c>
      <c r="BE207" s="63">
        <f t="shared" si="204"/>
        <v>477.4619168618407</v>
      </c>
      <c r="BF207" s="63">
        <f t="shared" si="204"/>
        <v>495.29864708305183</v>
      </c>
      <c r="BG207" s="63">
        <f t="shared" si="204"/>
        <v>511.82183957750317</v>
      </c>
      <c r="BH207" s="63">
        <f t="shared" si="204"/>
        <v>528.8602286398641</v>
      </c>
      <c r="BI207" s="63">
        <f t="shared" si="204"/>
        <v>546.4321111647199</v>
      </c>
      <c r="BJ207" s="63">
        <f t="shared" si="204"/>
        <v>564.5562857385135</v>
      </c>
      <c r="BK207" s="63">
        <f t="shared" si="204"/>
        <v>583.2520750209084</v>
      </c>
      <c r="BL207" s="63">
        <f t="shared" si="204"/>
        <v>602.5393484740521</v>
      </c>
    </row>
    <row r="208" spans="4:89" s="146" customFormat="1" ht="12.75">
      <c r="D208" s="230" t="s">
        <v>383</v>
      </c>
      <c r="E208" s="230"/>
      <c r="F208" s="230"/>
      <c r="G208" s="231"/>
      <c r="L208" s="232"/>
      <c r="M208" s="147"/>
      <c r="Q208" s="220">
        <f>Q207*$P$17</f>
        <v>68302605.73044974</v>
      </c>
      <c r="R208" s="220">
        <f aca="true" t="shared" si="205" ref="R208:AK208">R207*$P$17</f>
        <v>74925230.61206476</v>
      </c>
      <c r="S208" s="220">
        <f t="shared" si="205"/>
        <v>82159155.97596319</v>
      </c>
      <c r="T208" s="220">
        <f t="shared" si="205"/>
        <v>90286145.27241269</v>
      </c>
      <c r="U208" s="220">
        <f t="shared" si="205"/>
        <v>104212404.20838404</v>
      </c>
      <c r="V208" s="220">
        <f t="shared" si="205"/>
        <v>114867401.68999846</v>
      </c>
      <c r="W208" s="220">
        <f t="shared" si="205"/>
        <v>122313014.55402878</v>
      </c>
      <c r="X208" s="220">
        <f t="shared" si="205"/>
        <v>130066234.6267564</v>
      </c>
      <c r="Y208" s="220">
        <f t="shared" si="205"/>
        <v>136348152.5285752</v>
      </c>
      <c r="Z208" s="220">
        <f t="shared" si="205"/>
        <v>141560744.24173436</v>
      </c>
      <c r="AA208" s="220">
        <f t="shared" si="205"/>
        <v>146949809.48541662</v>
      </c>
      <c r="AB208" s="220">
        <f t="shared" si="205"/>
        <v>152522627.23672032</v>
      </c>
      <c r="AC208" s="220">
        <f t="shared" si="205"/>
        <v>158286692.45051777</v>
      </c>
      <c r="AD208" s="220">
        <f t="shared" si="205"/>
        <v>164249726.93496594</v>
      </c>
      <c r="AE208" s="220">
        <f t="shared" si="205"/>
        <v>170419690.44541663</v>
      </c>
      <c r="AF208" s="220">
        <f t="shared" si="205"/>
        <v>176136740.7826417</v>
      </c>
      <c r="AG208" s="220">
        <f t="shared" si="205"/>
        <v>182030076.04570463</v>
      </c>
      <c r="AH208" s="220">
        <f t="shared" si="205"/>
        <v>188106087.814449</v>
      </c>
      <c r="AI208" s="220">
        <f t="shared" si="205"/>
        <v>194371335.29818112</v>
      </c>
      <c r="AJ208" s="220">
        <f t="shared" si="205"/>
        <v>200832553.38901216</v>
      </c>
      <c r="AK208" s="220">
        <f t="shared" si="205"/>
        <v>207496660.81372127</v>
      </c>
      <c r="AL208" s="220"/>
      <c r="AM208" s="203"/>
      <c r="AR208" s="220">
        <f>AR207*$AQ$17</f>
        <v>68302605.73044974</v>
      </c>
      <c r="AS208" s="220">
        <f aca="true" t="shared" si="206" ref="AS208:BL208">AS207*$AQ$17</f>
        <v>74925230.61206476</v>
      </c>
      <c r="AT208" s="220">
        <f t="shared" si="206"/>
        <v>82159155.97596319</v>
      </c>
      <c r="AU208" s="220">
        <f t="shared" si="206"/>
        <v>89989572.91181062</v>
      </c>
      <c r="AV208" s="220">
        <f>AV207*$AQ$17</f>
        <v>102227818.81276971</v>
      </c>
      <c r="AW208" s="220">
        <f t="shared" si="206"/>
        <v>110986057.40690406</v>
      </c>
      <c r="AX208" s="220">
        <f t="shared" si="206"/>
        <v>116442270.81642844</v>
      </c>
      <c r="AY208" s="220">
        <f t="shared" si="206"/>
        <v>122040214.87051721</v>
      </c>
      <c r="AZ208" s="220">
        <f t="shared" si="206"/>
        <v>127887936.93786962</v>
      </c>
      <c r="BA208" s="220">
        <f t="shared" si="206"/>
        <v>132733404.84320617</v>
      </c>
      <c r="BB208" s="220">
        <f t="shared" si="206"/>
        <v>137745416.33913717</v>
      </c>
      <c r="BC208" s="220">
        <f t="shared" si="206"/>
        <v>142930679.39726228</v>
      </c>
      <c r="BD208" s="220">
        <f t="shared" si="206"/>
        <v>148296109.58291116</v>
      </c>
      <c r="BE208" s="220">
        <f t="shared" si="206"/>
        <v>153848839.8777042</v>
      </c>
      <c r="BF208" s="220">
        <f t="shared" si="206"/>
        <v>159596230.72676113</v>
      </c>
      <c r="BG208" s="220">
        <f t="shared" si="206"/>
        <v>164920370.53052878</v>
      </c>
      <c r="BH208" s="220">
        <f t="shared" si="206"/>
        <v>170410518.1172895</v>
      </c>
      <c r="BI208" s="220">
        <f t="shared" si="206"/>
        <v>176072569.1530764</v>
      </c>
      <c r="BJ208" s="220">
        <f t="shared" si="206"/>
        <v>181912580.96018764</v>
      </c>
      <c r="BK208" s="220">
        <f t="shared" si="206"/>
        <v>187936779.72895935</v>
      </c>
      <c r="BL208" s="220">
        <f t="shared" si="206"/>
        <v>194151567.84163898</v>
      </c>
      <c r="BN208" s="203"/>
      <c r="BQ208" s="220">
        <f>Q208-AR208</f>
        <v>0</v>
      </c>
      <c r="BR208" s="220">
        <f>R208-AS208</f>
        <v>0</v>
      </c>
      <c r="BS208" s="220">
        <f aca="true" t="shared" si="207" ref="BS208:CK208">S208-AT208</f>
        <v>0</v>
      </c>
      <c r="BT208" s="220">
        <f>T208-AU208</f>
        <v>296572.3606020659</v>
      </c>
      <c r="BU208" s="220">
        <f t="shared" si="207"/>
        <v>1984585.395614326</v>
      </c>
      <c r="BV208" s="220">
        <f t="shared" si="207"/>
        <v>3881344.283094406</v>
      </c>
      <c r="BW208" s="220">
        <f t="shared" si="207"/>
        <v>5870743.737600341</v>
      </c>
      <c r="BX208" s="220">
        <f t="shared" si="207"/>
        <v>8026019.756239191</v>
      </c>
      <c r="BY208" s="220">
        <f t="shared" si="207"/>
        <v>8460215.590705588</v>
      </c>
      <c r="BZ208" s="220">
        <f t="shared" si="207"/>
        <v>8827339.398528188</v>
      </c>
      <c r="CA208" s="220">
        <f t="shared" si="207"/>
        <v>9204393.146279454</v>
      </c>
      <c r="CB208" s="220">
        <f t="shared" si="207"/>
        <v>9591947.839458048</v>
      </c>
      <c r="CC208" s="220">
        <f t="shared" si="207"/>
        <v>9990582.86760661</v>
      </c>
      <c r="CD208" s="220">
        <f t="shared" si="207"/>
        <v>10400887.057261735</v>
      </c>
      <c r="CE208" s="220">
        <f t="shared" si="207"/>
        <v>10823459.718655497</v>
      </c>
      <c r="CF208" s="220">
        <f t="shared" si="207"/>
        <v>11216370.252112925</v>
      </c>
      <c r="CG208" s="220">
        <f t="shared" si="207"/>
        <v>11619557.92841512</v>
      </c>
      <c r="CH208" s="220">
        <f t="shared" si="207"/>
        <v>12033518.661372602</v>
      </c>
      <c r="CI208" s="220">
        <f t="shared" si="207"/>
        <v>12458754.337993473</v>
      </c>
      <c r="CJ208" s="220">
        <f t="shared" si="207"/>
        <v>12895773.660052806</v>
      </c>
      <c r="CK208" s="220">
        <f t="shared" si="207"/>
        <v>13345092.972082287</v>
      </c>
    </row>
    <row r="209" spans="4:66" s="146" customFormat="1" ht="12.75">
      <c r="D209" s="230"/>
      <c r="E209" s="230"/>
      <c r="F209" s="230" t="s">
        <v>385</v>
      </c>
      <c r="G209" s="231"/>
      <c r="L209" s="232"/>
      <c r="M209" s="147"/>
      <c r="Q209" s="220"/>
      <c r="R209" s="220"/>
      <c r="S209" s="220"/>
      <c r="T209" s="220"/>
      <c r="U209" s="220"/>
      <c r="V209" s="220"/>
      <c r="W209" s="220"/>
      <c r="X209" s="220"/>
      <c r="Y209" s="220"/>
      <c r="Z209" s="220"/>
      <c r="AA209" s="220"/>
      <c r="AB209" s="220"/>
      <c r="AC209" s="220"/>
      <c r="AD209" s="220"/>
      <c r="AE209" s="220"/>
      <c r="AF209" s="220"/>
      <c r="AG209" s="220"/>
      <c r="AH209" s="220"/>
      <c r="AI209" s="220"/>
      <c r="AJ209" s="220"/>
      <c r="AK209" s="220"/>
      <c r="AL209" s="220"/>
      <c r="AM209" s="203"/>
      <c r="BN209" s="203"/>
    </row>
    <row r="210" spans="4:66" s="146" customFormat="1" ht="12.75">
      <c r="D210" s="230"/>
      <c r="E210" s="230"/>
      <c r="F210" s="230"/>
      <c r="G210" s="231" t="s">
        <v>233</v>
      </c>
      <c r="L210" s="232" t="s">
        <v>184</v>
      </c>
      <c r="M210" s="147"/>
      <c r="Q210" s="220">
        <f>Q$208*(Q185/Q$194)</f>
        <v>48442663.99420653</v>
      </c>
      <c r="R210" s="220">
        <f>R$208*(R185/R$194)</f>
        <v>53290839.00991445</v>
      </c>
      <c r="S210" s="220">
        <f aca="true" t="shared" si="208" ref="S210:AK210">S$208*(S185/S$194)</f>
        <v>58601075.83909464</v>
      </c>
      <c r="T210" s="220">
        <f t="shared" si="208"/>
        <v>64578409.52009614</v>
      </c>
      <c r="U210" s="220">
        <f t="shared" si="208"/>
        <v>74746998.8838281</v>
      </c>
      <c r="V210" s="220">
        <f t="shared" si="208"/>
        <v>82617260.17867933</v>
      </c>
      <c r="W210" s="220">
        <f t="shared" si="208"/>
        <v>88214073.61097425</v>
      </c>
      <c r="X210" s="220">
        <f t="shared" si="208"/>
        <v>94061651.33952437</v>
      </c>
      <c r="Y210" s="220">
        <f t="shared" si="208"/>
        <v>98871644.07026915</v>
      </c>
      <c r="Z210" s="220">
        <f t="shared" si="208"/>
        <v>102927513.69680862</v>
      </c>
      <c r="AA210" s="220">
        <f t="shared" si="208"/>
        <v>107131093.0413798</v>
      </c>
      <c r="AB210" s="220">
        <f t="shared" si="208"/>
        <v>111488585.0232271</v>
      </c>
      <c r="AC210" s="220">
        <f t="shared" si="208"/>
        <v>116006397.06150077</v>
      </c>
      <c r="AD210" s="220">
        <f t="shared" si="208"/>
        <v>120691150.4678172</v>
      </c>
      <c r="AE210" s="220">
        <f t="shared" si="208"/>
        <v>125549690.09381668</v>
      </c>
      <c r="AF210" s="220">
        <f t="shared" si="208"/>
        <v>130095667.54657182</v>
      </c>
      <c r="AG210" s="220">
        <f t="shared" si="208"/>
        <v>134792265.95944732</v>
      </c>
      <c r="AH210" s="220">
        <f t="shared" si="208"/>
        <v>139645067.07898438</v>
      </c>
      <c r="AI210" s="220">
        <f t="shared" si="208"/>
        <v>144659815.37741384</v>
      </c>
      <c r="AJ210" s="220">
        <f t="shared" si="208"/>
        <v>149842425.0352297</v>
      </c>
      <c r="AK210" s="220">
        <f t="shared" si="208"/>
        <v>155198987.0639363</v>
      </c>
      <c r="AL210" s="220"/>
      <c r="AM210" s="203"/>
      <c r="AR210" s="220">
        <f>AR$208*(Q185/Q$194)</f>
        <v>48442663.99420653</v>
      </c>
      <c r="AS210" s="220">
        <f aca="true" t="shared" si="209" ref="AS210:BL218">AS$208*(R185/R$194)</f>
        <v>53290839.00991445</v>
      </c>
      <c r="AT210" s="220">
        <f t="shared" si="209"/>
        <v>58601075.83909464</v>
      </c>
      <c r="AU210" s="220">
        <f t="shared" si="209"/>
        <v>64366282.0525039</v>
      </c>
      <c r="AV210" s="220">
        <f t="shared" si="209"/>
        <v>73323542.59301823</v>
      </c>
      <c r="AW210" s="220">
        <f t="shared" si="209"/>
        <v>79825641.09648885</v>
      </c>
      <c r="AX210" s="220">
        <f t="shared" si="209"/>
        <v>83980000.7111433</v>
      </c>
      <c r="AY210" s="220">
        <f t="shared" si="209"/>
        <v>88257372.66472523</v>
      </c>
      <c r="AZ210" s="220">
        <f t="shared" si="209"/>
        <v>92736794.35555315</v>
      </c>
      <c r="BA210" s="220">
        <f t="shared" si="209"/>
        <v>96509236.49916357</v>
      </c>
      <c r="BB210" s="220">
        <f t="shared" si="209"/>
        <v>100420797.17916325</v>
      </c>
      <c r="BC210" s="220">
        <f t="shared" si="209"/>
        <v>104477214.2409887</v>
      </c>
      <c r="BD210" s="220">
        <f t="shared" si="209"/>
        <v>108684420.05210873</v>
      </c>
      <c r="BE210" s="220">
        <f t="shared" si="209"/>
        <v>113048550.0918435</v>
      </c>
      <c r="BF210" s="220">
        <f t="shared" si="209"/>
        <v>117575951.79005337</v>
      </c>
      <c r="BG210" s="220">
        <f t="shared" si="209"/>
        <v>121811188.28963563</v>
      </c>
      <c r="BH210" s="220">
        <f t="shared" si="209"/>
        <v>126188047.4882927</v>
      </c>
      <c r="BI210" s="220">
        <f t="shared" si="209"/>
        <v>130711695.80861282</v>
      </c>
      <c r="BJ210" s="220">
        <f t="shared" si="209"/>
        <v>135387454.82279888</v>
      </c>
      <c r="BK210" s="220">
        <f t="shared" si="209"/>
        <v>140220807.5966224</v>
      </c>
      <c r="BL210" s="220">
        <f t="shared" si="209"/>
        <v>145217405.1752495</v>
      </c>
      <c r="BN210" s="203"/>
    </row>
    <row r="211" spans="4:66" s="146" customFormat="1" ht="12.75">
      <c r="D211" s="230"/>
      <c r="E211" s="230"/>
      <c r="F211" s="230"/>
      <c r="G211" s="231" t="s">
        <v>73</v>
      </c>
      <c r="L211" s="232" t="s">
        <v>184</v>
      </c>
      <c r="M211" s="147"/>
      <c r="Q211" s="220">
        <f aca="true" t="shared" si="210" ref="Q211:AK211">Q$208*(Q186/Q$194)</f>
        <v>2611725.4354876773</v>
      </c>
      <c r="R211" s="220">
        <f>R$208*(R186/R$194)</f>
        <v>2845078.378327881</v>
      </c>
      <c r="S211" s="220">
        <f t="shared" si="210"/>
        <v>3098057.281428628</v>
      </c>
      <c r="T211" s="220">
        <f t="shared" si="210"/>
        <v>3380752.483809743</v>
      </c>
      <c r="U211" s="220">
        <f t="shared" si="210"/>
        <v>3874913.107758896</v>
      </c>
      <c r="V211" s="220">
        <f t="shared" si="210"/>
        <v>4241125.981224666</v>
      </c>
      <c r="W211" s="220">
        <f t="shared" si="210"/>
        <v>4484256.427683464</v>
      </c>
      <c r="X211" s="220">
        <f t="shared" si="210"/>
        <v>4734862.126699558</v>
      </c>
      <c r="Y211" s="220">
        <f t="shared" si="210"/>
        <v>4928430.892382974</v>
      </c>
      <c r="Z211" s="220">
        <f t="shared" si="210"/>
        <v>5080548.1813225215</v>
      </c>
      <c r="AA211" s="220">
        <f t="shared" si="210"/>
        <v>5236448.118857132</v>
      </c>
      <c r="AB211" s="220">
        <f t="shared" si="210"/>
        <v>5396272.214347794</v>
      </c>
      <c r="AC211" s="220">
        <f t="shared" si="210"/>
        <v>5560163.486578096</v>
      </c>
      <c r="AD211" s="220">
        <f t="shared" si="210"/>
        <v>5728266.65877259</v>
      </c>
      <c r="AE211" s="220">
        <f t="shared" si="210"/>
        <v>5900728.348802368</v>
      </c>
      <c r="AF211" s="220">
        <f t="shared" si="210"/>
        <v>6054732.8710613325</v>
      </c>
      <c r="AG211" s="220">
        <f t="shared" si="210"/>
        <v>6212112.389729094</v>
      </c>
      <c r="AH211" s="220">
        <f t="shared" si="210"/>
        <v>6372973.403720224</v>
      </c>
      <c r="AI211" s="220">
        <f t="shared" si="210"/>
        <v>6537423.056830128</v>
      </c>
      <c r="AJ211" s="220">
        <f t="shared" si="210"/>
        <v>6705569.278550516</v>
      </c>
      <c r="AK211" s="220">
        <f t="shared" si="210"/>
        <v>6877520.9194034785</v>
      </c>
      <c r="AL211" s="220"/>
      <c r="AM211" s="203"/>
      <c r="AR211" s="220">
        <f aca="true" t="shared" si="211" ref="AR211:AR218">AR$208*(Q186/Q$194)</f>
        <v>2611725.4354876773</v>
      </c>
      <c r="AS211" s="220">
        <f t="shared" si="209"/>
        <v>2845078.378327881</v>
      </c>
      <c r="AT211" s="220">
        <f t="shared" si="209"/>
        <v>3098057.281428628</v>
      </c>
      <c r="AU211" s="220">
        <f t="shared" si="209"/>
        <v>3369647.371926745</v>
      </c>
      <c r="AV211" s="220">
        <f t="shared" si="209"/>
        <v>3801120.587364149</v>
      </c>
      <c r="AW211" s="220">
        <f t="shared" si="209"/>
        <v>4097819.2654905124</v>
      </c>
      <c r="AX211" s="220">
        <f t="shared" si="209"/>
        <v>4269022.419784918</v>
      </c>
      <c r="AY211" s="220">
        <f t="shared" si="209"/>
        <v>4442687.166141872</v>
      </c>
      <c r="AZ211" s="220">
        <f t="shared" si="209"/>
        <v>4622628.524692549</v>
      </c>
      <c r="BA211" s="220">
        <f t="shared" si="209"/>
        <v>4763739.143850061</v>
      </c>
      <c r="BB211" s="220">
        <f t="shared" si="209"/>
        <v>4908456.355241816</v>
      </c>
      <c r="BC211" s="220">
        <f t="shared" si="209"/>
        <v>5056907.737448203</v>
      </c>
      <c r="BD211" s="220">
        <f t="shared" si="209"/>
        <v>5209222.588072277</v>
      </c>
      <c r="BE211" s="220">
        <f t="shared" si="209"/>
        <v>5365532.085853866</v>
      </c>
      <c r="BF211" s="220">
        <f t="shared" si="209"/>
        <v>5525969.449598484</v>
      </c>
      <c r="BG211" s="220">
        <f t="shared" si="209"/>
        <v>5669168.079992169</v>
      </c>
      <c r="BH211" s="220">
        <f t="shared" si="209"/>
        <v>5815573.524623314</v>
      </c>
      <c r="BI211" s="220">
        <f t="shared" si="209"/>
        <v>5965281.684259522</v>
      </c>
      <c r="BJ211" s="220">
        <f t="shared" si="209"/>
        <v>6118389.315339218</v>
      </c>
      <c r="BK211" s="220">
        <f t="shared" si="209"/>
        <v>6274994.144097626</v>
      </c>
      <c r="BL211" s="220">
        <f t="shared" si="209"/>
        <v>6435194.976774087</v>
      </c>
      <c r="BN211" s="203"/>
    </row>
    <row r="212" spans="4:66" s="146" customFormat="1" ht="12.75">
      <c r="D212" s="230"/>
      <c r="E212" s="230"/>
      <c r="F212" s="230"/>
      <c r="G212" s="231" t="s">
        <v>72</v>
      </c>
      <c r="L212" s="232" t="s">
        <v>184</v>
      </c>
      <c r="M212" s="147"/>
      <c r="Q212" s="220">
        <f aca="true" t="shared" si="212" ref="Q212:AK212">Q$208*(Q187/Q$194)</f>
        <v>4471856.8746724585</v>
      </c>
      <c r="R212" s="220">
        <f t="shared" si="212"/>
        <v>4871409.196476972</v>
      </c>
      <c r="S212" s="220">
        <f t="shared" si="212"/>
        <v>5304565.542701767</v>
      </c>
      <c r="T212" s="220">
        <f t="shared" si="212"/>
        <v>5788602.825881516</v>
      </c>
      <c r="U212" s="220">
        <f t="shared" si="212"/>
        <v>6634716.109220129</v>
      </c>
      <c r="V212" s="220">
        <f t="shared" si="212"/>
        <v>7261754.286185189</v>
      </c>
      <c r="W212" s="220">
        <f t="shared" si="212"/>
        <v>7678047.8764935825</v>
      </c>
      <c r="X212" s="220">
        <f t="shared" si="212"/>
        <v>8107140.767633669</v>
      </c>
      <c r="Y212" s="220">
        <f t="shared" si="212"/>
        <v>8438573.698439157</v>
      </c>
      <c r="Z212" s="220">
        <f t="shared" si="212"/>
        <v>8699032.449216707</v>
      </c>
      <c r="AA212" s="220">
        <f t="shared" si="212"/>
        <v>8965967.938664326</v>
      </c>
      <c r="AB212" s="220">
        <f t="shared" si="212"/>
        <v>9239622.462393027</v>
      </c>
      <c r="AC212" s="220">
        <f t="shared" si="212"/>
        <v>9520240.900481356</v>
      </c>
      <c r="AD212" s="220">
        <f t="shared" si="212"/>
        <v>9808071.05139127</v>
      </c>
      <c r="AE212" s="220">
        <f t="shared" si="212"/>
        <v>10103363.957643433</v>
      </c>
      <c r="AF212" s="220">
        <f t="shared" si="212"/>
        <v>10367054.07308839</v>
      </c>
      <c r="AG212" s="220">
        <f t="shared" si="212"/>
        <v>10636522.935674066</v>
      </c>
      <c r="AH212" s="220">
        <f t="shared" si="212"/>
        <v>10911952.895312065</v>
      </c>
      <c r="AI212" s="220">
        <f t="shared" si="212"/>
        <v>11193527.406095639</v>
      </c>
      <c r="AJ212" s="220">
        <f t="shared" si="212"/>
        <v>11481431.267402632</v>
      </c>
      <c r="AK212" s="220">
        <f t="shared" si="212"/>
        <v>11775850.855622511</v>
      </c>
      <c r="AL212" s="220"/>
      <c r="AM212" s="203"/>
      <c r="AR212" s="220">
        <f t="shared" si="211"/>
        <v>4471856.8746724585</v>
      </c>
      <c r="AS212" s="220">
        <f t="shared" si="209"/>
        <v>4871409.196476972</v>
      </c>
      <c r="AT212" s="220">
        <f t="shared" si="209"/>
        <v>5304565.542701767</v>
      </c>
      <c r="AU212" s="220">
        <f t="shared" si="209"/>
        <v>5769588.395710865</v>
      </c>
      <c r="AV212" s="220">
        <f t="shared" si="209"/>
        <v>6508366.844039795</v>
      </c>
      <c r="AW212" s="220">
        <f t="shared" si="209"/>
        <v>7016381.20322831</v>
      </c>
      <c r="AX212" s="220">
        <f t="shared" si="209"/>
        <v>7309519.215399966</v>
      </c>
      <c r="AY212" s="220">
        <f t="shared" si="209"/>
        <v>7606872.022602631</v>
      </c>
      <c r="AZ212" s="220">
        <f t="shared" si="209"/>
        <v>7914971.790801346</v>
      </c>
      <c r="BA212" s="220">
        <f t="shared" si="209"/>
        <v>8156584.666257064</v>
      </c>
      <c r="BB212" s="220">
        <f t="shared" si="209"/>
        <v>8404372.832597904</v>
      </c>
      <c r="BC212" s="220">
        <f t="shared" si="209"/>
        <v>8658554.732829148</v>
      </c>
      <c r="BD212" s="220">
        <f t="shared" si="209"/>
        <v>8919351.753305765</v>
      </c>
      <c r="BE212" s="220">
        <f t="shared" si="209"/>
        <v>9186988.501308793</v>
      </c>
      <c r="BF212" s="220">
        <f t="shared" si="209"/>
        <v>9461693.077167952</v>
      </c>
      <c r="BG212" s="220">
        <f t="shared" si="209"/>
        <v>9706881.093897587</v>
      </c>
      <c r="BH212" s="220">
        <f t="shared" si="209"/>
        <v>9957559.892352868</v>
      </c>
      <c r="BI212" s="220">
        <f t="shared" si="209"/>
        <v>10213893.676052336</v>
      </c>
      <c r="BJ212" s="220">
        <f t="shared" si="209"/>
        <v>10476048.113615582</v>
      </c>
      <c r="BK212" s="220">
        <f t="shared" si="209"/>
        <v>10744190.534168104</v>
      </c>
      <c r="BL212" s="220">
        <f t="shared" si="209"/>
        <v>11018490.11604542</v>
      </c>
      <c r="BN212" s="203"/>
    </row>
    <row r="213" spans="4:66" s="146" customFormat="1" ht="12.75">
      <c r="D213" s="230"/>
      <c r="E213" s="230"/>
      <c r="F213" s="230"/>
      <c r="G213" s="231" t="s">
        <v>85</v>
      </c>
      <c r="L213" s="232" t="s">
        <v>184</v>
      </c>
      <c r="M213" s="147"/>
      <c r="Q213" s="220">
        <f aca="true" t="shared" si="213" ref="Q213:AK213">Q$208*(Q188/Q$194)</f>
        <v>1928062.0381213056</v>
      </c>
      <c r="R213" s="220">
        <f t="shared" si="213"/>
        <v>2100330.8932087016</v>
      </c>
      <c r="S213" s="220">
        <f t="shared" si="213"/>
        <v>2287088.2808293644</v>
      </c>
      <c r="T213" s="220">
        <f t="shared" si="213"/>
        <v>2495783.2227493506</v>
      </c>
      <c r="U213" s="220">
        <f t="shared" si="213"/>
        <v>2860588.9281365206</v>
      </c>
      <c r="V213" s="220">
        <f t="shared" si="213"/>
        <v>3130939.375241932</v>
      </c>
      <c r="W213" s="220">
        <f t="shared" si="213"/>
        <v>3310426.306662488</v>
      </c>
      <c r="X213" s="220">
        <f t="shared" si="213"/>
        <v>3495431.7165897335</v>
      </c>
      <c r="Y213" s="220">
        <f t="shared" si="213"/>
        <v>3638330.57717017</v>
      </c>
      <c r="Z213" s="220">
        <f t="shared" si="213"/>
        <v>3750628.5875816355</v>
      </c>
      <c r="AA213" s="220">
        <f t="shared" si="213"/>
        <v>3865719.0742084733</v>
      </c>
      <c r="AB213" s="220">
        <f t="shared" si="213"/>
        <v>3983706.5039380924</v>
      </c>
      <c r="AC213" s="220">
        <f t="shared" si="213"/>
        <v>4104696.4579635067</v>
      </c>
      <c r="AD213" s="220">
        <f t="shared" si="213"/>
        <v>4228795.775752352</v>
      </c>
      <c r="AE213" s="220">
        <f t="shared" si="213"/>
        <v>4356112.695463284</v>
      </c>
      <c r="AF213" s="220">
        <f t="shared" si="213"/>
        <v>4469803.92388711</v>
      </c>
      <c r="AG213" s="220">
        <f t="shared" si="213"/>
        <v>4585986.686208908</v>
      </c>
      <c r="AH213" s="220">
        <f t="shared" si="213"/>
        <v>4704739.603447327</v>
      </c>
      <c r="AI213" s="220">
        <f t="shared" si="213"/>
        <v>4826141.772693418</v>
      </c>
      <c r="AJ213" s="220">
        <f t="shared" si="213"/>
        <v>4950272.871065273</v>
      </c>
      <c r="AK213" s="220">
        <f t="shared" si="213"/>
        <v>5077213.25561595</v>
      </c>
      <c r="AL213" s="220"/>
      <c r="AM213" s="203"/>
      <c r="AR213" s="220">
        <f t="shared" si="211"/>
        <v>1928062.0381213056</v>
      </c>
      <c r="AS213" s="220">
        <f t="shared" si="209"/>
        <v>2100330.8932087016</v>
      </c>
      <c r="AT213" s="220">
        <f t="shared" si="209"/>
        <v>2287088.2808293644</v>
      </c>
      <c r="AU213" s="220">
        <f t="shared" si="209"/>
        <v>2487585.062115861</v>
      </c>
      <c r="AV213" s="220">
        <f t="shared" si="209"/>
        <v>2806112.850621949</v>
      </c>
      <c r="AW213" s="220">
        <f t="shared" si="209"/>
        <v>3025145.6211740314</v>
      </c>
      <c r="AX213" s="220">
        <f t="shared" si="209"/>
        <v>3151533.4482083987</v>
      </c>
      <c r="AY213" s="220">
        <f t="shared" si="209"/>
        <v>3279738.5038628457</v>
      </c>
      <c r="AZ213" s="220">
        <f t="shared" si="209"/>
        <v>3412577.1620906</v>
      </c>
      <c r="BA213" s="220">
        <f t="shared" si="209"/>
        <v>3516749.685081173</v>
      </c>
      <c r="BB213" s="220">
        <f t="shared" si="209"/>
        <v>3623584.7136626206</v>
      </c>
      <c r="BC213" s="220">
        <f t="shared" si="209"/>
        <v>3733176.430559679</v>
      </c>
      <c r="BD213" s="220">
        <f t="shared" si="209"/>
        <v>3845620.287536385</v>
      </c>
      <c r="BE213" s="220">
        <f t="shared" si="209"/>
        <v>3961013.1250740904</v>
      </c>
      <c r="BF213" s="220">
        <f t="shared" si="209"/>
        <v>4079453.2896983637</v>
      </c>
      <c r="BG213" s="220">
        <f t="shared" si="209"/>
        <v>4185167.2515954776</v>
      </c>
      <c r="BH213" s="220">
        <f t="shared" si="209"/>
        <v>4293248.589752994</v>
      </c>
      <c r="BI213" s="220">
        <f t="shared" si="209"/>
        <v>4403768.101287186</v>
      </c>
      <c r="BJ213" s="220">
        <f t="shared" si="209"/>
        <v>4516797.214998865</v>
      </c>
      <c r="BK213" s="220">
        <f t="shared" si="209"/>
        <v>4632408.075624943</v>
      </c>
      <c r="BL213" s="220">
        <f t="shared" si="209"/>
        <v>4750673.6251969775</v>
      </c>
      <c r="BN213" s="203"/>
    </row>
    <row r="214" spans="4:66" s="146" customFormat="1" ht="12.75">
      <c r="D214" s="230"/>
      <c r="E214" s="230"/>
      <c r="F214" s="230"/>
      <c r="G214" s="231" t="s">
        <v>81</v>
      </c>
      <c r="L214" s="232" t="s">
        <v>184</v>
      </c>
      <c r="M214" s="147"/>
      <c r="Q214" s="220">
        <f aca="true" t="shared" si="214" ref="Q214:AK214">Q$208*(Q189/Q$194)</f>
        <v>2663104.3077172106</v>
      </c>
      <c r="R214" s="220">
        <f t="shared" si="214"/>
        <v>2901047.8598426194</v>
      </c>
      <c r="S214" s="220">
        <f t="shared" si="214"/>
        <v>3159003.461704496</v>
      </c>
      <c r="T214" s="220">
        <f t="shared" si="214"/>
        <v>3447259.953371873</v>
      </c>
      <c r="U214" s="220">
        <f t="shared" si="214"/>
        <v>3951141.8961142506</v>
      </c>
      <c r="V214" s="220">
        <f t="shared" si="214"/>
        <v>4324559.050772423</v>
      </c>
      <c r="W214" s="220">
        <f t="shared" si="214"/>
        <v>4572472.453346738</v>
      </c>
      <c r="X214" s="220">
        <f t="shared" si="214"/>
        <v>4828008.164535953</v>
      </c>
      <c r="Y214" s="220">
        <f t="shared" si="214"/>
        <v>5025384.889794458</v>
      </c>
      <c r="Z214" s="220">
        <f t="shared" si="214"/>
        <v>5180494.6888372</v>
      </c>
      <c r="AA214" s="220">
        <f t="shared" si="214"/>
        <v>5339461.550200042</v>
      </c>
      <c r="AB214" s="220">
        <f t="shared" si="214"/>
        <v>5502429.767071189</v>
      </c>
      <c r="AC214" s="220">
        <f t="shared" si="214"/>
        <v>5669545.171754722</v>
      </c>
      <c r="AD214" s="220">
        <f t="shared" si="214"/>
        <v>5840955.334526416</v>
      </c>
      <c r="AE214" s="220">
        <f t="shared" si="214"/>
        <v>6016809.757580915</v>
      </c>
      <c r="AF214" s="220">
        <f t="shared" si="214"/>
        <v>6173843.916326346</v>
      </c>
      <c r="AG214" s="220">
        <f t="shared" si="214"/>
        <v>6334319.465714475</v>
      </c>
      <c r="AH214" s="220">
        <f t="shared" si="214"/>
        <v>6498344.999747366</v>
      </c>
      <c r="AI214" s="220">
        <f t="shared" si="214"/>
        <v>6666029.769995051</v>
      </c>
      <c r="AJ214" s="220">
        <f t="shared" si="214"/>
        <v>6837483.829179527</v>
      </c>
      <c r="AK214" s="220">
        <f t="shared" si="214"/>
        <v>7012818.169172801</v>
      </c>
      <c r="AL214" s="220"/>
      <c r="AM214" s="203"/>
      <c r="AR214" s="220">
        <f t="shared" si="211"/>
        <v>2663104.3077172106</v>
      </c>
      <c r="AS214" s="220">
        <f t="shared" si="209"/>
        <v>2901047.8598426194</v>
      </c>
      <c r="AT214" s="220">
        <f t="shared" si="209"/>
        <v>3159003.461704496</v>
      </c>
      <c r="AU214" s="220">
        <f t="shared" si="209"/>
        <v>3435936.3774356563</v>
      </c>
      <c r="AV214" s="220">
        <f t="shared" si="209"/>
        <v>3875897.70073662</v>
      </c>
      <c r="AW214" s="220">
        <f t="shared" si="209"/>
        <v>4178433.1499366146</v>
      </c>
      <c r="AX214" s="220">
        <f t="shared" si="209"/>
        <v>4353004.278854335</v>
      </c>
      <c r="AY214" s="220">
        <f t="shared" si="209"/>
        <v>4530085.4252251135</v>
      </c>
      <c r="AZ214" s="220">
        <f t="shared" si="209"/>
        <v>4713566.659730614</v>
      </c>
      <c r="BA214" s="220">
        <f t="shared" si="209"/>
        <v>4857453.261529158</v>
      </c>
      <c r="BB214" s="220">
        <f t="shared" si="209"/>
        <v>5005017.405838214</v>
      </c>
      <c r="BC214" s="220">
        <f t="shared" si="209"/>
        <v>5156389.181013664</v>
      </c>
      <c r="BD214" s="220">
        <f t="shared" si="209"/>
        <v>5311700.428250707</v>
      </c>
      <c r="BE214" s="220">
        <f t="shared" si="209"/>
        <v>5471084.906888057</v>
      </c>
      <c r="BF214" s="220">
        <f t="shared" si="209"/>
        <v>5634678.456463169</v>
      </c>
      <c r="BG214" s="220">
        <f t="shared" si="209"/>
        <v>5780694.145661942</v>
      </c>
      <c r="BH214" s="220">
        <f t="shared" si="209"/>
        <v>5929979.7347873915</v>
      </c>
      <c r="BI214" s="220">
        <f t="shared" si="209"/>
        <v>6082633.011203789</v>
      </c>
      <c r="BJ214" s="220">
        <f t="shared" si="209"/>
        <v>6238752.63478006</v>
      </c>
      <c r="BK214" s="220">
        <f t="shared" si="209"/>
        <v>6398438.254259328</v>
      </c>
      <c r="BL214" s="220">
        <f t="shared" si="209"/>
        <v>6561790.619635819</v>
      </c>
      <c r="BN214" s="203"/>
    </row>
    <row r="215" spans="4:66" s="146" customFormat="1" ht="12.75">
      <c r="D215" s="230"/>
      <c r="E215" s="230"/>
      <c r="F215" s="230"/>
      <c r="G215" s="231" t="s">
        <v>82</v>
      </c>
      <c r="L215" s="232" t="s">
        <v>184</v>
      </c>
      <c r="M215" s="147"/>
      <c r="Q215" s="220">
        <f aca="true" t="shared" si="215" ref="Q215:AK215">Q$208*(Q190/Q$194)</f>
        <v>264913.2766091965</v>
      </c>
      <c r="R215" s="220">
        <f t="shared" si="215"/>
        <v>288582.7986248803</v>
      </c>
      <c r="S215" s="220">
        <f t="shared" si="215"/>
        <v>314243.02661929297</v>
      </c>
      <c r="T215" s="220">
        <f t="shared" si="215"/>
        <v>342917.4467275065</v>
      </c>
      <c r="U215" s="220">
        <f t="shared" si="215"/>
        <v>393041.28757342225</v>
      </c>
      <c r="V215" s="220">
        <f t="shared" si="215"/>
        <v>430187.09583031957</v>
      </c>
      <c r="W215" s="220">
        <f t="shared" si="215"/>
        <v>454848.37237175263</v>
      </c>
      <c r="X215" s="220">
        <f t="shared" si="215"/>
        <v>480267.88085500087</v>
      </c>
      <c r="Y215" s="220">
        <f t="shared" si="215"/>
        <v>499902.0029068953</v>
      </c>
      <c r="Z215" s="220">
        <f t="shared" si="215"/>
        <v>515331.6069894345</v>
      </c>
      <c r="AA215" s="220">
        <f t="shared" si="215"/>
        <v>531144.8937592767</v>
      </c>
      <c r="AB215" s="220">
        <f t="shared" si="215"/>
        <v>547356.2168341391</v>
      </c>
      <c r="AC215" s="220">
        <f t="shared" si="215"/>
        <v>563980.0829359303</v>
      </c>
      <c r="AD215" s="220">
        <f t="shared" si="215"/>
        <v>581031.171671884</v>
      </c>
      <c r="AE215" s="220">
        <f t="shared" si="215"/>
        <v>598524.3548275669</v>
      </c>
      <c r="AF215" s="220">
        <f t="shared" si="215"/>
        <v>614145.3852965106</v>
      </c>
      <c r="AG215" s="220">
        <f t="shared" si="215"/>
        <v>630108.7493603308</v>
      </c>
      <c r="AH215" s="220">
        <f t="shared" si="215"/>
        <v>646425.2494472224</v>
      </c>
      <c r="AI215" s="220">
        <f t="shared" si="215"/>
        <v>663105.7533970886</v>
      </c>
      <c r="AJ215" s="220">
        <f t="shared" si="215"/>
        <v>680161.2087447542</v>
      </c>
      <c r="AK215" s="220">
        <f t="shared" si="215"/>
        <v>697602.6564474319</v>
      </c>
      <c r="AL215" s="220"/>
      <c r="AM215" s="203"/>
      <c r="AR215" s="220">
        <f t="shared" si="211"/>
        <v>264913.2766091965</v>
      </c>
      <c r="AS215" s="220">
        <f t="shared" si="209"/>
        <v>288582.7986248803</v>
      </c>
      <c r="AT215" s="220">
        <f t="shared" si="209"/>
        <v>314243.02661929297</v>
      </c>
      <c r="AU215" s="220">
        <f t="shared" si="209"/>
        <v>341791.0298629836</v>
      </c>
      <c r="AV215" s="220">
        <f t="shared" si="209"/>
        <v>385556.34367334755</v>
      </c>
      <c r="AW215" s="220">
        <f t="shared" si="209"/>
        <v>415651.1683130579</v>
      </c>
      <c r="AX215" s="220">
        <f t="shared" si="209"/>
        <v>433016.69531436445</v>
      </c>
      <c r="AY215" s="220">
        <f t="shared" si="209"/>
        <v>450631.9072213303</v>
      </c>
      <c r="AZ215" s="220">
        <f t="shared" si="209"/>
        <v>468883.7702401086</v>
      </c>
      <c r="BA215" s="220">
        <f t="shared" si="209"/>
        <v>483196.94266528665</v>
      </c>
      <c r="BB215" s="220">
        <f t="shared" si="209"/>
        <v>497875.9399789427</v>
      </c>
      <c r="BC215" s="220">
        <f t="shared" si="209"/>
        <v>512933.7027678973</v>
      </c>
      <c r="BD215" s="220">
        <f t="shared" si="209"/>
        <v>528383.3459833753</v>
      </c>
      <c r="BE215" s="220">
        <f t="shared" si="209"/>
        <v>544238.1753845873</v>
      </c>
      <c r="BF215" s="220">
        <f t="shared" si="209"/>
        <v>560511.7036592719</v>
      </c>
      <c r="BG215" s="220">
        <f t="shared" si="209"/>
        <v>575036.6678335662</v>
      </c>
      <c r="BH215" s="220">
        <f t="shared" si="209"/>
        <v>589886.9065009385</v>
      </c>
      <c r="BI215" s="220">
        <f t="shared" si="209"/>
        <v>605072.1470953268</v>
      </c>
      <c r="BJ215" s="220">
        <f t="shared" si="209"/>
        <v>620602.2038432892</v>
      </c>
      <c r="BK215" s="220">
        <f t="shared" si="209"/>
        <v>636486.9893400421</v>
      </c>
      <c r="BL215" s="220">
        <f t="shared" si="209"/>
        <v>652736.5257282481</v>
      </c>
      <c r="BN215" s="203"/>
    </row>
    <row r="216" spans="4:66" s="146" customFormat="1" ht="12.75">
      <c r="D216" s="230"/>
      <c r="E216" s="230"/>
      <c r="F216" s="230"/>
      <c r="G216" s="231" t="s">
        <v>189</v>
      </c>
      <c r="L216" s="232" t="s">
        <v>184</v>
      </c>
      <c r="M216" s="147"/>
      <c r="Q216" s="220">
        <f aca="true" t="shared" si="216" ref="Q216:AK216">Q$208*(Q191/Q$194)</f>
        <v>4012743.666060501</v>
      </c>
      <c r="R216" s="220">
        <f t="shared" si="216"/>
        <v>4371275.053248122</v>
      </c>
      <c r="S216" s="220">
        <f t="shared" si="216"/>
        <v>4759960.432373713</v>
      </c>
      <c r="T216" s="220">
        <f t="shared" si="216"/>
        <v>5194302.943024608</v>
      </c>
      <c r="U216" s="220">
        <f t="shared" si="216"/>
        <v>5953548.109773226</v>
      </c>
      <c r="V216" s="220">
        <f t="shared" si="216"/>
        <v>6516210.006947428</v>
      </c>
      <c r="W216" s="220">
        <f t="shared" si="216"/>
        <v>6889763.88278652</v>
      </c>
      <c r="X216" s="220">
        <f t="shared" si="216"/>
        <v>7274802.990550835</v>
      </c>
      <c r="Y216" s="220">
        <f t="shared" si="216"/>
        <v>7572208.6166894715</v>
      </c>
      <c r="Z216" s="220">
        <f t="shared" si="216"/>
        <v>7805926.786063729</v>
      </c>
      <c r="AA216" s="220">
        <f t="shared" si="216"/>
        <v>8045456.745216649</v>
      </c>
      <c r="AB216" s="220">
        <f t="shared" si="216"/>
        <v>8291015.913936982</v>
      </c>
      <c r="AC216" s="220">
        <f t="shared" si="216"/>
        <v>8542824.031141307</v>
      </c>
      <c r="AD216" s="220">
        <f t="shared" si="216"/>
        <v>8801103.454507293</v>
      </c>
      <c r="AE216" s="220">
        <f t="shared" si="216"/>
        <v>9066079.452712178</v>
      </c>
      <c r="AF216" s="220">
        <f t="shared" si="216"/>
        <v>9302697.231458066</v>
      </c>
      <c r="AG216" s="220">
        <f t="shared" si="216"/>
        <v>9544500.469317777</v>
      </c>
      <c r="AH216" s="220">
        <f t="shared" si="216"/>
        <v>9791652.794840762</v>
      </c>
      <c r="AI216" s="220">
        <f t="shared" si="216"/>
        <v>10044318.827394277</v>
      </c>
      <c r="AJ216" s="220">
        <f t="shared" si="216"/>
        <v>10302664.39351367</v>
      </c>
      <c r="AK216" s="220">
        <f t="shared" si="216"/>
        <v>10566856.73484002</v>
      </c>
      <c r="AL216" s="220"/>
      <c r="AM216" s="203"/>
      <c r="AR216" s="220">
        <f t="shared" si="211"/>
        <v>4012743.666060501</v>
      </c>
      <c r="AS216" s="220">
        <f t="shared" si="209"/>
        <v>4371275.053248122</v>
      </c>
      <c r="AT216" s="220">
        <f t="shared" si="209"/>
        <v>4759960.432373713</v>
      </c>
      <c r="AU216" s="220">
        <f t="shared" si="209"/>
        <v>5177240.671943624</v>
      </c>
      <c r="AV216" s="220">
        <f t="shared" si="209"/>
        <v>5840170.775083614</v>
      </c>
      <c r="AW216" s="220">
        <f t="shared" si="209"/>
        <v>6296028.701496082</v>
      </c>
      <c r="AX216" s="220">
        <f t="shared" si="209"/>
        <v>6559071.0426509585</v>
      </c>
      <c r="AY216" s="220">
        <f t="shared" si="209"/>
        <v>6825895.4574584775</v>
      </c>
      <c r="AZ216" s="220">
        <f t="shared" si="209"/>
        <v>7102363.472424935</v>
      </c>
      <c r="BA216" s="220">
        <f t="shared" si="209"/>
        <v>7319170.620505704</v>
      </c>
      <c r="BB216" s="220">
        <f t="shared" si="209"/>
        <v>7541519.059392639</v>
      </c>
      <c r="BC216" s="220">
        <f t="shared" si="209"/>
        <v>7769604.805150012</v>
      </c>
      <c r="BD216" s="220">
        <f t="shared" si="209"/>
        <v>8003626.515006595</v>
      </c>
      <c r="BE216" s="220">
        <f t="shared" si="209"/>
        <v>8243785.736433697</v>
      </c>
      <c r="BF216" s="220">
        <f t="shared" si="209"/>
        <v>8490287.151329085</v>
      </c>
      <c r="BG216" s="220">
        <f t="shared" si="209"/>
        <v>8710302.390792191</v>
      </c>
      <c r="BH216" s="220">
        <f t="shared" si="209"/>
        <v>8935244.68856879</v>
      </c>
      <c r="BI216" s="220">
        <f t="shared" si="209"/>
        <v>9165261.389855376</v>
      </c>
      <c r="BJ216" s="220">
        <f t="shared" si="209"/>
        <v>9400501.154531077</v>
      </c>
      <c r="BK216" s="220">
        <f t="shared" si="209"/>
        <v>9641114.13250152</v>
      </c>
      <c r="BL216" s="220">
        <f t="shared" si="209"/>
        <v>9887252.1330305</v>
      </c>
      <c r="BN216" s="203"/>
    </row>
    <row r="217" spans="4:66" s="146" customFormat="1" ht="12.75">
      <c r="D217" s="230"/>
      <c r="E217" s="230"/>
      <c r="F217" s="230"/>
      <c r="G217" s="231" t="s">
        <v>84</v>
      </c>
      <c r="L217" s="232" t="s">
        <v>184</v>
      </c>
      <c r="M217" s="147"/>
      <c r="Q217" s="220">
        <f aca="true" t="shared" si="217" ref="Q217:AK217">Q$208*(Q192/Q$194)</f>
        <v>2265494.574770919</v>
      </c>
      <c r="R217" s="220">
        <f t="shared" si="217"/>
        <v>2467912.4165654555</v>
      </c>
      <c r="S217" s="220">
        <f t="shared" si="217"/>
        <v>2687354.4470020216</v>
      </c>
      <c r="T217" s="220">
        <f t="shared" si="217"/>
        <v>2932573.3504158086</v>
      </c>
      <c r="U217" s="220">
        <f t="shared" si="217"/>
        <v>3361224.156281689</v>
      </c>
      <c r="V217" s="220">
        <f t="shared" si="217"/>
        <v>3678888.971570001</v>
      </c>
      <c r="W217" s="220">
        <f t="shared" si="217"/>
        <v>3889788.1342192246</v>
      </c>
      <c r="X217" s="220">
        <f t="shared" si="217"/>
        <v>4107171.571166045</v>
      </c>
      <c r="Y217" s="220">
        <f t="shared" si="217"/>
        <v>4275079.339165725</v>
      </c>
      <c r="Z217" s="220">
        <f t="shared" si="217"/>
        <v>4407030.764127491</v>
      </c>
      <c r="AA217" s="220">
        <f t="shared" si="217"/>
        <v>4542263.38004213</v>
      </c>
      <c r="AB217" s="220">
        <f t="shared" si="217"/>
        <v>4680899.936677013</v>
      </c>
      <c r="AC217" s="220">
        <f t="shared" si="217"/>
        <v>4823064.493121138</v>
      </c>
      <c r="AD217" s="220">
        <f t="shared" si="217"/>
        <v>4968882.586950437</v>
      </c>
      <c r="AE217" s="220">
        <f t="shared" si="217"/>
        <v>5118481.399218307</v>
      </c>
      <c r="AF217" s="220">
        <f t="shared" si="217"/>
        <v>5252069.87101044</v>
      </c>
      <c r="AG217" s="220">
        <f t="shared" si="217"/>
        <v>5388585.923148754</v>
      </c>
      <c r="AH217" s="220">
        <f t="shared" si="217"/>
        <v>5528121.93621398</v>
      </c>
      <c r="AI217" s="220">
        <f t="shared" si="217"/>
        <v>5670770.850177719</v>
      </c>
      <c r="AJ217" s="220">
        <f t="shared" si="217"/>
        <v>5816626.286549089</v>
      </c>
      <c r="AK217" s="220">
        <f t="shared" si="217"/>
        <v>5965782.665769687</v>
      </c>
      <c r="AL217" s="220"/>
      <c r="AM217" s="203"/>
      <c r="AR217" s="220">
        <f t="shared" si="211"/>
        <v>2265494.574770919</v>
      </c>
      <c r="AS217" s="220">
        <f t="shared" si="209"/>
        <v>2467912.4165654555</v>
      </c>
      <c r="AT217" s="220">
        <f t="shared" si="209"/>
        <v>2687354.4470020216</v>
      </c>
      <c r="AU217" s="220">
        <f t="shared" si="209"/>
        <v>2922940.419487731</v>
      </c>
      <c r="AV217" s="220">
        <f t="shared" si="209"/>
        <v>3297214.152649069</v>
      </c>
      <c r="AW217" s="220">
        <f t="shared" si="209"/>
        <v>3554580.1209486714</v>
      </c>
      <c r="AX217" s="220">
        <f t="shared" si="209"/>
        <v>3703087.2388744173</v>
      </c>
      <c r="AY217" s="220">
        <f t="shared" si="209"/>
        <v>3853729.6208625077</v>
      </c>
      <c r="AZ217" s="220">
        <f t="shared" si="209"/>
        <v>4009816.537976444</v>
      </c>
      <c r="BA217" s="220">
        <f t="shared" si="209"/>
        <v>4132220.4238521014</v>
      </c>
      <c r="BB217" s="220">
        <f t="shared" si="209"/>
        <v>4257752.783735402</v>
      </c>
      <c r="BC217" s="220">
        <f t="shared" si="209"/>
        <v>4386524.283386936</v>
      </c>
      <c r="BD217" s="220">
        <f t="shared" si="209"/>
        <v>4518647.0797027545</v>
      </c>
      <c r="BE217" s="220">
        <f t="shared" si="209"/>
        <v>4654234.961337466</v>
      </c>
      <c r="BF217" s="220">
        <f t="shared" si="209"/>
        <v>4793403.486564366</v>
      </c>
      <c r="BG217" s="220">
        <f t="shared" si="209"/>
        <v>4917618.580487722</v>
      </c>
      <c r="BH217" s="220">
        <f t="shared" si="209"/>
        <v>5044615.36813702</v>
      </c>
      <c r="BI217" s="220">
        <f t="shared" si="209"/>
        <v>5174477.036919741</v>
      </c>
      <c r="BJ217" s="220">
        <f t="shared" si="209"/>
        <v>5307287.516480213</v>
      </c>
      <c r="BK217" s="220">
        <f t="shared" si="209"/>
        <v>5443131.577695008</v>
      </c>
      <c r="BL217" s="220">
        <f t="shared" si="209"/>
        <v>5582094.928272041</v>
      </c>
      <c r="BN217" s="203"/>
    </row>
    <row r="218" spans="4:66" s="146" customFormat="1" ht="12.75">
      <c r="D218" s="230"/>
      <c r="E218" s="230"/>
      <c r="F218" s="230"/>
      <c r="G218" s="231" t="s">
        <v>190</v>
      </c>
      <c r="L218" s="232" t="s">
        <v>184</v>
      </c>
      <c r="M218" s="147"/>
      <c r="Q218" s="220">
        <f aca="true" t="shared" si="218" ref="Q218:AK218">Q$208*(Q193/Q$194)</f>
        <v>1642041.5628039355</v>
      </c>
      <c r="R218" s="220">
        <f t="shared" si="218"/>
        <v>1788755.0058556874</v>
      </c>
      <c r="S218" s="220">
        <f t="shared" si="218"/>
        <v>1947807.6642092662</v>
      </c>
      <c r="T218" s="220">
        <f t="shared" si="218"/>
        <v>2125543.5263361316</v>
      </c>
      <c r="U218" s="220">
        <f t="shared" si="218"/>
        <v>2436231.7296977965</v>
      </c>
      <c r="V218" s="220">
        <f t="shared" si="218"/>
        <v>2666476.7435471844</v>
      </c>
      <c r="W218" s="220">
        <f t="shared" si="218"/>
        <v>2819337.489490743</v>
      </c>
      <c r="X218" s="220">
        <f t="shared" si="218"/>
        <v>2976898.0692012175</v>
      </c>
      <c r="Y218" s="220">
        <f t="shared" si="218"/>
        <v>3098598.441757207</v>
      </c>
      <c r="Z218" s="220">
        <f t="shared" si="218"/>
        <v>3194237.480787018</v>
      </c>
      <c r="AA218" s="220">
        <f t="shared" si="218"/>
        <v>3292254.7430887646</v>
      </c>
      <c r="AB218" s="220">
        <f t="shared" si="218"/>
        <v>3392739.1982949926</v>
      </c>
      <c r="AC218" s="220">
        <f t="shared" si="218"/>
        <v>3495780.7650409644</v>
      </c>
      <c r="AD218" s="220">
        <f t="shared" si="218"/>
        <v>3601470.433576495</v>
      </c>
      <c r="AE218" s="220">
        <f t="shared" si="218"/>
        <v>3709900.385351891</v>
      </c>
      <c r="AF218" s="220">
        <f t="shared" si="218"/>
        <v>3806725.963941678</v>
      </c>
      <c r="AG218" s="220">
        <f t="shared" si="218"/>
        <v>3905673.4671038873</v>
      </c>
      <c r="AH218" s="220">
        <f t="shared" si="218"/>
        <v>4006809.852735658</v>
      </c>
      <c r="AI218" s="220">
        <f t="shared" si="218"/>
        <v>4110202.484183976</v>
      </c>
      <c r="AJ218" s="220">
        <f t="shared" si="218"/>
        <v>4215919.218776918</v>
      </c>
      <c r="AK218" s="220">
        <f t="shared" si="218"/>
        <v>4324028.4929130655</v>
      </c>
      <c r="AL218" s="220"/>
      <c r="AM218" s="203"/>
      <c r="AR218" s="220">
        <f t="shared" si="211"/>
        <v>1642041.5628039355</v>
      </c>
      <c r="AS218" s="220">
        <f t="shared" si="209"/>
        <v>1788755.0058556874</v>
      </c>
      <c r="AT218" s="220">
        <f t="shared" si="209"/>
        <v>1947807.6642092662</v>
      </c>
      <c r="AU218" s="220">
        <f t="shared" si="209"/>
        <v>2118561.5308232433</v>
      </c>
      <c r="AV218" s="220">
        <f t="shared" si="209"/>
        <v>2389836.965582936</v>
      </c>
      <c r="AW218" s="220">
        <f t="shared" si="209"/>
        <v>2576377.0798279503</v>
      </c>
      <c r="AX218" s="220">
        <f t="shared" si="209"/>
        <v>2684015.76619777</v>
      </c>
      <c r="AY218" s="220">
        <f t="shared" si="209"/>
        <v>2793202.1024171966</v>
      </c>
      <c r="AZ218" s="220">
        <f t="shared" si="209"/>
        <v>2906334.6643598825</v>
      </c>
      <c r="BA218" s="220">
        <f t="shared" si="209"/>
        <v>2995053.6003020643</v>
      </c>
      <c r="BB218" s="220">
        <f t="shared" si="209"/>
        <v>3086040.069526363</v>
      </c>
      <c r="BC218" s="220">
        <f t="shared" si="209"/>
        <v>3179374.28311803</v>
      </c>
      <c r="BD218" s="220">
        <f t="shared" si="209"/>
        <v>3275137.5329445903</v>
      </c>
      <c r="BE218" s="220">
        <f t="shared" si="209"/>
        <v>3373412.293580146</v>
      </c>
      <c r="BF218" s="220">
        <f t="shared" si="209"/>
        <v>3474282.3222270696</v>
      </c>
      <c r="BG218" s="220">
        <f t="shared" si="209"/>
        <v>3564314.030632479</v>
      </c>
      <c r="BH218" s="220">
        <f t="shared" si="209"/>
        <v>3656361.924273499</v>
      </c>
      <c r="BI218" s="220">
        <f t="shared" si="209"/>
        <v>3750486.2977902847</v>
      </c>
      <c r="BJ218" s="220">
        <f t="shared" si="209"/>
        <v>3846747.9838004624</v>
      </c>
      <c r="BK218" s="220">
        <f t="shared" si="209"/>
        <v>3945208.42465031</v>
      </c>
      <c r="BL218" s="220">
        <f t="shared" si="209"/>
        <v>4045929.7417063583</v>
      </c>
      <c r="BN218" s="203"/>
    </row>
    <row r="219" spans="4:66" s="233" customFormat="1" ht="12.75">
      <c r="D219" s="234"/>
      <c r="E219" s="234"/>
      <c r="F219" s="234"/>
      <c r="G219" s="235" t="s">
        <v>384</v>
      </c>
      <c r="L219" s="224"/>
      <c r="M219" s="236"/>
      <c r="Q219" s="237">
        <f>SUM(Q210:Q218)</f>
        <v>68302605.73044974</v>
      </c>
      <c r="R219" s="237">
        <f aca="true" t="shared" si="219" ref="R219:AK219">SUM(R210:R218)</f>
        <v>74925230.6120648</v>
      </c>
      <c r="S219" s="237">
        <f t="shared" si="219"/>
        <v>82159155.97596319</v>
      </c>
      <c r="T219" s="237">
        <f t="shared" si="219"/>
        <v>90286145.27241266</v>
      </c>
      <c r="U219" s="237">
        <f t="shared" si="219"/>
        <v>104212404.20838405</v>
      </c>
      <c r="V219" s="237">
        <f t="shared" si="219"/>
        <v>114867401.6899985</v>
      </c>
      <c r="W219" s="237">
        <f t="shared" si="219"/>
        <v>122313014.55402878</v>
      </c>
      <c r="X219" s="237">
        <f t="shared" si="219"/>
        <v>130066234.62675637</v>
      </c>
      <c r="Y219" s="237">
        <f t="shared" si="219"/>
        <v>136348152.52857518</v>
      </c>
      <c r="Z219" s="237">
        <f t="shared" si="219"/>
        <v>141560744.24173433</v>
      </c>
      <c r="AA219" s="237">
        <f t="shared" si="219"/>
        <v>146949809.4854166</v>
      </c>
      <c r="AB219" s="237">
        <f t="shared" si="219"/>
        <v>152522627.23672032</v>
      </c>
      <c r="AC219" s="237">
        <f t="shared" si="219"/>
        <v>158286692.4505178</v>
      </c>
      <c r="AD219" s="237">
        <f t="shared" si="219"/>
        <v>164249726.93496597</v>
      </c>
      <c r="AE219" s="237">
        <f t="shared" si="219"/>
        <v>170419690.4454166</v>
      </c>
      <c r="AF219" s="237">
        <f t="shared" si="219"/>
        <v>176136740.78264168</v>
      </c>
      <c r="AG219" s="237">
        <f t="shared" si="219"/>
        <v>182030076.0457046</v>
      </c>
      <c r="AH219" s="237">
        <f t="shared" si="219"/>
        <v>188106087.81444898</v>
      </c>
      <c r="AI219" s="237">
        <f t="shared" si="219"/>
        <v>194371335.29818112</v>
      </c>
      <c r="AJ219" s="237">
        <f t="shared" si="219"/>
        <v>200832553.38901207</v>
      </c>
      <c r="AK219" s="237">
        <f t="shared" si="219"/>
        <v>207496660.81372124</v>
      </c>
      <c r="AL219" s="237"/>
      <c r="AM219" s="207"/>
      <c r="AR219" s="237">
        <f aca="true" t="shared" si="220" ref="AR219:BL219">SUM(AR210:AR218)</f>
        <v>68302605.73044974</v>
      </c>
      <c r="AS219" s="237">
        <f t="shared" si="220"/>
        <v>74925230.6120648</v>
      </c>
      <c r="AT219" s="237">
        <f t="shared" si="220"/>
        <v>82159155.97596319</v>
      </c>
      <c r="AU219" s="237">
        <f t="shared" si="220"/>
        <v>89989572.9118106</v>
      </c>
      <c r="AV219" s="237">
        <f t="shared" si="220"/>
        <v>102227818.81276974</v>
      </c>
      <c r="AW219" s="237">
        <f t="shared" si="220"/>
        <v>110986057.40690409</v>
      </c>
      <c r="AX219" s="237">
        <f t="shared" si="220"/>
        <v>116442270.81642842</v>
      </c>
      <c r="AY219" s="237">
        <f t="shared" si="220"/>
        <v>122040214.87051721</v>
      </c>
      <c r="AZ219" s="237">
        <f t="shared" si="220"/>
        <v>127887936.93786964</v>
      </c>
      <c r="BA219" s="237">
        <f t="shared" si="220"/>
        <v>132733404.8432062</v>
      </c>
      <c r="BB219" s="237">
        <f t="shared" si="220"/>
        <v>137745416.33913717</v>
      </c>
      <c r="BC219" s="237">
        <f t="shared" si="220"/>
        <v>142930679.39726228</v>
      </c>
      <c r="BD219" s="237">
        <f t="shared" si="220"/>
        <v>148296109.58291116</v>
      </c>
      <c r="BE219" s="237">
        <f t="shared" si="220"/>
        <v>153848839.8777042</v>
      </c>
      <c r="BF219" s="237">
        <f t="shared" si="220"/>
        <v>159596230.72676113</v>
      </c>
      <c r="BG219" s="237">
        <f t="shared" si="220"/>
        <v>164920370.53052875</v>
      </c>
      <c r="BH219" s="237">
        <f t="shared" si="220"/>
        <v>170410518.11728954</v>
      </c>
      <c r="BI219" s="237">
        <f t="shared" si="220"/>
        <v>176072569.1530764</v>
      </c>
      <c r="BJ219" s="237">
        <f t="shared" si="220"/>
        <v>181912580.9601876</v>
      </c>
      <c r="BK219" s="237">
        <f t="shared" si="220"/>
        <v>187936779.72895926</v>
      </c>
      <c r="BL219" s="237">
        <f t="shared" si="220"/>
        <v>194151567.84163895</v>
      </c>
      <c r="BN219" s="207"/>
    </row>
    <row r="220" spans="4:38" ht="12.75">
      <c r="D220" s="18"/>
      <c r="E220" s="18"/>
      <c r="F220" s="18"/>
      <c r="G220" s="67"/>
      <c r="L220" s="182"/>
      <c r="M220" s="63"/>
      <c r="Q220" s="154"/>
      <c r="R220" s="220"/>
      <c r="S220" s="154"/>
      <c r="T220" s="154"/>
      <c r="U220" s="220"/>
      <c r="V220" s="154"/>
      <c r="W220" s="154"/>
      <c r="X220" s="154"/>
      <c r="Y220" s="154"/>
      <c r="Z220" s="154"/>
      <c r="AA220" s="154"/>
      <c r="AB220" s="154"/>
      <c r="AC220" s="154"/>
      <c r="AD220" s="154"/>
      <c r="AE220" s="154"/>
      <c r="AF220" s="154"/>
      <c r="AG220" s="154"/>
      <c r="AH220" s="154"/>
      <c r="AI220" s="154"/>
      <c r="AJ220" s="154"/>
      <c r="AK220" s="154"/>
      <c r="AL220" s="154"/>
    </row>
    <row r="221" spans="3:13" ht="12.75">
      <c r="C221" t="s">
        <v>74</v>
      </c>
      <c r="L221" s="4"/>
      <c r="M221" s="63"/>
    </row>
    <row r="222" spans="4:13" ht="12.75">
      <c r="D222" t="s">
        <v>327</v>
      </c>
      <c r="L222" s="4"/>
      <c r="M222" s="63"/>
    </row>
    <row r="223" spans="7:64" ht="12.75">
      <c r="G223" s="67" t="s">
        <v>233</v>
      </c>
      <c r="L223" s="182" t="s">
        <v>184</v>
      </c>
      <c r="M223" s="63"/>
      <c r="Q223" s="154">
        <f>Q185+Q210</f>
        <v>49270413.34170526</v>
      </c>
      <c r="R223" s="220">
        <f aca="true" t="shared" si="221" ref="R223:AK223">R185+R210</f>
        <v>54252761.3532093</v>
      </c>
      <c r="S223" s="154">
        <f t="shared" si="221"/>
        <v>60263064.83676368</v>
      </c>
      <c r="T223" s="154">
        <f t="shared" si="221"/>
        <v>70294026.14012204</v>
      </c>
      <c r="U223" s="220">
        <f t="shared" si="221"/>
        <v>80606912.42080505</v>
      </c>
      <c r="V223" s="154">
        <f t="shared" si="221"/>
        <v>88777734.68278232</v>
      </c>
      <c r="W223" s="154">
        <f t="shared" si="221"/>
        <v>94697802.380481</v>
      </c>
      <c r="X223" s="154">
        <f t="shared" si="221"/>
        <v>94847478.36940107</v>
      </c>
      <c r="Y223" s="154">
        <f t="shared" si="221"/>
        <v>99631430.3640298</v>
      </c>
      <c r="Z223" s="154">
        <f t="shared" si="221"/>
        <v>103662122.19236664</v>
      </c>
      <c r="AA223" s="154">
        <f t="shared" si="221"/>
        <v>107841358.08061199</v>
      </c>
      <c r="AB223" s="154">
        <f t="shared" si="221"/>
        <v>112175313.29958922</v>
      </c>
      <c r="AC223" s="154">
        <f t="shared" si="221"/>
        <v>116670368.53624082</v>
      </c>
      <c r="AD223" s="154">
        <f t="shared" si="221"/>
        <v>121333119.25582731</v>
      </c>
      <c r="AE223" s="154">
        <f t="shared" si="221"/>
        <v>126170385.32012971</v>
      </c>
      <c r="AF223" s="154">
        <f t="shared" si="221"/>
        <v>130695794.17447527</v>
      </c>
      <c r="AG223" s="154">
        <f t="shared" si="221"/>
        <v>135372505.59115532</v>
      </c>
      <c r="AH223" s="154">
        <f t="shared" si="221"/>
        <v>140206078.72977683</v>
      </c>
      <c r="AI223" s="154">
        <f t="shared" si="221"/>
        <v>145202236.22412235</v>
      </c>
      <c r="AJ223" s="154">
        <f t="shared" si="221"/>
        <v>150366871.13991997</v>
      </c>
      <c r="AK223" s="154">
        <f t="shared" si="221"/>
        <v>155706054.07360935</v>
      </c>
      <c r="AR223" s="154">
        <f>AR185+AR210</f>
        <v>49270413.34170526</v>
      </c>
      <c r="AS223" s="154">
        <f aca="true" t="shared" si="222" ref="AS223:BL223">AS185+AS210</f>
        <v>54204665.236044556</v>
      </c>
      <c r="AT223" s="154">
        <f t="shared" si="222"/>
        <v>59846047.47545831</v>
      </c>
      <c r="AU223" s="154">
        <f t="shared" si="222"/>
        <v>68642545.49650879</v>
      </c>
      <c r="AV223" s="220">
        <f t="shared" si="222"/>
        <v>77702418.31530784</v>
      </c>
      <c r="AW223" s="154">
        <f t="shared" si="222"/>
        <v>84423499.84833725</v>
      </c>
      <c r="AX223" s="154">
        <f t="shared" si="222"/>
        <v>88813218.32148767</v>
      </c>
      <c r="AY223" s="154">
        <f t="shared" si="222"/>
        <v>88842443.59812635</v>
      </c>
      <c r="AZ223" s="154">
        <f t="shared" si="222"/>
        <v>93301787.35122566</v>
      </c>
      <c r="BA223" s="154">
        <f t="shared" si="222"/>
        <v>97054840.57370429</v>
      </c>
      <c r="BB223" s="154">
        <f t="shared" si="222"/>
        <v>100947677.70411754</v>
      </c>
      <c r="BC223" s="154">
        <f t="shared" si="222"/>
        <v>104986013.75428009</v>
      </c>
      <c r="BD223" s="154">
        <f t="shared" si="222"/>
        <v>109175759.04162255</v>
      </c>
      <c r="BE223" s="154">
        <f t="shared" si="222"/>
        <v>113523027.75212027</v>
      </c>
      <c r="BF223" s="154">
        <f t="shared" si="222"/>
        <v>118034146.75301465</v>
      </c>
      <c r="BG223" s="154">
        <f t="shared" si="222"/>
        <v>122253659.33023347</v>
      </c>
      <c r="BH223" s="154">
        <f t="shared" si="222"/>
        <v>126615334.20594324</v>
      </c>
      <c r="BI223" s="154">
        <f t="shared" si="222"/>
        <v>131124319.28524508</v>
      </c>
      <c r="BJ223" s="154">
        <f t="shared" si="222"/>
        <v>135785918.2583212</v>
      </c>
      <c r="BK223" s="154">
        <f t="shared" si="222"/>
        <v>140605596.92258155</v>
      </c>
      <c r="BL223" s="154">
        <f t="shared" si="222"/>
        <v>145588989.64743078</v>
      </c>
    </row>
    <row r="224" spans="7:66" s="146" customFormat="1" ht="12.75">
      <c r="G224" s="231" t="s">
        <v>73</v>
      </c>
      <c r="L224" s="232" t="s">
        <v>184</v>
      </c>
      <c r="M224" s="147"/>
      <c r="Q224" s="220">
        <f>Q186+Q211</f>
        <v>2656352.5027631125</v>
      </c>
      <c r="R224" s="229">
        <f>R186+R211</f>
        <v>2896433.2549142586</v>
      </c>
      <c r="S224" s="220">
        <f aca="true" t="shared" si="223" ref="S224:AK224">S186+S211</f>
        <v>3185921.4894172437</v>
      </c>
      <c r="T224" s="220">
        <f t="shared" si="223"/>
        <v>3679971.45232032</v>
      </c>
      <c r="U224" s="220">
        <f t="shared" si="223"/>
        <v>4178693.2743720934</v>
      </c>
      <c r="V224" s="220">
        <f t="shared" si="223"/>
        <v>4557371.623110112</v>
      </c>
      <c r="W224" s="220">
        <f t="shared" si="223"/>
        <v>4813848.988369834</v>
      </c>
      <c r="X224" s="220">
        <f t="shared" si="223"/>
        <v>4774418.976796411</v>
      </c>
      <c r="Y224" s="220">
        <f t="shared" si="223"/>
        <v>4966303.775725723</v>
      </c>
      <c r="Z224" s="220">
        <f t="shared" si="223"/>
        <v>5116808.785723063</v>
      </c>
      <c r="AA224" s="220">
        <f t="shared" si="223"/>
        <v>5271165.08031986</v>
      </c>
      <c r="AB224" s="220">
        <f t="shared" si="223"/>
        <v>5429511.246987483</v>
      </c>
      <c r="AC224" s="220">
        <f t="shared" si="223"/>
        <v>5591987.5070070885</v>
      </c>
      <c r="AD224" s="220">
        <f t="shared" si="223"/>
        <v>5758735.905192703</v>
      </c>
      <c r="AE224" s="220">
        <f t="shared" si="223"/>
        <v>5929900.4950269805</v>
      </c>
      <c r="AF224" s="220">
        <f t="shared" si="223"/>
        <v>6082663.135683446</v>
      </c>
      <c r="AG224" s="220">
        <f t="shared" si="223"/>
        <v>6238853.640642032</v>
      </c>
      <c r="AH224" s="220">
        <f t="shared" si="223"/>
        <v>6398576.258188798</v>
      </c>
      <c r="AI224" s="220">
        <f t="shared" si="223"/>
        <v>6561935.977301691</v>
      </c>
      <c r="AJ224" s="220">
        <f t="shared" si="223"/>
        <v>6729038.664387269</v>
      </c>
      <c r="AK224" s="220">
        <f t="shared" si="223"/>
        <v>6899991.194709651</v>
      </c>
      <c r="AM224" s="203"/>
      <c r="AR224" s="220">
        <f aca="true" t="shared" si="224" ref="AR224:BL224">AR186+AR211</f>
        <v>2656352.5027631125</v>
      </c>
      <c r="AS224" s="229">
        <f>AS186+AS211</f>
        <v>2893865.51108494</v>
      </c>
      <c r="AT224" s="220">
        <f t="shared" si="224"/>
        <v>3163906.744201377</v>
      </c>
      <c r="AU224" s="220">
        <f t="shared" si="224"/>
        <v>3593730.07419925</v>
      </c>
      <c r="AV224" s="220">
        <f t="shared" si="224"/>
        <v>4028451.032191502</v>
      </c>
      <c r="AW224" s="220">
        <f t="shared" si="224"/>
        <v>4334303.236396324</v>
      </c>
      <c r="AX224" s="220">
        <f t="shared" si="224"/>
        <v>4515304.9090987155</v>
      </c>
      <c r="AY224" s="220">
        <f t="shared" si="224"/>
        <v>4472223.515053874</v>
      </c>
      <c r="AZ224" s="220">
        <f t="shared" si="224"/>
        <v>4650886.591816886</v>
      </c>
      <c r="BA224" s="220">
        <f t="shared" si="224"/>
        <v>4790774.250998294</v>
      </c>
      <c r="BB224" s="220">
        <f t="shared" si="224"/>
        <v>4934321.429993759</v>
      </c>
      <c r="BC224" s="220">
        <f t="shared" si="224"/>
        <v>5081653.416770113</v>
      </c>
      <c r="BD224" s="220">
        <f t="shared" si="224"/>
        <v>5232897.3174506165</v>
      </c>
      <c r="BE224" s="220">
        <f t="shared" si="224"/>
        <v>5388182.21413874</v>
      </c>
      <c r="BF224" s="220">
        <f t="shared" si="224"/>
        <v>5547639.319742411</v>
      </c>
      <c r="BG224" s="220">
        <f t="shared" si="224"/>
        <v>5689900.1158618415</v>
      </c>
      <c r="BH224" s="220">
        <f t="shared" si="224"/>
        <v>5835408.31405429</v>
      </c>
      <c r="BI224" s="220">
        <f t="shared" si="224"/>
        <v>5984258.058516459</v>
      </c>
      <c r="BJ224" s="220">
        <f t="shared" si="224"/>
        <v>6136544.425137205</v>
      </c>
      <c r="BK224" s="220">
        <f t="shared" si="224"/>
        <v>6292363.5323334485</v>
      </c>
      <c r="BL224" s="220">
        <f t="shared" si="224"/>
        <v>6451812.648109797</v>
      </c>
      <c r="BN224" s="203"/>
    </row>
    <row r="225" spans="7:64" ht="12.75">
      <c r="G225" s="67" t="s">
        <v>72</v>
      </c>
      <c r="L225" s="182" t="s">
        <v>184</v>
      </c>
      <c r="M225" s="63"/>
      <c r="Q225" s="154">
        <f aca="true" t="shared" si="225" ref="Q225:AK225">Q187+Q212</f>
        <v>4548268.374472728</v>
      </c>
      <c r="R225" s="220">
        <f t="shared" si="225"/>
        <v>4959340.207444006</v>
      </c>
      <c r="S225" s="154">
        <f t="shared" si="225"/>
        <v>5455008.677800374</v>
      </c>
      <c r="T225" s="154">
        <f t="shared" si="225"/>
        <v>6300932.484728896</v>
      </c>
      <c r="U225" s="220">
        <f t="shared" si="225"/>
        <v>7154855.557264641</v>
      </c>
      <c r="V225" s="154">
        <f t="shared" si="225"/>
        <v>7803237.410151689</v>
      </c>
      <c r="W225" s="154">
        <f t="shared" si="225"/>
        <v>8242383.904438658</v>
      </c>
      <c r="X225" s="154">
        <f t="shared" si="225"/>
        <v>8174870.923967261</v>
      </c>
      <c r="Y225" s="154">
        <f t="shared" si="225"/>
        <v>8503420.5278335</v>
      </c>
      <c r="Z225" s="154">
        <f t="shared" si="225"/>
        <v>8761118.697206272</v>
      </c>
      <c r="AA225" s="154">
        <f t="shared" si="225"/>
        <v>9025411.125407977</v>
      </c>
      <c r="AB225" s="154">
        <f t="shared" si="225"/>
        <v>9296535.10512245</v>
      </c>
      <c r="AC225" s="154">
        <f t="shared" si="225"/>
        <v>9574730.726479676</v>
      </c>
      <c r="AD225" s="154">
        <f t="shared" si="225"/>
        <v>9860241.201904979</v>
      </c>
      <c r="AE225" s="154">
        <f t="shared" si="225"/>
        <v>10153313.183113653</v>
      </c>
      <c r="AF225" s="154">
        <f t="shared" si="225"/>
        <v>10414876.920070963</v>
      </c>
      <c r="AG225" s="154">
        <f t="shared" si="225"/>
        <v>10682309.925802313</v>
      </c>
      <c r="AH225" s="154">
        <f t="shared" si="225"/>
        <v>10955790.696640959</v>
      </c>
      <c r="AI225" s="154">
        <f t="shared" si="225"/>
        <v>11235498.997151721</v>
      </c>
      <c r="AJ225" s="154">
        <f t="shared" si="225"/>
        <v>11521616.094250185</v>
      </c>
      <c r="AK225" s="154">
        <f t="shared" si="225"/>
        <v>11814324.982243301</v>
      </c>
      <c r="AR225" s="154">
        <f aca="true" t="shared" si="226" ref="AR225:BL225">AR187+AR212</f>
        <v>4548268.374472728</v>
      </c>
      <c r="AS225" s="154">
        <f t="shared" si="226"/>
        <v>4954943.656895653</v>
      </c>
      <c r="AT225" s="154">
        <f t="shared" si="226"/>
        <v>5417314.520367108</v>
      </c>
      <c r="AU225" s="154">
        <f t="shared" si="226"/>
        <v>6153267.996574182</v>
      </c>
      <c r="AV225" s="220">
        <f t="shared" si="226"/>
        <v>6897607.305043202</v>
      </c>
      <c r="AW225" s="154">
        <f t="shared" si="226"/>
        <v>7421294.543917022</v>
      </c>
      <c r="AX225" s="154">
        <f t="shared" si="226"/>
        <v>7731209.8066024445</v>
      </c>
      <c r="AY225" s="154">
        <f t="shared" si="226"/>
        <v>7657444.844362586</v>
      </c>
      <c r="AZ225" s="154">
        <f t="shared" si="226"/>
        <v>7963355.908832239</v>
      </c>
      <c r="BA225" s="154">
        <f t="shared" si="226"/>
        <v>8202874.803847946</v>
      </c>
      <c r="BB225" s="154">
        <f t="shared" si="226"/>
        <v>8448659.613578692</v>
      </c>
      <c r="BC225" s="154">
        <f t="shared" si="226"/>
        <v>8700924.858988086</v>
      </c>
      <c r="BD225" s="154">
        <f t="shared" si="226"/>
        <v>8959888.174128564</v>
      </c>
      <c r="BE225" s="154">
        <f t="shared" si="226"/>
        <v>9225770.576371754</v>
      </c>
      <c r="BF225" s="154">
        <f t="shared" si="226"/>
        <v>9498796.731502999</v>
      </c>
      <c r="BG225" s="154">
        <f t="shared" si="226"/>
        <v>9742378.96663337</v>
      </c>
      <c r="BH225" s="154">
        <f t="shared" si="226"/>
        <v>9991521.478922946</v>
      </c>
      <c r="BI225" s="154">
        <f t="shared" si="226"/>
        <v>10246385.46424882</v>
      </c>
      <c r="BJ225" s="154">
        <f t="shared" si="226"/>
        <v>10507133.713754635</v>
      </c>
      <c r="BK225" s="154">
        <f t="shared" si="226"/>
        <v>10773930.803622084</v>
      </c>
      <c r="BL225" s="154">
        <f t="shared" si="226"/>
        <v>11046943.2783855</v>
      </c>
    </row>
    <row r="226" spans="7:64" ht="12.75">
      <c r="G226" s="67" t="s">
        <v>85</v>
      </c>
      <c r="L226" s="182" t="s">
        <v>184</v>
      </c>
      <c r="M226" s="63"/>
      <c r="Q226" s="154">
        <f aca="true" t="shared" si="227" ref="Q226:AK226">Q188+Q213</f>
        <v>1961007.2141789817</v>
      </c>
      <c r="R226" s="220">
        <f t="shared" si="227"/>
        <v>2138242.760464423</v>
      </c>
      <c r="S226" s="154">
        <f t="shared" si="227"/>
        <v>2351952.543217195</v>
      </c>
      <c r="T226" s="154">
        <f t="shared" si="227"/>
        <v>2716676.5549626327</v>
      </c>
      <c r="U226" s="220">
        <f t="shared" si="227"/>
        <v>3084849.487543947</v>
      </c>
      <c r="V226" s="154">
        <f t="shared" si="227"/>
        <v>3364402.360498948</v>
      </c>
      <c r="W226" s="154">
        <f t="shared" si="227"/>
        <v>3553742.42851506</v>
      </c>
      <c r="X226" s="154">
        <f t="shared" si="227"/>
        <v>3524633.890747506</v>
      </c>
      <c r="Y226" s="154">
        <f t="shared" si="227"/>
        <v>3666289.5914123068</v>
      </c>
      <c r="Z226" s="154">
        <f t="shared" si="227"/>
        <v>3777397.3642202737</v>
      </c>
      <c r="AA226" s="154">
        <f t="shared" si="227"/>
        <v>3891348.282610583</v>
      </c>
      <c r="AB226" s="154">
        <f t="shared" si="227"/>
        <v>4008244.656435158</v>
      </c>
      <c r="AC226" s="154">
        <f t="shared" si="227"/>
        <v>4128190.0016782503</v>
      </c>
      <c r="AD226" s="154">
        <f t="shared" si="227"/>
        <v>4251289.180516323</v>
      </c>
      <c r="AE226" s="154">
        <f t="shared" si="227"/>
        <v>4377648.53799173</v>
      </c>
      <c r="AF226" s="154">
        <f t="shared" si="227"/>
        <v>4490422.968370446</v>
      </c>
      <c r="AG226" s="154">
        <f t="shared" si="227"/>
        <v>4605727.961473353</v>
      </c>
      <c r="AH226" s="154">
        <f t="shared" si="227"/>
        <v>4723640.476830744</v>
      </c>
      <c r="AI226" s="154">
        <f t="shared" si="227"/>
        <v>4844238.020776204</v>
      </c>
      <c r="AJ226" s="154">
        <f t="shared" si="227"/>
        <v>4967598.747390177</v>
      </c>
      <c r="AK226" s="154">
        <f t="shared" si="227"/>
        <v>5093801.555525001</v>
      </c>
      <c r="AR226" s="154">
        <f aca="true" t="shared" si="228" ref="AR226:BL226">AR188+AR213</f>
        <v>1961007.2141789817</v>
      </c>
      <c r="AS226" s="154">
        <f t="shared" si="228"/>
        <v>2136347.1671016365</v>
      </c>
      <c r="AT226" s="154">
        <f t="shared" si="228"/>
        <v>2335700.530676796</v>
      </c>
      <c r="AU226" s="154">
        <f t="shared" si="228"/>
        <v>2653010.3192201103</v>
      </c>
      <c r="AV226" s="220">
        <f t="shared" si="228"/>
        <v>2973935.6986232</v>
      </c>
      <c r="AW226" s="154">
        <f t="shared" si="228"/>
        <v>3199725.904664872</v>
      </c>
      <c r="AX226" s="154">
        <f t="shared" si="228"/>
        <v>3333347.3218445005</v>
      </c>
      <c r="AY226" s="154">
        <f t="shared" si="228"/>
        <v>3301543.212852595</v>
      </c>
      <c r="AZ226" s="154">
        <f t="shared" si="228"/>
        <v>3433438.2012154665</v>
      </c>
      <c r="BA226" s="154">
        <f t="shared" si="228"/>
        <v>3536707.8947309237</v>
      </c>
      <c r="BB226" s="154">
        <f t="shared" si="228"/>
        <v>3642679.166726015</v>
      </c>
      <c r="BC226" s="154">
        <f t="shared" si="228"/>
        <v>3751444.508918838</v>
      </c>
      <c r="BD226" s="154">
        <f t="shared" si="228"/>
        <v>3863097.755250616</v>
      </c>
      <c r="BE226" s="154">
        <f t="shared" si="228"/>
        <v>3977734.198396443</v>
      </c>
      <c r="BF226" s="154">
        <f t="shared" si="228"/>
        <v>4095450.704061993</v>
      </c>
      <c r="BG226" s="154">
        <f t="shared" si="228"/>
        <v>4200472.32570095</v>
      </c>
      <c r="BH226" s="154">
        <f t="shared" si="228"/>
        <v>4307891.286882009</v>
      </c>
      <c r="BI226" s="154">
        <f t="shared" si="228"/>
        <v>4417777.087962751</v>
      </c>
      <c r="BJ226" s="154">
        <f t="shared" si="228"/>
        <v>4530199.917106748</v>
      </c>
      <c r="BK226" s="154">
        <f t="shared" si="228"/>
        <v>4645230.732106299</v>
      </c>
      <c r="BL226" s="154">
        <f t="shared" si="228"/>
        <v>4762941.339417242</v>
      </c>
    </row>
    <row r="227" spans="7:64" ht="12.75">
      <c r="G227" s="67" t="s">
        <v>81</v>
      </c>
      <c r="L227" s="182" t="s">
        <v>184</v>
      </c>
      <c r="M227" s="63"/>
      <c r="Q227" s="154">
        <f aca="true" t="shared" si="229" ref="Q227:AK227">Q189+Q214</f>
        <v>2708609.295908975</v>
      </c>
      <c r="R227" s="220">
        <f t="shared" si="229"/>
        <v>2953413.0094104684</v>
      </c>
      <c r="S227" s="154">
        <f t="shared" si="229"/>
        <v>3248596.168353214</v>
      </c>
      <c r="T227" s="154">
        <f t="shared" si="229"/>
        <v>3752365.2730826433</v>
      </c>
      <c r="U227" s="220">
        <f t="shared" si="229"/>
        <v>4260898.143579672</v>
      </c>
      <c r="V227" s="154">
        <f t="shared" si="229"/>
        <v>4647025.999157702</v>
      </c>
      <c r="W227" s="154">
        <f t="shared" si="229"/>
        <v>4908548.886278333</v>
      </c>
      <c r="X227" s="154">
        <f t="shared" si="229"/>
        <v>4868343.192277099</v>
      </c>
      <c r="Y227" s="154">
        <f t="shared" si="229"/>
        <v>5064002.823136641</v>
      </c>
      <c r="Z227" s="154">
        <f t="shared" si="229"/>
        <v>5217468.625862661</v>
      </c>
      <c r="AA227" s="154">
        <f t="shared" si="229"/>
        <v>5374861.477147178</v>
      </c>
      <c r="AB227" s="154">
        <f t="shared" si="229"/>
        <v>5536322.690808245</v>
      </c>
      <c r="AC227" s="154">
        <f t="shared" si="229"/>
        <v>5701995.246613951</v>
      </c>
      <c r="AD227" s="154">
        <f t="shared" si="229"/>
        <v>5872023.9837388275</v>
      </c>
      <c r="AE227" s="154">
        <f t="shared" si="229"/>
        <v>6046555.789541435</v>
      </c>
      <c r="AF227" s="154">
        <f t="shared" si="229"/>
        <v>6202323.635909481</v>
      </c>
      <c r="AG227" s="154">
        <f t="shared" si="229"/>
        <v>6361586.780851182</v>
      </c>
      <c r="AH227" s="154">
        <f t="shared" si="229"/>
        <v>6524451.52346485</v>
      </c>
      <c r="AI227" s="154">
        <f t="shared" si="229"/>
        <v>6691024.918112664</v>
      </c>
      <c r="AJ227" s="154">
        <f t="shared" si="229"/>
        <v>6861414.913845654</v>
      </c>
      <c r="AK227" s="154">
        <f t="shared" si="229"/>
        <v>7035730.488419822</v>
      </c>
      <c r="AR227" s="154">
        <f aca="true" t="shared" si="230" ref="AR227:BL227">AR189+AR214</f>
        <v>2708609.295908975</v>
      </c>
      <c r="AS227" s="154">
        <f t="shared" si="230"/>
        <v>2950794.7519320757</v>
      </c>
      <c r="AT227" s="154">
        <f t="shared" si="230"/>
        <v>3226148.3405605024</v>
      </c>
      <c r="AU227" s="154">
        <f t="shared" si="230"/>
        <v>3664427.3212378677</v>
      </c>
      <c r="AV227" s="220">
        <f t="shared" si="230"/>
        <v>4107700.2779405094</v>
      </c>
      <c r="AW227" s="154">
        <f t="shared" si="230"/>
        <v>4419569.324921923</v>
      </c>
      <c r="AX227" s="154">
        <f t="shared" si="230"/>
        <v>4604131.732488994</v>
      </c>
      <c r="AY227" s="154">
        <f t="shared" si="230"/>
        <v>4560202.824609058</v>
      </c>
      <c r="AZ227" s="154">
        <f t="shared" si="230"/>
        <v>4742380.630473496</v>
      </c>
      <c r="BA227" s="154">
        <f t="shared" si="230"/>
        <v>4885020.213754598</v>
      </c>
      <c r="BB227" s="154">
        <f t="shared" si="230"/>
        <v>5031391.308337833</v>
      </c>
      <c r="BC227" s="154">
        <f t="shared" si="230"/>
        <v>5181621.66690369</v>
      </c>
      <c r="BD227" s="154">
        <f t="shared" si="230"/>
        <v>5335840.896055939</v>
      </c>
      <c r="BE227" s="154">
        <f t="shared" si="230"/>
        <v>5494180.617251092</v>
      </c>
      <c r="BF227" s="154">
        <f t="shared" si="230"/>
        <v>5656774.624668228</v>
      </c>
      <c r="BG227" s="154">
        <f t="shared" si="230"/>
        <v>5801834.030154418</v>
      </c>
      <c r="BH227" s="154">
        <f t="shared" si="230"/>
        <v>5950204.7218624335</v>
      </c>
      <c r="BI227" s="154">
        <f t="shared" si="230"/>
        <v>6101982.6960297</v>
      </c>
      <c r="BJ227" s="154">
        <f t="shared" si="230"/>
        <v>6257264.898915157</v>
      </c>
      <c r="BK227" s="154">
        <f t="shared" si="230"/>
        <v>6416149.339813998</v>
      </c>
      <c r="BL227" s="154">
        <f t="shared" si="230"/>
        <v>6578735.200224971</v>
      </c>
    </row>
    <row r="228" spans="7:64" ht="12.75">
      <c r="G228" s="67" t="s">
        <v>82</v>
      </c>
      <c r="L228" s="182" t="s">
        <v>184</v>
      </c>
      <c r="M228" s="63"/>
      <c r="Q228" s="154">
        <f aca="true" t="shared" si="231" ref="Q228:AK228">Q190+Q215</f>
        <v>269439.9019798251</v>
      </c>
      <c r="R228" s="220">
        <f t="shared" si="231"/>
        <v>293791.8410615398</v>
      </c>
      <c r="S228" s="154">
        <f t="shared" si="231"/>
        <v>323155.2939344787</v>
      </c>
      <c r="T228" s="154">
        <f t="shared" si="231"/>
        <v>373267.9101777198</v>
      </c>
      <c r="U228" s="220">
        <f t="shared" si="231"/>
        <v>423854.40376584575</v>
      </c>
      <c r="V228" s="154">
        <f t="shared" si="231"/>
        <v>462264.61365317163</v>
      </c>
      <c r="W228" s="154">
        <f t="shared" si="231"/>
        <v>488279.69865553477</v>
      </c>
      <c r="X228" s="154">
        <f t="shared" si="231"/>
        <v>484280.22251584596</v>
      </c>
      <c r="Y228" s="154">
        <f t="shared" si="231"/>
        <v>503743.5359733649</v>
      </c>
      <c r="Z228" s="154">
        <f t="shared" si="231"/>
        <v>519009.60292003804</v>
      </c>
      <c r="AA228" s="154">
        <f t="shared" si="231"/>
        <v>534666.3144607177</v>
      </c>
      <c r="AB228" s="154">
        <f t="shared" si="231"/>
        <v>550727.7278391832</v>
      </c>
      <c r="AC228" s="154">
        <f t="shared" si="231"/>
        <v>567208.0660202809</v>
      </c>
      <c r="AD228" s="154">
        <f t="shared" si="231"/>
        <v>584121.7369339473</v>
      </c>
      <c r="AE228" s="154">
        <f t="shared" si="231"/>
        <v>601483.352253972</v>
      </c>
      <c r="AF228" s="154">
        <f t="shared" si="231"/>
        <v>616978.4158352757</v>
      </c>
      <c r="AG228" s="154">
        <f t="shared" si="231"/>
        <v>632821.1755226362</v>
      </c>
      <c r="AH228" s="154">
        <f t="shared" si="231"/>
        <v>649022.2054578576</v>
      </c>
      <c r="AI228" s="154">
        <f t="shared" si="231"/>
        <v>665592.1549127862</v>
      </c>
      <c r="AJ228" s="154">
        <f t="shared" si="231"/>
        <v>682541.7621588073</v>
      </c>
      <c r="AK228" s="154">
        <f t="shared" si="231"/>
        <v>699881.867798206</v>
      </c>
      <c r="AR228" s="154">
        <f aca="true" t="shared" si="232" ref="AR228:BL228">AR190+AR215</f>
        <v>269439.9019798251</v>
      </c>
      <c r="AS228" s="154">
        <f t="shared" si="232"/>
        <v>293531.3889397068</v>
      </c>
      <c r="AT228" s="154">
        <f t="shared" si="232"/>
        <v>320922.2880412835</v>
      </c>
      <c r="AU228" s="154">
        <f t="shared" si="232"/>
        <v>364520.2502028575</v>
      </c>
      <c r="AV228" s="220">
        <f t="shared" si="232"/>
        <v>408614.9899590338</v>
      </c>
      <c r="AW228" s="154">
        <f t="shared" si="232"/>
        <v>439638.277657312</v>
      </c>
      <c r="AX228" s="154">
        <f t="shared" si="232"/>
        <v>457997.6907624579</v>
      </c>
      <c r="AY228" s="154">
        <f t="shared" si="232"/>
        <v>453627.8465582268</v>
      </c>
      <c r="AZ228" s="154">
        <f t="shared" si="232"/>
        <v>471750.0505354387</v>
      </c>
      <c r="BA228" s="154">
        <f t="shared" si="232"/>
        <v>485939.1753367626</v>
      </c>
      <c r="BB228" s="154">
        <f t="shared" si="232"/>
        <v>500499.493591882</v>
      </c>
      <c r="BC228" s="154">
        <f t="shared" si="232"/>
        <v>515443.7135454519</v>
      </c>
      <c r="BD228" s="154">
        <f t="shared" si="232"/>
        <v>530784.7278618962</v>
      </c>
      <c r="BE228" s="154">
        <f t="shared" si="232"/>
        <v>546535.6296338101</v>
      </c>
      <c r="BF228" s="154">
        <f t="shared" si="232"/>
        <v>562709.7280861589</v>
      </c>
      <c r="BG228" s="154">
        <f t="shared" si="232"/>
        <v>577139.5655878199</v>
      </c>
      <c r="BH228" s="154">
        <f t="shared" si="232"/>
        <v>591898.7944994302</v>
      </c>
      <c r="BI228" s="154">
        <f t="shared" si="232"/>
        <v>606996.964081929</v>
      </c>
      <c r="BJ228" s="154">
        <f t="shared" si="232"/>
        <v>622443.7180998927</v>
      </c>
      <c r="BK228" s="154">
        <f t="shared" si="232"/>
        <v>638248.8060638546</v>
      </c>
      <c r="BL228" s="154">
        <f t="shared" si="232"/>
        <v>654422.0940898152</v>
      </c>
    </row>
    <row r="229" spans="7:64" ht="12.75">
      <c r="G229" s="67" t="s">
        <v>189</v>
      </c>
      <c r="L229" s="182" t="s">
        <v>184</v>
      </c>
      <c r="M229" s="63"/>
      <c r="Q229" s="154">
        <f aca="true" t="shared" si="233" ref="Q229:AK229">Q191+Q216</f>
        <v>4081310.2079760833</v>
      </c>
      <c r="R229" s="220">
        <f t="shared" si="233"/>
        <v>4450178.429898365</v>
      </c>
      <c r="S229" s="154">
        <f t="shared" si="233"/>
        <v>4894957.985825921</v>
      </c>
      <c r="T229" s="154">
        <f t="shared" si="233"/>
        <v>5654033.129184769</v>
      </c>
      <c r="U229" s="220">
        <f t="shared" si="233"/>
        <v>6420286.275618861</v>
      </c>
      <c r="V229" s="154">
        <f t="shared" si="233"/>
        <v>7002100.552389891</v>
      </c>
      <c r="W229" s="154">
        <f t="shared" si="233"/>
        <v>7396161.087601401</v>
      </c>
      <c r="X229" s="154">
        <f t="shared" si="233"/>
        <v>7335579.478583854</v>
      </c>
      <c r="Y229" s="154">
        <f t="shared" si="233"/>
        <v>7630397.801005735</v>
      </c>
      <c r="Z229" s="154">
        <f t="shared" si="233"/>
        <v>7861638.810252302</v>
      </c>
      <c r="AA229" s="154">
        <f t="shared" si="233"/>
        <v>8098797.063965894</v>
      </c>
      <c r="AB229" s="154">
        <f t="shared" si="233"/>
        <v>8342085.492644818</v>
      </c>
      <c r="AC229" s="154">
        <f t="shared" si="233"/>
        <v>8591719.537027888</v>
      </c>
      <c r="AD229" s="154">
        <f t="shared" si="233"/>
        <v>8847917.439591875</v>
      </c>
      <c r="AE229" s="154">
        <f t="shared" si="233"/>
        <v>9110900.529000524</v>
      </c>
      <c r="AF229" s="154">
        <f t="shared" si="233"/>
        <v>9345610.238671955</v>
      </c>
      <c r="AG229" s="154">
        <f t="shared" si="233"/>
        <v>9585586.635484165</v>
      </c>
      <c r="AH229" s="154">
        <f t="shared" si="233"/>
        <v>9830989.890044514</v>
      </c>
      <c r="AI229" s="154">
        <f t="shared" si="233"/>
        <v>10081981.31098553</v>
      </c>
      <c r="AJ229" s="154">
        <f t="shared" si="233"/>
        <v>10338723.555048455</v>
      </c>
      <c r="AK229" s="154">
        <f t="shared" si="233"/>
        <v>10601380.829020942</v>
      </c>
      <c r="AR229" s="154">
        <f aca="true" t="shared" si="234" ref="AR229:BL229">AR191+AR216</f>
        <v>4081310.2079760833</v>
      </c>
      <c r="AS229" s="154">
        <f t="shared" si="234"/>
        <v>4446233.261065854</v>
      </c>
      <c r="AT229" s="154">
        <f t="shared" si="234"/>
        <v>4861133.783547779</v>
      </c>
      <c r="AU229" s="154">
        <f t="shared" si="234"/>
        <v>5521528.946660302</v>
      </c>
      <c r="AV229" s="220">
        <f t="shared" si="234"/>
        <v>6189448.991770791</v>
      </c>
      <c r="AW229" s="154">
        <f t="shared" si="234"/>
        <v>6659370.706548746</v>
      </c>
      <c r="AX229" s="154">
        <f t="shared" si="234"/>
        <v>6937467.824191288</v>
      </c>
      <c r="AY229" s="154">
        <f t="shared" si="234"/>
        <v>6871276.107125833</v>
      </c>
      <c r="AZ229" s="154">
        <f t="shared" si="234"/>
        <v>7145780.126537017</v>
      </c>
      <c r="BA229" s="154">
        <f t="shared" si="234"/>
        <v>7360708.277372793</v>
      </c>
      <c r="BB229" s="154">
        <f t="shared" si="234"/>
        <v>7581259.038746044</v>
      </c>
      <c r="BC229" s="154">
        <f t="shared" si="234"/>
        <v>7807624.907344566</v>
      </c>
      <c r="BD229" s="154">
        <f t="shared" si="234"/>
        <v>8040001.173333147</v>
      </c>
      <c r="BE229" s="154">
        <f t="shared" si="234"/>
        <v>8278586.16283978</v>
      </c>
      <c r="BF229" s="154">
        <f t="shared" si="234"/>
        <v>8523581.475833056</v>
      </c>
      <c r="BG229" s="154">
        <f t="shared" si="234"/>
        <v>8742155.794863755</v>
      </c>
      <c r="BH229" s="154">
        <f t="shared" si="234"/>
        <v>8965719.532737058</v>
      </c>
      <c r="BI229" s="154">
        <f t="shared" si="234"/>
        <v>9194417.33579427</v>
      </c>
      <c r="BJ229" s="154">
        <f t="shared" si="234"/>
        <v>9428395.281861082</v>
      </c>
      <c r="BK229" s="154">
        <f t="shared" si="234"/>
        <v>9667801.050536465</v>
      </c>
      <c r="BL229" s="154">
        <f t="shared" si="234"/>
        <v>9912784.08768813</v>
      </c>
    </row>
    <row r="230" spans="7:64" ht="12.75">
      <c r="G230" s="67" t="s">
        <v>84</v>
      </c>
      <c r="L230" s="182" t="s">
        <v>184</v>
      </c>
      <c r="M230" s="63"/>
      <c r="Q230" s="154">
        <f aca="true" t="shared" si="235" ref="Q230:AK230">Q192+Q217</f>
        <v>2304205.527088752</v>
      </c>
      <c r="R230" s="220">
        <f t="shared" si="235"/>
        <v>2512459.286888654</v>
      </c>
      <c r="S230" s="154">
        <f t="shared" si="235"/>
        <v>2763570.6846700455</v>
      </c>
      <c r="T230" s="154">
        <f t="shared" si="235"/>
        <v>3192125.4995882907</v>
      </c>
      <c r="U230" s="220">
        <f t="shared" si="235"/>
        <v>3624732.835269876</v>
      </c>
      <c r="V230" s="154">
        <f t="shared" si="235"/>
        <v>3953210.604407583</v>
      </c>
      <c r="W230" s="154">
        <f t="shared" si="235"/>
        <v>4175687.31334959</v>
      </c>
      <c r="X230" s="154">
        <f t="shared" si="235"/>
        <v>4141484.454163531</v>
      </c>
      <c r="Y230" s="154">
        <f t="shared" si="235"/>
        <v>4307931.4952837005</v>
      </c>
      <c r="Z230" s="154">
        <f t="shared" si="235"/>
        <v>4438484.3776778</v>
      </c>
      <c r="AA230" s="154">
        <f t="shared" si="235"/>
        <v>4572377.988100712</v>
      </c>
      <c r="AB230" s="154">
        <f t="shared" si="235"/>
        <v>4709732.541778854</v>
      </c>
      <c r="AC230" s="154">
        <f t="shared" si="235"/>
        <v>4850669.671157709</v>
      </c>
      <c r="AD230" s="154">
        <f t="shared" si="235"/>
        <v>4995312.590473849</v>
      </c>
      <c r="AE230" s="154">
        <f t="shared" si="235"/>
        <v>5143786.256347725</v>
      </c>
      <c r="AF230" s="154">
        <f t="shared" si="235"/>
        <v>5276297.4801279735</v>
      </c>
      <c r="AG230" s="154">
        <f t="shared" si="235"/>
        <v>5411782.143564067</v>
      </c>
      <c r="AH230" s="154">
        <f t="shared" si="235"/>
        <v>5550330.674969236</v>
      </c>
      <c r="AI230" s="154">
        <f t="shared" si="235"/>
        <v>5692034.145157173</v>
      </c>
      <c r="AJ230" s="154">
        <f t="shared" si="235"/>
        <v>5836984.386050631</v>
      </c>
      <c r="AK230" s="154">
        <f t="shared" si="235"/>
        <v>5985274.1046889685</v>
      </c>
      <c r="AR230" s="154">
        <f aca="true" t="shared" si="236" ref="AR230:BL230">AR192+AR217</f>
        <v>2304205.527088752</v>
      </c>
      <c r="AS230" s="154">
        <f t="shared" si="236"/>
        <v>2510231.943372494</v>
      </c>
      <c r="AT230" s="154">
        <f t="shared" si="236"/>
        <v>2744474.3871902926</v>
      </c>
      <c r="AU230" s="154">
        <f t="shared" si="236"/>
        <v>3117316.956699643</v>
      </c>
      <c r="AV230" s="220">
        <f t="shared" si="236"/>
        <v>3494407.8861245257</v>
      </c>
      <c r="AW230" s="154">
        <f t="shared" si="236"/>
        <v>3759713.917107976</v>
      </c>
      <c r="AX230" s="154">
        <f t="shared" si="236"/>
        <v>3916720.584792075</v>
      </c>
      <c r="AY230" s="154">
        <f t="shared" si="236"/>
        <v>3879350.399107211</v>
      </c>
      <c r="AZ230" s="154">
        <f t="shared" si="236"/>
        <v>4034328.49351887</v>
      </c>
      <c r="BA230" s="154">
        <f t="shared" si="236"/>
        <v>4155671.5446094545</v>
      </c>
      <c r="BB230" s="154">
        <f t="shared" si="236"/>
        <v>4280188.980791327</v>
      </c>
      <c r="BC230" s="154">
        <f t="shared" si="236"/>
        <v>4407989.480873263</v>
      </c>
      <c r="BD230" s="154">
        <f t="shared" si="236"/>
        <v>4539183.300791317</v>
      </c>
      <c r="BE230" s="154">
        <f t="shared" si="236"/>
        <v>4673882.41051034</v>
      </c>
      <c r="BF230" s="154">
        <f t="shared" si="236"/>
        <v>4812200.628323601</v>
      </c>
      <c r="BG230" s="154">
        <f t="shared" si="236"/>
        <v>4935602.214658642</v>
      </c>
      <c r="BH230" s="154">
        <f t="shared" si="236"/>
        <v>5061820.7019125465</v>
      </c>
      <c r="BI230" s="154">
        <f t="shared" si="236"/>
        <v>5190937.753786744</v>
      </c>
      <c r="BJ230" s="154">
        <f t="shared" si="236"/>
        <v>5323035.84216286</v>
      </c>
      <c r="BK230" s="154">
        <f t="shared" si="236"/>
        <v>5458198.343244197</v>
      </c>
      <c r="BL230" s="154">
        <f t="shared" si="236"/>
        <v>5596509.6304244315</v>
      </c>
    </row>
    <row r="231" spans="7:64" ht="12.75">
      <c r="G231" s="67" t="s">
        <v>190</v>
      </c>
      <c r="L231" s="182" t="s">
        <v>184</v>
      </c>
      <c r="M231" s="63"/>
      <c r="Q231" s="154">
        <f aca="true" t="shared" si="237" ref="Q231:AK231">Q193+Q218</f>
        <v>1670099.450626523</v>
      </c>
      <c r="R231" s="220">
        <f t="shared" si="237"/>
        <v>1821042.795629329</v>
      </c>
      <c r="S231" s="154">
        <f t="shared" si="237"/>
        <v>2003049.5665316733</v>
      </c>
      <c r="T231" s="154">
        <f t="shared" si="237"/>
        <v>2313668.195184389</v>
      </c>
      <c r="U231" s="220">
        <f t="shared" si="237"/>
        <v>2627224.1107331454</v>
      </c>
      <c r="V231" s="154">
        <f t="shared" si="237"/>
        <v>2865306.4064878244</v>
      </c>
      <c r="W231" s="154">
        <f t="shared" si="237"/>
        <v>3026558.6146841496</v>
      </c>
      <c r="X231" s="154">
        <f t="shared" si="237"/>
        <v>3001768.2148413574</v>
      </c>
      <c r="Y231" s="154">
        <f t="shared" si="237"/>
        <v>3122409.8454013295</v>
      </c>
      <c r="Z231" s="154">
        <f t="shared" si="237"/>
        <v>3217035.2139288876</v>
      </c>
      <c r="AA231" s="154">
        <f t="shared" si="237"/>
        <v>3314081.958492598</v>
      </c>
      <c r="AB231" s="154">
        <f t="shared" si="237"/>
        <v>3413637.211677313</v>
      </c>
      <c r="AC231" s="154">
        <f t="shared" si="237"/>
        <v>3515789.1332751885</v>
      </c>
      <c r="AD231" s="154">
        <f t="shared" si="237"/>
        <v>3620627.029568293</v>
      </c>
      <c r="AE231" s="154">
        <f t="shared" si="237"/>
        <v>3728241.4697270426</v>
      </c>
      <c r="AF231" s="154">
        <f t="shared" si="237"/>
        <v>3824286.253682111</v>
      </c>
      <c r="AG231" s="154">
        <f t="shared" si="237"/>
        <v>3922486.201261839</v>
      </c>
      <c r="AH231" s="154">
        <f t="shared" si="237"/>
        <v>4022906.8553503174</v>
      </c>
      <c r="AI231" s="154">
        <f t="shared" si="237"/>
        <v>4125614.2245197278</v>
      </c>
      <c r="AJ231" s="154">
        <f t="shared" si="237"/>
        <v>4230674.868997185</v>
      </c>
      <c r="AK231" s="154">
        <f t="shared" si="237"/>
        <v>4338155.983298935</v>
      </c>
      <c r="AR231" s="154">
        <f aca="true" t="shared" si="238" ref="AR231:BL231">AR193+AR218</f>
        <v>1670099.450626523</v>
      </c>
      <c r="AS231" s="154">
        <f t="shared" si="238"/>
        <v>1819428.406140647</v>
      </c>
      <c r="AT231" s="154">
        <f t="shared" si="238"/>
        <v>1989208.476596336</v>
      </c>
      <c r="AU231" s="154">
        <f t="shared" si="238"/>
        <v>2259446.596932104</v>
      </c>
      <c r="AV231" s="220">
        <f t="shared" si="238"/>
        <v>2532763.949340522</v>
      </c>
      <c r="AW231" s="154">
        <f t="shared" si="238"/>
        <v>2725059.059904371</v>
      </c>
      <c r="AX231" s="154">
        <f t="shared" si="238"/>
        <v>2838858.261564653</v>
      </c>
      <c r="AY231" s="154">
        <f t="shared" si="238"/>
        <v>2811772.167963895</v>
      </c>
      <c r="AZ231" s="154">
        <f t="shared" si="238"/>
        <v>2924101.0497816335</v>
      </c>
      <c r="BA231" s="154">
        <f t="shared" si="238"/>
        <v>3012051.087476273</v>
      </c>
      <c r="BB231" s="154">
        <f t="shared" si="238"/>
        <v>3102301.9350312995</v>
      </c>
      <c r="BC231" s="154">
        <f t="shared" si="238"/>
        <v>3194932.363379559</v>
      </c>
      <c r="BD231" s="154">
        <f t="shared" si="238"/>
        <v>3290022.28656346</v>
      </c>
      <c r="BE231" s="154">
        <f t="shared" si="238"/>
        <v>3387652.860961862</v>
      </c>
      <c r="BF231" s="154">
        <f t="shared" si="238"/>
        <v>3487906.5826310925</v>
      </c>
      <c r="BG231" s="154">
        <f t="shared" si="238"/>
        <v>3577348.6567524285</v>
      </c>
      <c r="BH231" s="154">
        <f t="shared" si="238"/>
        <v>3668832.4344552266</v>
      </c>
      <c r="BI231" s="154">
        <f t="shared" si="238"/>
        <v>3762417.1059900345</v>
      </c>
      <c r="BJ231" s="154">
        <f t="shared" si="238"/>
        <v>3858162.447380934</v>
      </c>
      <c r="BK231" s="154">
        <f t="shared" si="238"/>
        <v>3956128.8901081854</v>
      </c>
      <c r="BL231" s="154">
        <f t="shared" si="238"/>
        <v>4056377.5884208265</v>
      </c>
    </row>
    <row r="232" spans="7:73" s="1" customFormat="1" ht="12.75">
      <c r="G232" s="122" t="s">
        <v>384</v>
      </c>
      <c r="L232" s="190"/>
      <c r="M232" s="124"/>
      <c r="Q232" s="217">
        <f>SUM(Q223:Q231)</f>
        <v>69469705.81670024</v>
      </c>
      <c r="R232" s="237">
        <f aca="true" t="shared" si="239" ref="R232:AK232">SUM(R223:R231)</f>
        <v>76277662.93892033</v>
      </c>
      <c r="S232" s="217">
        <f t="shared" si="239"/>
        <v>84489277.24651383</v>
      </c>
      <c r="T232" s="217">
        <f t="shared" si="239"/>
        <v>98277066.63935173</v>
      </c>
      <c r="U232" s="237">
        <f t="shared" si="239"/>
        <v>112382306.50895312</v>
      </c>
      <c r="V232" s="217">
        <f t="shared" si="239"/>
        <v>123432654.25263923</v>
      </c>
      <c r="W232" s="217">
        <f t="shared" si="239"/>
        <v>131303013.30237356</v>
      </c>
      <c r="X232" s="217">
        <f t="shared" si="239"/>
        <v>131152857.72329395</v>
      </c>
      <c r="Y232" s="217">
        <f t="shared" si="239"/>
        <v>137395929.7598021</v>
      </c>
      <c r="Z232" s="217">
        <f t="shared" si="239"/>
        <v>142571083.67015794</v>
      </c>
      <c r="AA232" s="217">
        <f t="shared" si="239"/>
        <v>147924067.37111753</v>
      </c>
      <c r="AB232" s="217">
        <f t="shared" si="239"/>
        <v>153462109.97288272</v>
      </c>
      <c r="AC232" s="217">
        <f t="shared" si="239"/>
        <v>159192658.42550087</v>
      </c>
      <c r="AD232" s="217">
        <f t="shared" si="239"/>
        <v>165123388.32374814</v>
      </c>
      <c r="AE232" s="217">
        <f t="shared" si="239"/>
        <v>171262214.93313274</v>
      </c>
      <c r="AF232" s="217">
        <f t="shared" si="239"/>
        <v>176949253.22282687</v>
      </c>
      <c r="AG232" s="217">
        <f t="shared" si="239"/>
        <v>182813660.0557569</v>
      </c>
      <c r="AH232" s="217">
        <f t="shared" si="239"/>
        <v>188861787.3107241</v>
      </c>
      <c r="AI232" s="217">
        <f t="shared" si="239"/>
        <v>195100155.97303987</v>
      </c>
      <c r="AJ232" s="217">
        <f t="shared" si="239"/>
        <v>201535464.13204834</v>
      </c>
      <c r="AK232" s="217">
        <f t="shared" si="239"/>
        <v>208174595.0793142</v>
      </c>
      <c r="AM232" s="207"/>
      <c r="AR232" s="217">
        <f aca="true" t="shared" si="240" ref="AR232:BL232">SUM(AR223:AR231)</f>
        <v>69469705.81670024</v>
      </c>
      <c r="AS232" s="217">
        <f t="shared" si="240"/>
        <v>76210041.32257755</v>
      </c>
      <c r="AT232" s="217">
        <f t="shared" si="240"/>
        <v>83904856.54663979</v>
      </c>
      <c r="AU232" s="217">
        <f t="shared" si="240"/>
        <v>95969793.95823509</v>
      </c>
      <c r="AV232" s="237">
        <f t="shared" si="240"/>
        <v>108335348.44630112</v>
      </c>
      <c r="AW232" s="217">
        <f t="shared" si="240"/>
        <v>117382174.81945579</v>
      </c>
      <c r="AX232" s="217">
        <f t="shared" si="240"/>
        <v>123148256.4528328</v>
      </c>
      <c r="AY232" s="217">
        <f t="shared" si="240"/>
        <v>122849884.51575963</v>
      </c>
      <c r="AZ232" s="217">
        <f t="shared" si="240"/>
        <v>128667808.4039367</v>
      </c>
      <c r="BA232" s="217">
        <f t="shared" si="240"/>
        <v>133484587.82183133</v>
      </c>
      <c r="BB232" s="217">
        <f t="shared" si="240"/>
        <v>138468978.67091438</v>
      </c>
      <c r="BC232" s="217">
        <f t="shared" si="240"/>
        <v>143627648.67100367</v>
      </c>
      <c r="BD232" s="217">
        <f t="shared" si="240"/>
        <v>148967474.6730581</v>
      </c>
      <c r="BE232" s="217">
        <f t="shared" si="240"/>
        <v>154495552.42222407</v>
      </c>
      <c r="BF232" s="217">
        <f t="shared" si="240"/>
        <v>160219206.54786423</v>
      </c>
      <c r="BG232" s="217">
        <f t="shared" si="240"/>
        <v>165520491.0004467</v>
      </c>
      <c r="BH232" s="217">
        <f t="shared" si="240"/>
        <v>170988631.47126916</v>
      </c>
      <c r="BI232" s="217">
        <f t="shared" si="240"/>
        <v>176629491.75165576</v>
      </c>
      <c r="BJ232" s="217">
        <f t="shared" si="240"/>
        <v>182449098.50273964</v>
      </c>
      <c r="BK232" s="217">
        <f t="shared" si="240"/>
        <v>188453648.4204101</v>
      </c>
      <c r="BL232" s="217">
        <f t="shared" si="240"/>
        <v>194649515.51419148</v>
      </c>
      <c r="BN232" s="207"/>
      <c r="BU232" s="233"/>
    </row>
    <row r="233" spans="12:13" ht="12.75">
      <c r="L233" s="4"/>
      <c r="M233" s="63"/>
    </row>
    <row r="234" spans="12:13" ht="12.75">
      <c r="L234" s="4"/>
      <c r="M234" s="63"/>
    </row>
    <row r="235" spans="3:14" ht="12.75">
      <c r="C235" t="s">
        <v>397</v>
      </c>
      <c r="K235" s="3"/>
      <c r="L235" s="4"/>
      <c r="M235" s="74"/>
      <c r="N235" s="3"/>
    </row>
    <row r="236" spans="4:14" ht="12.75">
      <c r="D236" t="s">
        <v>386</v>
      </c>
      <c r="K236" s="79"/>
      <c r="L236" s="4"/>
      <c r="M236" s="74"/>
      <c r="N236" s="3"/>
    </row>
    <row r="237" spans="5:40" ht="12.75">
      <c r="E237" s="18" t="s">
        <v>197</v>
      </c>
      <c r="L237" s="64" t="s">
        <v>64</v>
      </c>
      <c r="M237" s="14">
        <f>'Data &amp; Assumptions'!D95</f>
        <v>0.6</v>
      </c>
      <c r="N237" s="3"/>
      <c r="AN237" s="66">
        <f>M237</f>
        <v>0.6</v>
      </c>
    </row>
    <row r="238" spans="5:14" ht="12.75">
      <c r="E238" t="s">
        <v>387</v>
      </c>
      <c r="L238" s="64"/>
      <c r="M238" s="74"/>
      <c r="N238" s="3"/>
    </row>
    <row r="239" spans="6:40" ht="12.75">
      <c r="F239" t="s">
        <v>396</v>
      </c>
      <c r="L239" s="64" t="s">
        <v>64</v>
      </c>
      <c r="M239" s="116">
        <f>(1-'Data &amp; Assumptions'!D154)*('Data &amp; Assumptions'!D151+'Data &amp; Assumptions'!D152)+'Data &amp; Assumptions'!D154*'Data &amp; Assumptions'!D153</f>
        <v>0.3507168303144918</v>
      </c>
      <c r="N239" s="3"/>
      <c r="AN239" s="160">
        <f>M239</f>
        <v>0.3507168303144918</v>
      </c>
    </row>
    <row r="240" spans="12:14" ht="12.75">
      <c r="L240" s="64"/>
      <c r="M240" s="116"/>
      <c r="N240" s="3"/>
    </row>
    <row r="241" spans="4:13" ht="12.75">
      <c r="D241" t="s">
        <v>388</v>
      </c>
      <c r="K241" s="80"/>
      <c r="L241" s="64"/>
      <c r="M241" s="63"/>
    </row>
    <row r="242" spans="5:40" ht="12.75">
      <c r="E242" s="18" t="s">
        <v>198</v>
      </c>
      <c r="K242" s="80"/>
      <c r="L242" s="64" t="s">
        <v>64</v>
      </c>
      <c r="M242" s="60">
        <f>'Data &amp; Assumptions'!D96</f>
        <v>0.3</v>
      </c>
      <c r="AN242" s="66">
        <f>M242</f>
        <v>0.3</v>
      </c>
    </row>
    <row r="243" spans="5:13" ht="12.75">
      <c r="E243" t="s">
        <v>400</v>
      </c>
      <c r="K243" s="80"/>
      <c r="L243" s="64"/>
      <c r="M243" s="74"/>
    </row>
    <row r="244" spans="6:13" ht="12.75">
      <c r="F244" t="s">
        <v>399</v>
      </c>
      <c r="K244" s="80"/>
      <c r="L244" s="64"/>
      <c r="M244" s="74"/>
    </row>
    <row r="245" spans="6:40" ht="12.75">
      <c r="F245" t="s">
        <v>398</v>
      </c>
      <c r="K245" s="80"/>
      <c r="L245" s="64" t="s">
        <v>64</v>
      </c>
      <c r="M245" s="14">
        <f>'Data &amp; Assumptions'!D155</f>
        <v>0.3333333333333333</v>
      </c>
      <c r="S245" s="63"/>
      <c r="AN245" s="66">
        <f>M245</f>
        <v>0.3333333333333333</v>
      </c>
    </row>
    <row r="246" spans="11:13" ht="12.75">
      <c r="K246" s="80"/>
      <c r="L246" s="64"/>
      <c r="M246" s="74"/>
    </row>
    <row r="247" spans="4:13" ht="12.75">
      <c r="D247" t="s">
        <v>389</v>
      </c>
      <c r="K247" s="80"/>
      <c r="L247" s="64"/>
      <c r="M247" s="74"/>
    </row>
    <row r="248" spans="5:40" ht="12.75">
      <c r="E248" s="18" t="s">
        <v>404</v>
      </c>
      <c r="L248" s="64" t="s">
        <v>64</v>
      </c>
      <c r="M248" s="14">
        <f>'Data &amp; Assumptions'!D97</f>
        <v>0.1</v>
      </c>
      <c r="AN248" s="66">
        <f>M248</f>
        <v>0.1</v>
      </c>
    </row>
    <row r="249" spans="5:13" ht="12.75">
      <c r="E249" t="s">
        <v>403</v>
      </c>
      <c r="L249" s="64"/>
      <c r="M249" s="74"/>
    </row>
    <row r="250" spans="6:13" ht="12.75">
      <c r="F250" t="s">
        <v>405</v>
      </c>
      <c r="L250" s="64"/>
      <c r="M250" s="74"/>
    </row>
    <row r="251" spans="7:64" ht="12.75">
      <c r="G251" s="67" t="s">
        <v>233</v>
      </c>
      <c r="L251" s="182" t="s">
        <v>184</v>
      </c>
      <c r="M251" s="74"/>
      <c r="Q251" s="154">
        <f>$M$248*Q223</f>
        <v>4927041.334170527</v>
      </c>
      <c r="R251" s="220">
        <f>$M$248*R223</f>
        <v>5425276.135320931</v>
      </c>
      <c r="S251" s="154">
        <f>$M$248*S223</f>
        <v>6026306.483676368</v>
      </c>
      <c r="T251" s="154">
        <f aca="true" t="shared" si="241" ref="T251:AK251">$M$248*T223</f>
        <v>7029402.614012204</v>
      </c>
      <c r="U251" s="220">
        <f t="shared" si="241"/>
        <v>8060691.242080506</v>
      </c>
      <c r="V251" s="154">
        <f t="shared" si="241"/>
        <v>8877773.468278233</v>
      </c>
      <c r="W251" s="154">
        <f t="shared" si="241"/>
        <v>9469780.2380481</v>
      </c>
      <c r="X251" s="154">
        <f t="shared" si="241"/>
        <v>9484747.836940108</v>
      </c>
      <c r="Y251" s="154">
        <f t="shared" si="241"/>
        <v>9963143.03640298</v>
      </c>
      <c r="Z251" s="154">
        <f t="shared" si="241"/>
        <v>10366212.219236664</v>
      </c>
      <c r="AA251" s="154">
        <f t="shared" si="241"/>
        <v>10784135.8080612</v>
      </c>
      <c r="AB251" s="154">
        <f t="shared" si="241"/>
        <v>11217531.329958923</v>
      </c>
      <c r="AC251" s="154">
        <f t="shared" si="241"/>
        <v>11667036.853624083</v>
      </c>
      <c r="AD251" s="154">
        <f t="shared" si="241"/>
        <v>12133311.925582731</v>
      </c>
      <c r="AE251" s="154">
        <f t="shared" si="241"/>
        <v>12617038.532012971</v>
      </c>
      <c r="AF251" s="154">
        <f t="shared" si="241"/>
        <v>13069579.417447528</v>
      </c>
      <c r="AG251" s="154">
        <f t="shared" si="241"/>
        <v>13537250.559115533</v>
      </c>
      <c r="AH251" s="154">
        <f t="shared" si="241"/>
        <v>14020607.872977683</v>
      </c>
      <c r="AI251" s="154">
        <f t="shared" si="241"/>
        <v>14520223.622412235</v>
      </c>
      <c r="AJ251" s="154">
        <f t="shared" si="241"/>
        <v>15036687.113991998</v>
      </c>
      <c r="AK251" s="154">
        <f t="shared" si="241"/>
        <v>15570605.407360936</v>
      </c>
      <c r="AR251" s="154">
        <f>$AN$248*AR223</f>
        <v>4927041.334170527</v>
      </c>
      <c r="AS251" s="154">
        <f aca="true" t="shared" si="242" ref="AS251:BL251">$AN$248*AS223</f>
        <v>5420466.523604456</v>
      </c>
      <c r="AT251" s="154">
        <f t="shared" si="242"/>
        <v>5984604.747545831</v>
      </c>
      <c r="AU251" s="154">
        <f t="shared" si="242"/>
        <v>6864254.54965088</v>
      </c>
      <c r="AV251" s="220">
        <f t="shared" si="242"/>
        <v>7770241.831530784</v>
      </c>
      <c r="AW251" s="154">
        <f t="shared" si="242"/>
        <v>8442349.984833725</v>
      </c>
      <c r="AX251" s="154">
        <f t="shared" si="242"/>
        <v>8881321.832148766</v>
      </c>
      <c r="AY251" s="154">
        <f t="shared" si="242"/>
        <v>8884244.359812636</v>
      </c>
      <c r="AZ251" s="154">
        <f t="shared" si="242"/>
        <v>9330178.735122567</v>
      </c>
      <c r="BA251" s="154">
        <f t="shared" si="242"/>
        <v>9705484.05737043</v>
      </c>
      <c r="BB251" s="154">
        <f t="shared" si="242"/>
        <v>10094767.770411754</v>
      </c>
      <c r="BC251" s="154">
        <f t="shared" si="242"/>
        <v>10498601.37542801</v>
      </c>
      <c r="BD251" s="154">
        <f t="shared" si="242"/>
        <v>10917575.904162256</v>
      </c>
      <c r="BE251" s="154">
        <f t="shared" si="242"/>
        <v>11352302.775212027</v>
      </c>
      <c r="BF251" s="154">
        <f t="shared" si="242"/>
        <v>11803414.675301466</v>
      </c>
      <c r="BG251" s="154">
        <f t="shared" si="242"/>
        <v>12225365.933023348</v>
      </c>
      <c r="BH251" s="154">
        <f t="shared" si="242"/>
        <v>12661533.420594325</v>
      </c>
      <c r="BI251" s="154">
        <f t="shared" si="242"/>
        <v>13112431.92852451</v>
      </c>
      <c r="BJ251" s="154">
        <f t="shared" si="242"/>
        <v>13578591.825832121</v>
      </c>
      <c r="BK251" s="154">
        <f t="shared" si="242"/>
        <v>14060559.692258157</v>
      </c>
      <c r="BL251" s="154">
        <f t="shared" si="242"/>
        <v>14558898.964743078</v>
      </c>
    </row>
    <row r="252" spans="7:64" ht="12.75">
      <c r="G252" s="67" t="s">
        <v>73</v>
      </c>
      <c r="L252" s="182" t="s">
        <v>184</v>
      </c>
      <c r="M252" s="74"/>
      <c r="Q252" s="154">
        <f aca="true" t="shared" si="243" ref="Q252:R259">$M$248*Q224</f>
        <v>265635.25027631124</v>
      </c>
      <c r="R252" s="220">
        <f t="shared" si="243"/>
        <v>289643.3254914259</v>
      </c>
      <c r="S252" s="154">
        <f aca="true" t="shared" si="244" ref="S252:AK252">$M$248*S224</f>
        <v>318592.1489417244</v>
      </c>
      <c r="T252" s="154">
        <f t="shared" si="244"/>
        <v>367997.14523203205</v>
      </c>
      <c r="U252" s="220">
        <f t="shared" si="244"/>
        <v>417869.3274372094</v>
      </c>
      <c r="V252" s="154">
        <f t="shared" si="244"/>
        <v>455737.1623110112</v>
      </c>
      <c r="W252" s="154">
        <f t="shared" si="244"/>
        <v>481384.89883698337</v>
      </c>
      <c r="X252" s="154">
        <f t="shared" si="244"/>
        <v>477441.89767964114</v>
      </c>
      <c r="Y252" s="154">
        <f t="shared" si="244"/>
        <v>496630.3775725723</v>
      </c>
      <c r="Z252" s="154">
        <f t="shared" si="244"/>
        <v>511680.87857230636</v>
      </c>
      <c r="AA252" s="154">
        <f t="shared" si="244"/>
        <v>527116.5080319861</v>
      </c>
      <c r="AB252" s="154">
        <f t="shared" si="244"/>
        <v>542951.1246987483</v>
      </c>
      <c r="AC252" s="154">
        <f t="shared" si="244"/>
        <v>559198.7507007088</v>
      </c>
      <c r="AD252" s="154">
        <f t="shared" si="244"/>
        <v>575873.5905192703</v>
      </c>
      <c r="AE252" s="154">
        <f t="shared" si="244"/>
        <v>592990.0495026981</v>
      </c>
      <c r="AF252" s="154">
        <f t="shared" si="244"/>
        <v>608266.3135683447</v>
      </c>
      <c r="AG252" s="154">
        <f t="shared" si="244"/>
        <v>623885.3640642032</v>
      </c>
      <c r="AH252" s="154">
        <f t="shared" si="244"/>
        <v>639857.6258188798</v>
      </c>
      <c r="AI252" s="154">
        <f t="shared" si="244"/>
        <v>656193.5977301691</v>
      </c>
      <c r="AJ252" s="154">
        <f t="shared" si="244"/>
        <v>672903.8664387269</v>
      </c>
      <c r="AK252" s="154">
        <f t="shared" si="244"/>
        <v>689999.1194709651</v>
      </c>
      <c r="AR252" s="154">
        <f aca="true" t="shared" si="245" ref="AR252:BL252">$AN$248*AR224</f>
        <v>265635.25027631124</v>
      </c>
      <c r="AS252" s="154">
        <f t="shared" si="245"/>
        <v>289386.551108494</v>
      </c>
      <c r="AT252" s="154">
        <f t="shared" si="245"/>
        <v>316390.6744201377</v>
      </c>
      <c r="AU252" s="154">
        <f t="shared" si="245"/>
        <v>359373.007419925</v>
      </c>
      <c r="AV252" s="220">
        <f t="shared" si="245"/>
        <v>402845.1032191502</v>
      </c>
      <c r="AW252" s="154">
        <f t="shared" si="245"/>
        <v>433430.32363963244</v>
      </c>
      <c r="AX252" s="154">
        <f t="shared" si="245"/>
        <v>451530.4909098716</v>
      </c>
      <c r="AY252" s="154">
        <f t="shared" si="245"/>
        <v>447222.3515053874</v>
      </c>
      <c r="AZ252" s="154">
        <f t="shared" si="245"/>
        <v>465088.6591816887</v>
      </c>
      <c r="BA252" s="154">
        <f t="shared" si="245"/>
        <v>479077.42509982944</v>
      </c>
      <c r="BB252" s="154">
        <f t="shared" si="245"/>
        <v>493432.14299937594</v>
      </c>
      <c r="BC252" s="154">
        <f t="shared" si="245"/>
        <v>508165.3416770113</v>
      </c>
      <c r="BD252" s="154">
        <f t="shared" si="245"/>
        <v>523289.7317450617</v>
      </c>
      <c r="BE252" s="154">
        <f t="shared" si="245"/>
        <v>538818.221413874</v>
      </c>
      <c r="BF252" s="154">
        <f t="shared" si="245"/>
        <v>554763.9319742412</v>
      </c>
      <c r="BG252" s="154">
        <f t="shared" si="245"/>
        <v>568990.0115861841</v>
      </c>
      <c r="BH252" s="154">
        <f t="shared" si="245"/>
        <v>583540.831405429</v>
      </c>
      <c r="BI252" s="154">
        <f t="shared" si="245"/>
        <v>598425.8058516459</v>
      </c>
      <c r="BJ252" s="154">
        <f t="shared" si="245"/>
        <v>613654.4425137205</v>
      </c>
      <c r="BK252" s="154">
        <f t="shared" si="245"/>
        <v>629236.3532333449</v>
      </c>
      <c r="BL252" s="154">
        <f t="shared" si="245"/>
        <v>645181.2648109798</v>
      </c>
    </row>
    <row r="253" spans="7:64" ht="12.75">
      <c r="G253" s="67" t="s">
        <v>72</v>
      </c>
      <c r="L253" s="182" t="s">
        <v>184</v>
      </c>
      <c r="M253" s="74"/>
      <c r="Q253" s="154">
        <f t="shared" si="243"/>
        <v>454826.83744727285</v>
      </c>
      <c r="R253" s="220">
        <f t="shared" si="243"/>
        <v>495934.02074440056</v>
      </c>
      <c r="S253" s="154">
        <f aca="true" t="shared" si="246" ref="S253:AK253">$M$248*S225</f>
        <v>545500.8677800375</v>
      </c>
      <c r="T253" s="154">
        <f t="shared" si="246"/>
        <v>630093.2484728897</v>
      </c>
      <c r="U253" s="220">
        <f t="shared" si="246"/>
        <v>715485.5557264641</v>
      </c>
      <c r="V253" s="154">
        <f t="shared" si="246"/>
        <v>780323.741015169</v>
      </c>
      <c r="W253" s="154">
        <f t="shared" si="246"/>
        <v>824238.3904438658</v>
      </c>
      <c r="X253" s="154">
        <f t="shared" si="246"/>
        <v>817487.0923967261</v>
      </c>
      <c r="Y253" s="154">
        <f t="shared" si="246"/>
        <v>850342.0527833501</v>
      </c>
      <c r="Z253" s="154">
        <f t="shared" si="246"/>
        <v>876111.8697206272</v>
      </c>
      <c r="AA253" s="154">
        <f t="shared" si="246"/>
        <v>902541.1125407978</v>
      </c>
      <c r="AB253" s="154">
        <f t="shared" si="246"/>
        <v>929653.5105122451</v>
      </c>
      <c r="AC253" s="154">
        <f t="shared" si="246"/>
        <v>957473.0726479676</v>
      </c>
      <c r="AD253" s="154">
        <f t="shared" si="246"/>
        <v>986024.120190498</v>
      </c>
      <c r="AE253" s="154">
        <f t="shared" si="246"/>
        <v>1015331.3183113653</v>
      </c>
      <c r="AF253" s="154">
        <f t="shared" si="246"/>
        <v>1041487.6920070964</v>
      </c>
      <c r="AG253" s="154">
        <f t="shared" si="246"/>
        <v>1068230.9925802313</v>
      </c>
      <c r="AH253" s="154">
        <f t="shared" si="246"/>
        <v>1095579.069664096</v>
      </c>
      <c r="AI253" s="154">
        <f t="shared" si="246"/>
        <v>1123549.8997151721</v>
      </c>
      <c r="AJ253" s="154">
        <f t="shared" si="246"/>
        <v>1152161.6094250185</v>
      </c>
      <c r="AK253" s="154">
        <f t="shared" si="246"/>
        <v>1181432.4982243301</v>
      </c>
      <c r="AR253" s="154">
        <f aca="true" t="shared" si="247" ref="AR253:BL253">$AN$248*AR225</f>
        <v>454826.83744727285</v>
      </c>
      <c r="AS253" s="154">
        <f t="shared" si="247"/>
        <v>495494.36568956537</v>
      </c>
      <c r="AT253" s="154">
        <f t="shared" si="247"/>
        <v>541731.4520367108</v>
      </c>
      <c r="AU253" s="154">
        <f t="shared" si="247"/>
        <v>615326.7996574183</v>
      </c>
      <c r="AV253" s="220">
        <f t="shared" si="247"/>
        <v>689760.7305043202</v>
      </c>
      <c r="AW253" s="154">
        <f t="shared" si="247"/>
        <v>742129.4543917022</v>
      </c>
      <c r="AX253" s="154">
        <f t="shared" si="247"/>
        <v>773120.9806602445</v>
      </c>
      <c r="AY253" s="154">
        <f t="shared" si="247"/>
        <v>765744.4844362587</v>
      </c>
      <c r="AZ253" s="154">
        <f t="shared" si="247"/>
        <v>796335.5908832239</v>
      </c>
      <c r="BA253" s="154">
        <f t="shared" si="247"/>
        <v>820287.4803847946</v>
      </c>
      <c r="BB253" s="154">
        <f t="shared" si="247"/>
        <v>844865.9613578692</v>
      </c>
      <c r="BC253" s="154">
        <f t="shared" si="247"/>
        <v>870092.4858988086</v>
      </c>
      <c r="BD253" s="154">
        <f t="shared" si="247"/>
        <v>895988.8174128565</v>
      </c>
      <c r="BE253" s="154">
        <f t="shared" si="247"/>
        <v>922577.0576371754</v>
      </c>
      <c r="BF253" s="154">
        <f t="shared" si="247"/>
        <v>949879.6731502999</v>
      </c>
      <c r="BG253" s="154">
        <f t="shared" si="247"/>
        <v>974237.896663337</v>
      </c>
      <c r="BH253" s="154">
        <f t="shared" si="247"/>
        <v>999152.1478922947</v>
      </c>
      <c r="BI253" s="154">
        <f t="shared" si="247"/>
        <v>1024638.546424882</v>
      </c>
      <c r="BJ253" s="154">
        <f t="shared" si="247"/>
        <v>1050713.3713754637</v>
      </c>
      <c r="BK253" s="154">
        <f t="shared" si="247"/>
        <v>1077393.0803622084</v>
      </c>
      <c r="BL253" s="154">
        <f t="shared" si="247"/>
        <v>1104694.32783855</v>
      </c>
    </row>
    <row r="254" spans="7:64" ht="12.75">
      <c r="G254" s="67" t="s">
        <v>85</v>
      </c>
      <c r="L254" s="182" t="s">
        <v>184</v>
      </c>
      <c r="M254" s="74"/>
      <c r="Q254" s="154">
        <f t="shared" si="243"/>
        <v>196100.7214178982</v>
      </c>
      <c r="R254" s="220">
        <f t="shared" si="243"/>
        <v>213824.2760464423</v>
      </c>
      <c r="S254" s="154">
        <f aca="true" t="shared" si="248" ref="S254:AK254">$M$248*S226</f>
        <v>235195.25432171952</v>
      </c>
      <c r="T254" s="154">
        <f t="shared" si="248"/>
        <v>271667.6554962633</v>
      </c>
      <c r="U254" s="220">
        <f t="shared" si="248"/>
        <v>308484.9487543947</v>
      </c>
      <c r="V254" s="154">
        <f t="shared" si="248"/>
        <v>336440.2360498948</v>
      </c>
      <c r="W254" s="154">
        <f t="shared" si="248"/>
        <v>355374.242851506</v>
      </c>
      <c r="X254" s="154">
        <f t="shared" si="248"/>
        <v>352463.38907475065</v>
      </c>
      <c r="Y254" s="154">
        <f t="shared" si="248"/>
        <v>366628.9591412307</v>
      </c>
      <c r="Z254" s="154">
        <f t="shared" si="248"/>
        <v>377739.7364220274</v>
      </c>
      <c r="AA254" s="154">
        <f t="shared" si="248"/>
        <v>389134.8282610583</v>
      </c>
      <c r="AB254" s="154">
        <f t="shared" si="248"/>
        <v>400824.4656435158</v>
      </c>
      <c r="AC254" s="154">
        <f t="shared" si="248"/>
        <v>412819.000167825</v>
      </c>
      <c r="AD254" s="154">
        <f t="shared" si="248"/>
        <v>425128.91805163235</v>
      </c>
      <c r="AE254" s="154">
        <f t="shared" si="248"/>
        <v>437764.85379917297</v>
      </c>
      <c r="AF254" s="154">
        <f t="shared" si="248"/>
        <v>449042.29683704465</v>
      </c>
      <c r="AG254" s="154">
        <f t="shared" si="248"/>
        <v>460572.7961473353</v>
      </c>
      <c r="AH254" s="154">
        <f t="shared" si="248"/>
        <v>472364.04768307443</v>
      </c>
      <c r="AI254" s="154">
        <f t="shared" si="248"/>
        <v>484423.8020776204</v>
      </c>
      <c r="AJ254" s="154">
        <f t="shared" si="248"/>
        <v>496759.87473901775</v>
      </c>
      <c r="AK254" s="154">
        <f t="shared" si="248"/>
        <v>509380.15555250016</v>
      </c>
      <c r="AR254" s="154">
        <f aca="true" t="shared" si="249" ref="AR254:BL254">$AN$248*AR226</f>
        <v>196100.7214178982</v>
      </c>
      <c r="AS254" s="154">
        <f t="shared" si="249"/>
        <v>213634.71671016366</v>
      </c>
      <c r="AT254" s="154">
        <f t="shared" si="249"/>
        <v>233570.05306767963</v>
      </c>
      <c r="AU254" s="154">
        <f t="shared" si="249"/>
        <v>265301.03192201105</v>
      </c>
      <c r="AV254" s="220">
        <f t="shared" si="249"/>
        <v>297393.56986232003</v>
      </c>
      <c r="AW254" s="154">
        <f t="shared" si="249"/>
        <v>319972.5904664872</v>
      </c>
      <c r="AX254" s="154">
        <f t="shared" si="249"/>
        <v>333334.7321844501</v>
      </c>
      <c r="AY254" s="154">
        <f t="shared" si="249"/>
        <v>330154.3212852595</v>
      </c>
      <c r="AZ254" s="154">
        <f t="shared" si="249"/>
        <v>343343.8201215467</v>
      </c>
      <c r="BA254" s="154">
        <f t="shared" si="249"/>
        <v>353670.7894730924</v>
      </c>
      <c r="BB254" s="154">
        <f t="shared" si="249"/>
        <v>364267.91667260154</v>
      </c>
      <c r="BC254" s="154">
        <f t="shared" si="249"/>
        <v>375144.4508918838</v>
      </c>
      <c r="BD254" s="154">
        <f t="shared" si="249"/>
        <v>386309.77552506165</v>
      </c>
      <c r="BE254" s="154">
        <f t="shared" si="249"/>
        <v>397773.41983964434</v>
      </c>
      <c r="BF254" s="154">
        <f t="shared" si="249"/>
        <v>409545.0704061993</v>
      </c>
      <c r="BG254" s="154">
        <f t="shared" si="249"/>
        <v>420047.232570095</v>
      </c>
      <c r="BH254" s="154">
        <f t="shared" si="249"/>
        <v>430789.12868820096</v>
      </c>
      <c r="BI254" s="154">
        <f t="shared" si="249"/>
        <v>441777.70879627514</v>
      </c>
      <c r="BJ254" s="154">
        <f t="shared" si="249"/>
        <v>453019.9917106748</v>
      </c>
      <c r="BK254" s="154">
        <f t="shared" si="249"/>
        <v>464523.0732106299</v>
      </c>
      <c r="BL254" s="154">
        <f t="shared" si="249"/>
        <v>476294.13394172426</v>
      </c>
    </row>
    <row r="255" spans="7:64" ht="12.75">
      <c r="G255" s="67" t="s">
        <v>81</v>
      </c>
      <c r="L255" s="182" t="s">
        <v>184</v>
      </c>
      <c r="M255" s="74"/>
      <c r="Q255" s="154">
        <f t="shared" si="243"/>
        <v>270860.9295908975</v>
      </c>
      <c r="R255" s="220">
        <f t="shared" si="243"/>
        <v>295341.30094104685</v>
      </c>
      <c r="S255" s="154">
        <f aca="true" t="shared" si="250" ref="S255:AK255">$M$248*S227</f>
        <v>324859.6168353214</v>
      </c>
      <c r="T255" s="154">
        <f t="shared" si="250"/>
        <v>375236.52730826434</v>
      </c>
      <c r="U255" s="220">
        <f t="shared" si="250"/>
        <v>426089.81435796723</v>
      </c>
      <c r="V255" s="154">
        <f t="shared" si="250"/>
        <v>464702.5999157702</v>
      </c>
      <c r="W255" s="154">
        <f t="shared" si="250"/>
        <v>490854.88862783334</v>
      </c>
      <c r="X255" s="154">
        <f t="shared" si="250"/>
        <v>486834.3192277099</v>
      </c>
      <c r="Y255" s="154">
        <f t="shared" si="250"/>
        <v>506400.2823136641</v>
      </c>
      <c r="Z255" s="154">
        <f t="shared" si="250"/>
        <v>521746.8625862661</v>
      </c>
      <c r="AA255" s="154">
        <f t="shared" si="250"/>
        <v>537486.1477147178</v>
      </c>
      <c r="AB255" s="154">
        <f t="shared" si="250"/>
        <v>553632.2690808246</v>
      </c>
      <c r="AC255" s="154">
        <f t="shared" si="250"/>
        <v>570199.5246613951</v>
      </c>
      <c r="AD255" s="154">
        <f t="shared" si="250"/>
        <v>587202.3983738828</v>
      </c>
      <c r="AE255" s="154">
        <f t="shared" si="250"/>
        <v>604655.5789541436</v>
      </c>
      <c r="AF255" s="154">
        <f t="shared" si="250"/>
        <v>620232.3635909482</v>
      </c>
      <c r="AG255" s="154">
        <f t="shared" si="250"/>
        <v>636158.6780851182</v>
      </c>
      <c r="AH255" s="154">
        <f t="shared" si="250"/>
        <v>652445.1523464851</v>
      </c>
      <c r="AI255" s="154">
        <f t="shared" si="250"/>
        <v>669102.4918112664</v>
      </c>
      <c r="AJ255" s="154">
        <f t="shared" si="250"/>
        <v>686141.4913845654</v>
      </c>
      <c r="AK255" s="154">
        <f t="shared" si="250"/>
        <v>703573.0488419823</v>
      </c>
      <c r="AR255" s="154">
        <f aca="true" t="shared" si="251" ref="AR255:BL255">$AN$248*AR227</f>
        <v>270860.9295908975</v>
      </c>
      <c r="AS255" s="154">
        <f t="shared" si="251"/>
        <v>295079.47519320756</v>
      </c>
      <c r="AT255" s="154">
        <f t="shared" si="251"/>
        <v>322614.8340560503</v>
      </c>
      <c r="AU255" s="154">
        <f t="shared" si="251"/>
        <v>366442.7321237868</v>
      </c>
      <c r="AV255" s="220">
        <f t="shared" si="251"/>
        <v>410770.027794051</v>
      </c>
      <c r="AW255" s="154">
        <f t="shared" si="251"/>
        <v>441956.9324921923</v>
      </c>
      <c r="AX255" s="154">
        <f t="shared" si="251"/>
        <v>460413.1732488994</v>
      </c>
      <c r="AY255" s="154">
        <f t="shared" si="251"/>
        <v>456020.28246090584</v>
      </c>
      <c r="AZ255" s="154">
        <f t="shared" si="251"/>
        <v>474238.0630473497</v>
      </c>
      <c r="BA255" s="154">
        <f t="shared" si="251"/>
        <v>488502.02137545985</v>
      </c>
      <c r="BB255" s="154">
        <f t="shared" si="251"/>
        <v>503139.1308337833</v>
      </c>
      <c r="BC255" s="154">
        <f t="shared" si="251"/>
        <v>518162.1666903691</v>
      </c>
      <c r="BD255" s="154">
        <f t="shared" si="251"/>
        <v>533584.0896055939</v>
      </c>
      <c r="BE255" s="154">
        <f t="shared" si="251"/>
        <v>549418.0617251092</v>
      </c>
      <c r="BF255" s="154">
        <f t="shared" si="251"/>
        <v>565677.4624668228</v>
      </c>
      <c r="BG255" s="154">
        <f t="shared" si="251"/>
        <v>580183.4030154418</v>
      </c>
      <c r="BH255" s="154">
        <f t="shared" si="251"/>
        <v>595020.4721862434</v>
      </c>
      <c r="BI255" s="154">
        <f t="shared" si="251"/>
        <v>610198.2696029701</v>
      </c>
      <c r="BJ255" s="154">
        <f t="shared" si="251"/>
        <v>625726.4898915157</v>
      </c>
      <c r="BK255" s="154">
        <f t="shared" si="251"/>
        <v>641614.9339813999</v>
      </c>
      <c r="BL255" s="154">
        <f t="shared" si="251"/>
        <v>657873.5200224972</v>
      </c>
    </row>
    <row r="256" spans="7:64" ht="12.75">
      <c r="G256" s="67" t="s">
        <v>82</v>
      </c>
      <c r="L256" s="182" t="s">
        <v>184</v>
      </c>
      <c r="M256" s="74"/>
      <c r="Q256" s="154">
        <f t="shared" si="243"/>
        <v>26943.99019798251</v>
      </c>
      <c r="R256" s="220">
        <f t="shared" si="243"/>
        <v>29379.184106153978</v>
      </c>
      <c r="S256" s="154">
        <f aca="true" t="shared" si="252" ref="S256:AK256">$M$248*S228</f>
        <v>32315.529393447872</v>
      </c>
      <c r="T256" s="154">
        <f t="shared" si="252"/>
        <v>37326.79101777198</v>
      </c>
      <c r="U256" s="220">
        <f t="shared" si="252"/>
        <v>42385.44037658458</v>
      </c>
      <c r="V256" s="154">
        <f t="shared" si="252"/>
        <v>46226.46136531717</v>
      </c>
      <c r="W256" s="154">
        <f t="shared" si="252"/>
        <v>48827.96986555348</v>
      </c>
      <c r="X256" s="154">
        <f t="shared" si="252"/>
        <v>48428.022251584596</v>
      </c>
      <c r="Y256" s="154">
        <f t="shared" si="252"/>
        <v>50374.35359733649</v>
      </c>
      <c r="Z256" s="154">
        <f t="shared" si="252"/>
        <v>51900.96029200381</v>
      </c>
      <c r="AA256" s="154">
        <f t="shared" si="252"/>
        <v>53466.63144607178</v>
      </c>
      <c r="AB256" s="154">
        <f t="shared" si="252"/>
        <v>55072.77278391832</v>
      </c>
      <c r="AC256" s="154">
        <f t="shared" si="252"/>
        <v>56720.8066020281</v>
      </c>
      <c r="AD256" s="154">
        <f t="shared" si="252"/>
        <v>58412.17369339473</v>
      </c>
      <c r="AE256" s="154">
        <f t="shared" si="252"/>
        <v>60148.3352253972</v>
      </c>
      <c r="AF256" s="154">
        <f t="shared" si="252"/>
        <v>61697.84158352757</v>
      </c>
      <c r="AG256" s="154">
        <f t="shared" si="252"/>
        <v>63282.11755226362</v>
      </c>
      <c r="AH256" s="154">
        <f t="shared" si="252"/>
        <v>64902.22054578576</v>
      </c>
      <c r="AI256" s="154">
        <f t="shared" si="252"/>
        <v>66559.21549127862</v>
      </c>
      <c r="AJ256" s="154">
        <f t="shared" si="252"/>
        <v>68254.17621588073</v>
      </c>
      <c r="AK256" s="154">
        <f t="shared" si="252"/>
        <v>69988.18677982061</v>
      </c>
      <c r="AR256" s="154">
        <f aca="true" t="shared" si="253" ref="AR256:BL256">$AN$248*AR228</f>
        <v>26943.99019798251</v>
      </c>
      <c r="AS256" s="154">
        <f t="shared" si="253"/>
        <v>29353.13889397068</v>
      </c>
      <c r="AT256" s="154">
        <f t="shared" si="253"/>
        <v>32092.22880412835</v>
      </c>
      <c r="AU256" s="154">
        <f t="shared" si="253"/>
        <v>36452.02502028575</v>
      </c>
      <c r="AV256" s="220">
        <f t="shared" si="253"/>
        <v>40861.498995903385</v>
      </c>
      <c r="AW256" s="154">
        <f t="shared" si="253"/>
        <v>43963.8277657312</v>
      </c>
      <c r="AX256" s="154">
        <f t="shared" si="253"/>
        <v>45799.76907624579</v>
      </c>
      <c r="AY256" s="154">
        <f t="shared" si="253"/>
        <v>45362.78465582268</v>
      </c>
      <c r="AZ256" s="154">
        <f t="shared" si="253"/>
        <v>47175.00505354387</v>
      </c>
      <c r="BA256" s="154">
        <f t="shared" si="253"/>
        <v>48593.917533676264</v>
      </c>
      <c r="BB256" s="154">
        <f t="shared" si="253"/>
        <v>50049.949359188206</v>
      </c>
      <c r="BC256" s="154">
        <f t="shared" si="253"/>
        <v>51544.37135454519</v>
      </c>
      <c r="BD256" s="154">
        <f t="shared" si="253"/>
        <v>53078.47278618962</v>
      </c>
      <c r="BE256" s="154">
        <f t="shared" si="253"/>
        <v>54653.56296338102</v>
      </c>
      <c r="BF256" s="154">
        <f t="shared" si="253"/>
        <v>56270.97280861589</v>
      </c>
      <c r="BG256" s="154">
        <f t="shared" si="253"/>
        <v>57713.956558781996</v>
      </c>
      <c r="BH256" s="154">
        <f t="shared" si="253"/>
        <v>59189.87944994302</v>
      </c>
      <c r="BI256" s="154">
        <f t="shared" si="253"/>
        <v>60699.696408192896</v>
      </c>
      <c r="BJ256" s="154">
        <f t="shared" si="253"/>
        <v>62244.37180998927</v>
      </c>
      <c r="BK256" s="154">
        <f t="shared" si="253"/>
        <v>63824.880606385464</v>
      </c>
      <c r="BL256" s="154">
        <f t="shared" si="253"/>
        <v>65442.20940898152</v>
      </c>
    </row>
    <row r="257" spans="7:64" ht="12.75">
      <c r="G257" s="67" t="s">
        <v>189</v>
      </c>
      <c r="L257" s="182" t="s">
        <v>184</v>
      </c>
      <c r="M257" s="74"/>
      <c r="Q257" s="154">
        <f t="shared" si="243"/>
        <v>408131.02079760836</v>
      </c>
      <c r="R257" s="220">
        <f t="shared" si="243"/>
        <v>445017.8429898366</v>
      </c>
      <c r="S257" s="154">
        <f aca="true" t="shared" si="254" ref="S257:AK257">$M$248*S229</f>
        <v>489495.79858259216</v>
      </c>
      <c r="T257" s="154">
        <f t="shared" si="254"/>
        <v>565403.3129184769</v>
      </c>
      <c r="U257" s="220">
        <f t="shared" si="254"/>
        <v>642028.6275618862</v>
      </c>
      <c r="V257" s="154">
        <f t="shared" si="254"/>
        <v>700210.0552389892</v>
      </c>
      <c r="W257" s="154">
        <f t="shared" si="254"/>
        <v>739616.1087601401</v>
      </c>
      <c r="X257" s="154">
        <f t="shared" si="254"/>
        <v>733557.9478583854</v>
      </c>
      <c r="Y257" s="154">
        <f t="shared" si="254"/>
        <v>763039.7801005736</v>
      </c>
      <c r="Z257" s="154">
        <f t="shared" si="254"/>
        <v>786163.8810252303</v>
      </c>
      <c r="AA257" s="154">
        <f t="shared" si="254"/>
        <v>809879.7063965895</v>
      </c>
      <c r="AB257" s="154">
        <f t="shared" si="254"/>
        <v>834208.5492644818</v>
      </c>
      <c r="AC257" s="154">
        <f t="shared" si="254"/>
        <v>859171.9537027888</v>
      </c>
      <c r="AD257" s="154">
        <f t="shared" si="254"/>
        <v>884791.7439591875</v>
      </c>
      <c r="AE257" s="154">
        <f t="shared" si="254"/>
        <v>911090.0529000525</v>
      </c>
      <c r="AF257" s="154">
        <f t="shared" si="254"/>
        <v>934561.0238671955</v>
      </c>
      <c r="AG257" s="154">
        <f t="shared" si="254"/>
        <v>958558.6635484165</v>
      </c>
      <c r="AH257" s="154">
        <f t="shared" si="254"/>
        <v>983098.9890044514</v>
      </c>
      <c r="AI257" s="154">
        <f t="shared" si="254"/>
        <v>1008198.1310985531</v>
      </c>
      <c r="AJ257" s="154">
        <f t="shared" si="254"/>
        <v>1033872.3555048455</v>
      </c>
      <c r="AK257" s="154">
        <f t="shared" si="254"/>
        <v>1060138.0829020941</v>
      </c>
      <c r="AR257" s="154">
        <f aca="true" t="shared" si="255" ref="AR257:BL257">$AN$248*AR229</f>
        <v>408131.02079760836</v>
      </c>
      <c r="AS257" s="154">
        <f t="shared" si="255"/>
        <v>444623.3261065854</v>
      </c>
      <c r="AT257" s="154">
        <f t="shared" si="255"/>
        <v>486113.3783547779</v>
      </c>
      <c r="AU257" s="154">
        <f t="shared" si="255"/>
        <v>552152.8946660302</v>
      </c>
      <c r="AV257" s="220">
        <f t="shared" si="255"/>
        <v>618944.8991770791</v>
      </c>
      <c r="AW257" s="154">
        <f t="shared" si="255"/>
        <v>665937.0706548747</v>
      </c>
      <c r="AX257" s="154">
        <f t="shared" si="255"/>
        <v>693746.7824191288</v>
      </c>
      <c r="AY257" s="154">
        <f t="shared" si="255"/>
        <v>687127.6107125833</v>
      </c>
      <c r="AZ257" s="154">
        <f t="shared" si="255"/>
        <v>714578.0126537017</v>
      </c>
      <c r="BA257" s="154">
        <f t="shared" si="255"/>
        <v>736070.8277372794</v>
      </c>
      <c r="BB257" s="154">
        <f t="shared" si="255"/>
        <v>758125.9038746045</v>
      </c>
      <c r="BC257" s="154">
        <f t="shared" si="255"/>
        <v>780762.4907344566</v>
      </c>
      <c r="BD257" s="154">
        <f t="shared" si="255"/>
        <v>804000.1173333147</v>
      </c>
      <c r="BE257" s="154">
        <f t="shared" si="255"/>
        <v>827858.616283978</v>
      </c>
      <c r="BF257" s="154">
        <f t="shared" si="255"/>
        <v>852358.1475833057</v>
      </c>
      <c r="BG257" s="154">
        <f t="shared" si="255"/>
        <v>874215.5794863756</v>
      </c>
      <c r="BH257" s="154">
        <f t="shared" si="255"/>
        <v>896571.9532737058</v>
      </c>
      <c r="BI257" s="154">
        <f t="shared" si="255"/>
        <v>919441.733579427</v>
      </c>
      <c r="BJ257" s="154">
        <f t="shared" si="255"/>
        <v>942839.5281861082</v>
      </c>
      <c r="BK257" s="154">
        <f t="shared" si="255"/>
        <v>966780.1050536465</v>
      </c>
      <c r="BL257" s="154">
        <f t="shared" si="255"/>
        <v>991278.408768813</v>
      </c>
    </row>
    <row r="258" spans="7:64" ht="12.75">
      <c r="G258" s="67" t="s">
        <v>84</v>
      </c>
      <c r="L258" s="182" t="s">
        <v>184</v>
      </c>
      <c r="M258" s="74"/>
      <c r="Q258" s="154">
        <f t="shared" si="243"/>
        <v>230420.5527088752</v>
      </c>
      <c r="R258" s="220">
        <f t="shared" si="243"/>
        <v>251245.9286888654</v>
      </c>
      <c r="S258" s="154">
        <f aca="true" t="shared" si="256" ref="S258:AK258">$M$248*S230</f>
        <v>276357.0684670046</v>
      </c>
      <c r="T258" s="154">
        <f t="shared" si="256"/>
        <v>319212.54995882907</v>
      </c>
      <c r="U258" s="220">
        <f t="shared" si="256"/>
        <v>362473.2835269876</v>
      </c>
      <c r="V258" s="154">
        <f t="shared" si="256"/>
        <v>395321.0604407583</v>
      </c>
      <c r="W258" s="154">
        <f t="shared" si="256"/>
        <v>417568.73133495904</v>
      </c>
      <c r="X258" s="154">
        <f t="shared" si="256"/>
        <v>414148.4454163531</v>
      </c>
      <c r="Y258" s="154">
        <f t="shared" si="256"/>
        <v>430793.14952837006</v>
      </c>
      <c r="Z258" s="154">
        <f t="shared" si="256"/>
        <v>443848.43776778004</v>
      </c>
      <c r="AA258" s="154">
        <f t="shared" si="256"/>
        <v>457237.79881007125</v>
      </c>
      <c r="AB258" s="154">
        <f t="shared" si="256"/>
        <v>470973.2541778854</v>
      </c>
      <c r="AC258" s="154">
        <f t="shared" si="256"/>
        <v>485066.96711577097</v>
      </c>
      <c r="AD258" s="154">
        <f t="shared" si="256"/>
        <v>499531.25904738496</v>
      </c>
      <c r="AE258" s="154">
        <f t="shared" si="256"/>
        <v>514378.6256347725</v>
      </c>
      <c r="AF258" s="154">
        <f t="shared" si="256"/>
        <v>527629.7480127973</v>
      </c>
      <c r="AG258" s="154">
        <f t="shared" si="256"/>
        <v>541178.2143564067</v>
      </c>
      <c r="AH258" s="154">
        <f t="shared" si="256"/>
        <v>555033.0674969236</v>
      </c>
      <c r="AI258" s="154">
        <f t="shared" si="256"/>
        <v>569203.4145157173</v>
      </c>
      <c r="AJ258" s="154">
        <f t="shared" si="256"/>
        <v>583698.4386050631</v>
      </c>
      <c r="AK258" s="154">
        <f t="shared" si="256"/>
        <v>598527.4104688969</v>
      </c>
      <c r="AR258" s="154">
        <f aca="true" t="shared" si="257" ref="AR258:BL258">$AN$248*AR230</f>
        <v>230420.5527088752</v>
      </c>
      <c r="AS258" s="154">
        <f t="shared" si="257"/>
        <v>251023.1943372494</v>
      </c>
      <c r="AT258" s="154">
        <f t="shared" si="257"/>
        <v>274447.43871902925</v>
      </c>
      <c r="AU258" s="154">
        <f t="shared" si="257"/>
        <v>311731.6956699643</v>
      </c>
      <c r="AV258" s="220">
        <f t="shared" si="257"/>
        <v>349440.78861245257</v>
      </c>
      <c r="AW258" s="154">
        <f t="shared" si="257"/>
        <v>375971.3917107976</v>
      </c>
      <c r="AX258" s="154">
        <f t="shared" si="257"/>
        <v>391672.05847920757</v>
      </c>
      <c r="AY258" s="154">
        <f t="shared" si="257"/>
        <v>387935.0399107211</v>
      </c>
      <c r="AZ258" s="154">
        <f t="shared" si="257"/>
        <v>403432.849351887</v>
      </c>
      <c r="BA258" s="154">
        <f t="shared" si="257"/>
        <v>415567.15446094546</v>
      </c>
      <c r="BB258" s="154">
        <f t="shared" si="257"/>
        <v>428018.89807913266</v>
      </c>
      <c r="BC258" s="154">
        <f t="shared" si="257"/>
        <v>440798.94808732637</v>
      </c>
      <c r="BD258" s="154">
        <f t="shared" si="257"/>
        <v>453918.3300791317</v>
      </c>
      <c r="BE258" s="154">
        <f t="shared" si="257"/>
        <v>467388.241051034</v>
      </c>
      <c r="BF258" s="154">
        <f t="shared" si="257"/>
        <v>481220.0628323601</v>
      </c>
      <c r="BG258" s="154">
        <f t="shared" si="257"/>
        <v>493560.2214658642</v>
      </c>
      <c r="BH258" s="154">
        <f t="shared" si="257"/>
        <v>506182.07019125466</v>
      </c>
      <c r="BI258" s="154">
        <f t="shared" si="257"/>
        <v>519093.7753786744</v>
      </c>
      <c r="BJ258" s="154">
        <f t="shared" si="257"/>
        <v>532303.584216286</v>
      </c>
      <c r="BK258" s="154">
        <f t="shared" si="257"/>
        <v>545819.8343244197</v>
      </c>
      <c r="BL258" s="154">
        <f t="shared" si="257"/>
        <v>559650.9630424432</v>
      </c>
    </row>
    <row r="259" spans="7:64" ht="12.75">
      <c r="G259" s="67" t="s">
        <v>190</v>
      </c>
      <c r="L259" s="182" t="s">
        <v>184</v>
      </c>
      <c r="M259" s="74"/>
      <c r="Q259" s="154">
        <f t="shared" si="243"/>
        <v>167009.94506265232</v>
      </c>
      <c r="R259" s="220">
        <f t="shared" si="243"/>
        <v>182104.2795629329</v>
      </c>
      <c r="S259" s="154">
        <f aca="true" t="shared" si="258" ref="S259:AK259">$M$248*S231</f>
        <v>200304.95665316735</v>
      </c>
      <c r="T259" s="154">
        <f t="shared" si="258"/>
        <v>231366.81951843892</v>
      </c>
      <c r="U259" s="220">
        <f t="shared" si="258"/>
        <v>262722.41107331455</v>
      </c>
      <c r="V259" s="154">
        <f t="shared" si="258"/>
        <v>286530.6406487824</v>
      </c>
      <c r="W259" s="154">
        <f t="shared" si="258"/>
        <v>302655.86146841495</v>
      </c>
      <c r="X259" s="154">
        <f t="shared" si="258"/>
        <v>300176.82148413575</v>
      </c>
      <c r="Y259" s="154">
        <f t="shared" si="258"/>
        <v>312240.984540133</v>
      </c>
      <c r="Z259" s="154">
        <f t="shared" si="258"/>
        <v>321703.5213928888</v>
      </c>
      <c r="AA259" s="154">
        <f t="shared" si="258"/>
        <v>331408.19584925985</v>
      </c>
      <c r="AB259" s="154">
        <f t="shared" si="258"/>
        <v>341363.72116773133</v>
      </c>
      <c r="AC259" s="154">
        <f t="shared" si="258"/>
        <v>351578.91332751885</v>
      </c>
      <c r="AD259" s="154">
        <f t="shared" si="258"/>
        <v>362062.70295682934</v>
      </c>
      <c r="AE259" s="154">
        <f t="shared" si="258"/>
        <v>372824.1469727043</v>
      </c>
      <c r="AF259" s="154">
        <f t="shared" si="258"/>
        <v>382428.6253682111</v>
      </c>
      <c r="AG259" s="154">
        <f t="shared" si="258"/>
        <v>392248.6201261839</v>
      </c>
      <c r="AH259" s="154">
        <f t="shared" si="258"/>
        <v>402290.6855350318</v>
      </c>
      <c r="AI259" s="154">
        <f t="shared" si="258"/>
        <v>412561.4224519728</v>
      </c>
      <c r="AJ259" s="154">
        <f t="shared" si="258"/>
        <v>423067.48689971847</v>
      </c>
      <c r="AK259" s="154">
        <f t="shared" si="258"/>
        <v>433815.59832989355</v>
      </c>
      <c r="AR259" s="154">
        <f aca="true" t="shared" si="259" ref="AR259:BL259">$AN$248*AR231</f>
        <v>167009.94506265232</v>
      </c>
      <c r="AS259" s="154">
        <f t="shared" si="259"/>
        <v>181942.8406140647</v>
      </c>
      <c r="AT259" s="154">
        <f t="shared" si="259"/>
        <v>198920.8476596336</v>
      </c>
      <c r="AU259" s="154">
        <f t="shared" si="259"/>
        <v>225944.6596932104</v>
      </c>
      <c r="AV259" s="220">
        <f t="shared" si="259"/>
        <v>253276.3949340522</v>
      </c>
      <c r="AW259" s="154">
        <f t="shared" si="259"/>
        <v>272505.9059904371</v>
      </c>
      <c r="AX259" s="154">
        <f t="shared" si="259"/>
        <v>283885.8261564653</v>
      </c>
      <c r="AY259" s="154">
        <f t="shared" si="259"/>
        <v>281177.2167963895</v>
      </c>
      <c r="AZ259" s="154">
        <f t="shared" si="259"/>
        <v>292410.1049781634</v>
      </c>
      <c r="BA259" s="154">
        <f t="shared" si="259"/>
        <v>301205.1087476273</v>
      </c>
      <c r="BB259" s="154">
        <f t="shared" si="259"/>
        <v>310230.19350312994</v>
      </c>
      <c r="BC259" s="154">
        <f t="shared" si="259"/>
        <v>319493.2363379559</v>
      </c>
      <c r="BD259" s="154">
        <f t="shared" si="259"/>
        <v>329002.228656346</v>
      </c>
      <c r="BE259" s="154">
        <f t="shared" si="259"/>
        <v>338765.2860961862</v>
      </c>
      <c r="BF259" s="154">
        <f t="shared" si="259"/>
        <v>348790.6582631093</v>
      </c>
      <c r="BG259" s="154">
        <f t="shared" si="259"/>
        <v>357734.86567524285</v>
      </c>
      <c r="BH259" s="154">
        <f t="shared" si="259"/>
        <v>366883.2434455227</v>
      </c>
      <c r="BI259" s="154">
        <f t="shared" si="259"/>
        <v>376241.7105990035</v>
      </c>
      <c r="BJ259" s="154">
        <f t="shared" si="259"/>
        <v>385816.2447380934</v>
      </c>
      <c r="BK259" s="154">
        <f t="shared" si="259"/>
        <v>395612.88901081856</v>
      </c>
      <c r="BL259" s="154">
        <f t="shared" si="259"/>
        <v>405637.7588420827</v>
      </c>
    </row>
    <row r="260" spans="12:13" ht="12.75">
      <c r="L260" s="64"/>
      <c r="M260" s="74"/>
    </row>
    <row r="261" spans="12:13" ht="12.75">
      <c r="L261" s="64"/>
      <c r="M261" s="63"/>
    </row>
    <row r="262" spans="3:13" ht="12.75">
      <c r="C262" t="s">
        <v>413</v>
      </c>
      <c r="E262" s="18"/>
      <c r="L262" s="64"/>
      <c r="M262" s="63"/>
    </row>
    <row r="263" spans="4:73" s="193" customFormat="1" ht="12.75">
      <c r="D263" s="193" t="s">
        <v>410</v>
      </c>
      <c r="E263" s="211"/>
      <c r="M263" s="195"/>
      <c r="R263" s="221"/>
      <c r="U263" s="221"/>
      <c r="AM263" s="205"/>
      <c r="AV263" s="221"/>
      <c r="BN263" s="205"/>
      <c r="BU263" s="221"/>
    </row>
    <row r="264" spans="5:89" s="193" customFormat="1" ht="13.5" thickBot="1">
      <c r="E264" s="211"/>
      <c r="G264" s="196" t="s">
        <v>233</v>
      </c>
      <c r="L264" s="190" t="s">
        <v>184</v>
      </c>
      <c r="M264" s="195"/>
      <c r="Q264" s="212">
        <f>$M$237*Q223*$M$239</f>
        <v>10367977.91729263</v>
      </c>
      <c r="R264" s="226">
        <f aca="true" t="shared" si="260" ref="R264:AK264">$M$237*R223*$M$239</f>
        <v>11416413.898563674</v>
      </c>
      <c r="S264" s="212">
        <f t="shared" si="260"/>
        <v>12681162.65075188</v>
      </c>
      <c r="T264" s="212">
        <f t="shared" si="260"/>
        <v>14791978.82274458</v>
      </c>
      <c r="U264" s="226">
        <f t="shared" si="260"/>
        <v>16962120.495397553</v>
      </c>
      <c r="V264" s="212">
        <f t="shared" si="260"/>
        <v>18681507.426267803</v>
      </c>
      <c r="W264" s="212">
        <f t="shared" si="260"/>
        <v>19927267.85317826</v>
      </c>
      <c r="X264" s="212">
        <f t="shared" si="260"/>
        <v>19958764.186223198</v>
      </c>
      <c r="Y264" s="212">
        <f t="shared" si="260"/>
        <v>20965451.674182925</v>
      </c>
      <c r="Z264" s="212">
        <f t="shared" si="260"/>
        <v>21813630.55138822</v>
      </c>
      <c r="AA264" s="212">
        <f t="shared" si="260"/>
        <v>22693067.569705404</v>
      </c>
      <c r="AB264" s="212">
        <f t="shared" si="260"/>
        <v>23605062.19198019</v>
      </c>
      <c r="AC264" s="212">
        <f t="shared" si="260"/>
        <v>24550957.106792394</v>
      </c>
      <c r="AD264" s="212">
        <f t="shared" si="260"/>
        <v>25532140.198544387</v>
      </c>
      <c r="AE264" s="212">
        <f t="shared" si="260"/>
        <v>26550046.571420383</v>
      </c>
      <c r="AF264" s="212">
        <f t="shared" si="260"/>
        <v>27502328.800984316</v>
      </c>
      <c r="AG264" s="212">
        <f t="shared" si="260"/>
        <v>28486449.643596485</v>
      </c>
      <c r="AH264" s="212">
        <f t="shared" si="260"/>
        <v>29503578.913758848</v>
      </c>
      <c r="AI264" s="212">
        <f t="shared" si="260"/>
        <v>30554920.82586016</v>
      </c>
      <c r="AJ264" s="212">
        <f t="shared" si="260"/>
        <v>31641715.458300218</v>
      </c>
      <c r="AK264" s="212">
        <f t="shared" si="260"/>
        <v>32765240.24728388</v>
      </c>
      <c r="AM264" s="205"/>
      <c r="AR264" s="212">
        <f>$AN$237*AR223*$AN$239</f>
        <v>10367977.91729263</v>
      </c>
      <c r="AS264" s="212">
        <f aca="true" t="shared" si="261" ref="AS264:BL264">$AN$237*AS223*$AN$239</f>
        <v>11406293.027906202</v>
      </c>
      <c r="AT264" s="212">
        <f t="shared" si="261"/>
        <v>12593409.646466</v>
      </c>
      <c r="AU264" s="212">
        <f t="shared" si="261"/>
        <v>14444457.588752314</v>
      </c>
      <c r="AV264" s="226">
        <f t="shared" si="261"/>
        <v>16350927.515589286</v>
      </c>
      <c r="AW264" s="212">
        <f t="shared" si="261"/>
        <v>17765245.36251889</v>
      </c>
      <c r="AX264" s="212">
        <f t="shared" si="261"/>
        <v>18688974.251844663</v>
      </c>
      <c r="AY264" s="212">
        <f t="shared" si="261"/>
        <v>18695124.129677333</v>
      </c>
      <c r="AZ264" s="212">
        <f t="shared" si="261"/>
        <v>19633504.27349916</v>
      </c>
      <c r="BA264" s="212">
        <f t="shared" si="261"/>
        <v>20423259.63161274</v>
      </c>
      <c r="BB264" s="212">
        <f t="shared" si="261"/>
        <v>21242429.7311982</v>
      </c>
      <c r="BC264" s="212">
        <f t="shared" si="261"/>
        <v>22092217.18275285</v>
      </c>
      <c r="BD264" s="212">
        <f t="shared" si="261"/>
        <v>22973865.694953945</v>
      </c>
      <c r="BE264" s="212">
        <f t="shared" si="261"/>
        <v>23888661.876556624</v>
      </c>
      <c r="BF264" s="212">
        <f t="shared" si="261"/>
        <v>24837937.090855718</v>
      </c>
      <c r="BG264" s="212">
        <f t="shared" si="261"/>
        <v>25725849.536788307</v>
      </c>
      <c r="BH264" s="212">
        <f t="shared" si="261"/>
        <v>26643677.20915108</v>
      </c>
      <c r="BI264" s="212">
        <f t="shared" si="261"/>
        <v>27592503.382119924</v>
      </c>
      <c r="BJ264" s="212">
        <f t="shared" si="261"/>
        <v>28573444.111740652</v>
      </c>
      <c r="BK264" s="212">
        <f t="shared" si="261"/>
        <v>29587649.566298917</v>
      </c>
      <c r="BL264" s="212">
        <f t="shared" si="261"/>
        <v>30636305.38670177</v>
      </c>
      <c r="BN264" s="205"/>
      <c r="BQ264" s="212">
        <f>Q264-AR264</f>
        <v>0</v>
      </c>
      <c r="BR264" s="212">
        <f aca="true" t="shared" si="262" ref="BR264:CK272">R264-AS264</f>
        <v>10120.87065747194</v>
      </c>
      <c r="BS264" s="212">
        <f t="shared" si="262"/>
        <v>87753.00428587943</v>
      </c>
      <c r="BT264" s="212">
        <f t="shared" si="262"/>
        <v>347521.23399226554</v>
      </c>
      <c r="BU264" s="226">
        <f t="shared" si="262"/>
        <v>611192.9798082672</v>
      </c>
      <c r="BV264" s="212">
        <f t="shared" si="262"/>
        <v>916262.063748911</v>
      </c>
      <c r="BW264" s="212">
        <f t="shared" si="262"/>
        <v>1238293.6013335958</v>
      </c>
      <c r="BX264" s="212">
        <f t="shared" si="262"/>
        <v>1263640.0565458648</v>
      </c>
      <c r="BY264" s="212">
        <f t="shared" si="262"/>
        <v>1331947.4006837644</v>
      </c>
      <c r="BZ264" s="212">
        <f t="shared" si="262"/>
        <v>1390370.9197754785</v>
      </c>
      <c r="CA264" s="212">
        <f t="shared" si="262"/>
        <v>1450637.8385072052</v>
      </c>
      <c r="CB264" s="212">
        <f t="shared" si="262"/>
        <v>1512845.0092273392</v>
      </c>
      <c r="CC264" s="212">
        <f t="shared" si="262"/>
        <v>1577091.4118384495</v>
      </c>
      <c r="CD264" s="212">
        <f t="shared" si="262"/>
        <v>1643478.321987763</v>
      </c>
      <c r="CE264" s="212">
        <f t="shared" si="262"/>
        <v>1712109.480564665</v>
      </c>
      <c r="CF264" s="212">
        <f t="shared" si="262"/>
        <v>1776479.2641960084</v>
      </c>
      <c r="CG264" s="212">
        <f t="shared" si="262"/>
        <v>1842772.4344454035</v>
      </c>
      <c r="CH264" s="212">
        <f t="shared" si="262"/>
        <v>1911075.531638924</v>
      </c>
      <c r="CI264" s="212">
        <f t="shared" si="262"/>
        <v>1981476.7141195089</v>
      </c>
      <c r="CJ264" s="212">
        <f t="shared" si="262"/>
        <v>2054065.892001301</v>
      </c>
      <c r="CK264" s="212">
        <f t="shared" si="262"/>
        <v>2128934.8605821095</v>
      </c>
    </row>
    <row r="265" spans="5:89" s="221" customFormat="1" ht="13.5" thickBot="1">
      <c r="E265" s="222"/>
      <c r="G265" s="223" t="s">
        <v>73</v>
      </c>
      <c r="L265" s="224" t="s">
        <v>184</v>
      </c>
      <c r="M265" s="225"/>
      <c r="Q265" s="226">
        <f aca="true" t="shared" si="263" ref="Q265:AK265">$M$237*Q224*$M$239</f>
        <v>558976.5179802277</v>
      </c>
      <c r="R265" s="228">
        <f>$M$237*R224*$M$239</f>
        <v>609496.7342286091</v>
      </c>
      <c r="S265" s="226">
        <f t="shared" si="263"/>
        <v>670413.7718395443</v>
      </c>
      <c r="T265" s="226">
        <f t="shared" si="263"/>
        <v>774376.7540433598</v>
      </c>
      <c r="U265" s="226">
        <f t="shared" si="263"/>
        <v>879322.8360265594</v>
      </c>
      <c r="V265" s="226">
        <f t="shared" si="263"/>
        <v>959008.1581334334</v>
      </c>
      <c r="W265" s="226">
        <f t="shared" si="263"/>
        <v>1012978.7152882146</v>
      </c>
      <c r="X265" s="226">
        <f t="shared" si="263"/>
        <v>1004681.4540812378</v>
      </c>
      <c r="Y265" s="226">
        <f t="shared" si="263"/>
        <v>1045059.791160851</v>
      </c>
      <c r="Z265" s="226">
        <f t="shared" si="263"/>
        <v>1076730.5751924817</v>
      </c>
      <c r="AA265" s="226">
        <f t="shared" si="263"/>
        <v>1109211.7854205288</v>
      </c>
      <c r="AB265" s="226">
        <f t="shared" si="263"/>
        <v>1142532.5848202005</v>
      </c>
      <c r="AC265" s="226">
        <f t="shared" si="263"/>
        <v>1176722.4801694578</v>
      </c>
      <c r="AD265" s="226">
        <f t="shared" si="263"/>
        <v>1211811.3619724645</v>
      </c>
      <c r="AE265" s="226">
        <f t="shared" si="263"/>
        <v>1247829.543417719</v>
      </c>
      <c r="AF265" s="226">
        <f t="shared" si="263"/>
        <v>1279975.4008906235</v>
      </c>
      <c r="AG265" s="226">
        <f t="shared" si="263"/>
        <v>1312842.5841852005</v>
      </c>
      <c r="AH265" s="226">
        <f t="shared" si="263"/>
        <v>1346453.030278522</v>
      </c>
      <c r="AI265" s="226">
        <f t="shared" si="263"/>
        <v>1380828.8320115255</v>
      </c>
      <c r="AJ265" s="226">
        <f t="shared" si="263"/>
        <v>1415992.2668625386</v>
      </c>
      <c r="AK265" s="226">
        <f t="shared" si="263"/>
        <v>1451965.8246038833</v>
      </c>
      <c r="AM265" s="205"/>
      <c r="AR265" s="226">
        <f aca="true" t="shared" si="264" ref="AR265:BL265">$AN$237*AR224*$AN$239</f>
        <v>558976.5179802277</v>
      </c>
      <c r="AS265" s="227">
        <f>$AN$237*AS224*$AN$239</f>
        <v>608956.4036424821</v>
      </c>
      <c r="AT265" s="226">
        <f t="shared" si="264"/>
        <v>665781.2068421703</v>
      </c>
      <c r="AU265" s="226">
        <f t="shared" si="264"/>
        <v>756228.9723774146</v>
      </c>
      <c r="AV265" s="226">
        <f t="shared" si="264"/>
        <v>847707.3462524078</v>
      </c>
      <c r="AW265" s="226">
        <f t="shared" si="264"/>
        <v>912067.8556144573</v>
      </c>
      <c r="AX265" s="226">
        <f t="shared" si="264"/>
        <v>950156.0553735397</v>
      </c>
      <c r="AY265" s="226">
        <f t="shared" si="264"/>
        <v>941090.4333945776</v>
      </c>
      <c r="AZ265" s="226">
        <f t="shared" si="264"/>
        <v>978686.5221805128</v>
      </c>
      <c r="BA265" s="226">
        <f t="shared" si="264"/>
        <v>1008123.096037443</v>
      </c>
      <c r="BB265" s="226">
        <f t="shared" si="264"/>
        <v>1038329.743008169</v>
      </c>
      <c r="BC265" s="226">
        <f t="shared" si="264"/>
        <v>1069332.8274518526</v>
      </c>
      <c r="BD265" s="226">
        <f t="shared" si="264"/>
        <v>1101159.0963224922</v>
      </c>
      <c r="BE265" s="226">
        <f t="shared" si="264"/>
        <v>1133835.7123797955</v>
      </c>
      <c r="BF265" s="226">
        <f t="shared" si="264"/>
        <v>1167390.286768861</v>
      </c>
      <c r="BG265" s="226">
        <f t="shared" si="264"/>
        <v>1197326.2400646748</v>
      </c>
      <c r="BH265" s="226">
        <f t="shared" si="264"/>
        <v>1227945.5444975717</v>
      </c>
      <c r="BI265" s="226">
        <f t="shared" si="264"/>
        <v>1259268.0108401082</v>
      </c>
      <c r="BJ265" s="226">
        <f t="shared" si="264"/>
        <v>1291313.6459209116</v>
      </c>
      <c r="BK265" s="226">
        <f t="shared" si="264"/>
        <v>1324102.6759478918</v>
      </c>
      <c r="BL265" s="226">
        <f t="shared" si="264"/>
        <v>1357655.5690368093</v>
      </c>
      <c r="BN265" s="205"/>
      <c r="BQ265" s="226">
        <f>Q265-AR265</f>
        <v>0</v>
      </c>
      <c r="BR265" s="226">
        <f t="shared" si="262"/>
        <v>540.3305861270055</v>
      </c>
      <c r="BS265" s="226">
        <f t="shared" si="262"/>
        <v>4632.564997373964</v>
      </c>
      <c r="BT265" s="226">
        <f t="shared" si="262"/>
        <v>18147.781665945193</v>
      </c>
      <c r="BU265" s="226">
        <f t="shared" si="262"/>
        <v>31615.48977415159</v>
      </c>
      <c r="BV265" s="226">
        <f t="shared" si="262"/>
        <v>46940.302518976154</v>
      </c>
      <c r="BW265" s="226">
        <f t="shared" si="262"/>
        <v>62822.659914674936</v>
      </c>
      <c r="BX265" s="226">
        <f t="shared" si="262"/>
        <v>63591.020686660195</v>
      </c>
      <c r="BY265" s="226">
        <f t="shared" si="262"/>
        <v>66373.26898033824</v>
      </c>
      <c r="BZ265" s="226">
        <f t="shared" si="262"/>
        <v>68607.47915503872</v>
      </c>
      <c r="CA265" s="226">
        <f t="shared" si="262"/>
        <v>70882.04241235985</v>
      </c>
      <c r="CB265" s="226">
        <f t="shared" si="262"/>
        <v>73199.75736834784</v>
      </c>
      <c r="CC265" s="226">
        <f t="shared" si="262"/>
        <v>75563.38384696562</v>
      </c>
      <c r="CD265" s="226">
        <f t="shared" si="262"/>
        <v>77975.64959266898</v>
      </c>
      <c r="CE265" s="226">
        <f t="shared" si="262"/>
        <v>80439.25664885784</v>
      </c>
      <c r="CF265" s="226">
        <f t="shared" si="262"/>
        <v>82649.1608259487</v>
      </c>
      <c r="CG265" s="226">
        <f t="shared" si="262"/>
        <v>84897.03968762886</v>
      </c>
      <c r="CH265" s="226">
        <f t="shared" si="262"/>
        <v>87185.0194384139</v>
      </c>
      <c r="CI265" s="226">
        <f t="shared" si="262"/>
        <v>89515.18609061395</v>
      </c>
      <c r="CJ265" s="226">
        <f t="shared" si="262"/>
        <v>91889.59091464686</v>
      </c>
      <c r="CK265" s="226">
        <f t="shared" si="262"/>
        <v>94310.25556707405</v>
      </c>
    </row>
    <row r="266" spans="5:89" s="193" customFormat="1" ht="12.75">
      <c r="E266" s="211"/>
      <c r="G266" s="196" t="s">
        <v>72</v>
      </c>
      <c r="L266" s="190" t="s">
        <v>184</v>
      </c>
      <c r="M266" s="195"/>
      <c r="Q266" s="212">
        <f aca="true" t="shared" si="265" ref="Q266:AK266">$M$237*Q225*$M$239</f>
        <v>957092.5606288327</v>
      </c>
      <c r="R266" s="226">
        <f t="shared" si="265"/>
        <v>1043594.4468035855</v>
      </c>
      <c r="S266" s="212">
        <f t="shared" si="265"/>
        <v>1147898.0116897165</v>
      </c>
      <c r="T266" s="212">
        <f t="shared" si="265"/>
        <v>1325905.84144184</v>
      </c>
      <c r="U266" s="226">
        <f t="shared" si="265"/>
        <v>1505596.957441129</v>
      </c>
      <c r="V266" s="212">
        <f t="shared" si="265"/>
        <v>1642036.0144079186</v>
      </c>
      <c r="W266" s="212">
        <f t="shared" si="265"/>
        <v>1734445.6543199464</v>
      </c>
      <c r="X266" s="212">
        <f t="shared" si="265"/>
        <v>1720238.891210339</v>
      </c>
      <c r="Y266" s="212">
        <f t="shared" si="265"/>
        <v>1789375.6166117687</v>
      </c>
      <c r="Z266" s="212">
        <f t="shared" si="265"/>
        <v>1843603.0676959278</v>
      </c>
      <c r="AA266" s="212">
        <f t="shared" si="265"/>
        <v>1899218.1493129414</v>
      </c>
      <c r="AB266" s="212">
        <f t="shared" si="265"/>
        <v>1956270.794985568</v>
      </c>
      <c r="AC266" s="212">
        <f t="shared" si="265"/>
        <v>2014811.526903434</v>
      </c>
      <c r="AD266" s="212">
        <f t="shared" si="265"/>
        <v>2074891.5242810813</v>
      </c>
      <c r="AE266" s="212">
        <f t="shared" si="265"/>
        <v>2136562.690063178</v>
      </c>
      <c r="AF266" s="212">
        <f t="shared" si="265"/>
        <v>2191603.5729137072</v>
      </c>
      <c r="AG266" s="212">
        <f t="shared" si="265"/>
        <v>2247879.5265686526</v>
      </c>
      <c r="AH266" s="212">
        <f t="shared" si="265"/>
        <v>2305428.112028949</v>
      </c>
      <c r="AI266" s="212">
        <f t="shared" si="265"/>
        <v>2364287.157169622</v>
      </c>
      <c r="AJ266" s="212">
        <f t="shared" si="265"/>
        <v>2424494.806005516</v>
      </c>
      <c r="AK266" s="212">
        <f t="shared" si="265"/>
        <v>2486089.566046611</v>
      </c>
      <c r="AM266" s="205"/>
      <c r="AR266" s="212">
        <f aca="true" t="shared" si="266" ref="AR266:BL266">$AN$237*AR225*$AN$239</f>
        <v>957092.5606288327</v>
      </c>
      <c r="AS266" s="212">
        <f t="shared" si="266"/>
        <v>1042669.2802400042</v>
      </c>
      <c r="AT266" s="212">
        <f t="shared" si="266"/>
        <v>1139966.0264398942</v>
      </c>
      <c r="AU266" s="212">
        <f t="shared" si="266"/>
        <v>1294832.78870046</v>
      </c>
      <c r="AV266" s="226">
        <f t="shared" si="266"/>
        <v>1451464.1824673014</v>
      </c>
      <c r="AW266" s="212">
        <f t="shared" si="266"/>
        <v>1561663.7395636858</v>
      </c>
      <c r="AX266" s="212">
        <f t="shared" si="266"/>
        <v>1626879.2387207544</v>
      </c>
      <c r="AY266" s="212">
        <f t="shared" si="266"/>
        <v>1611356.8704737357</v>
      </c>
      <c r="AZ266" s="212">
        <f t="shared" si="266"/>
        <v>1675729.765807093</v>
      </c>
      <c r="BA266" s="212">
        <f t="shared" si="266"/>
        <v>1726131.750403296</v>
      </c>
      <c r="BB266" s="212">
        <f t="shared" si="266"/>
        <v>1777852.2720482268</v>
      </c>
      <c r="BC266" s="212">
        <f t="shared" si="266"/>
        <v>1830936.4724093208</v>
      </c>
      <c r="BD266" s="212">
        <f t="shared" si="266"/>
        <v>1885430.1482416014</v>
      </c>
      <c r="BE266" s="212">
        <f t="shared" si="266"/>
        <v>1941379.8082522822</v>
      </c>
      <c r="BF266" s="212">
        <f t="shared" si="266"/>
        <v>1998832.728884632</v>
      </c>
      <c r="BG266" s="212">
        <f t="shared" si="266"/>
        <v>2050089.7625401379</v>
      </c>
      <c r="BH266" s="212">
        <f t="shared" si="266"/>
        <v>2102516.845864211</v>
      </c>
      <c r="BI266" s="212">
        <f t="shared" si="266"/>
        <v>2156147.899321097</v>
      </c>
      <c r="BJ266" s="212">
        <f t="shared" si="266"/>
        <v>2211017.1790671363</v>
      </c>
      <c r="BK266" s="212">
        <f t="shared" si="266"/>
        <v>2267159.3168844017</v>
      </c>
      <c r="BL266" s="212">
        <f t="shared" si="266"/>
        <v>2324609.3587556058</v>
      </c>
      <c r="BN266" s="205"/>
      <c r="BQ266" s="212">
        <f aca="true" t="shared" si="267" ref="BQ266:BQ272">Q266-AR266</f>
        <v>0</v>
      </c>
      <c r="BR266" s="212">
        <f t="shared" si="262"/>
        <v>925.166563581326</v>
      </c>
      <c r="BS266" s="212">
        <f t="shared" si="262"/>
        <v>7931.985249822261</v>
      </c>
      <c r="BT266" s="212">
        <f t="shared" si="262"/>
        <v>31073.052741379943</v>
      </c>
      <c r="BU266" s="226">
        <f t="shared" si="262"/>
        <v>54132.77497382765</v>
      </c>
      <c r="BV266" s="212">
        <f t="shared" si="262"/>
        <v>80372.27484423271</v>
      </c>
      <c r="BW266" s="212">
        <f t="shared" si="262"/>
        <v>107566.41559919203</v>
      </c>
      <c r="BX266" s="212">
        <f t="shared" si="262"/>
        <v>108882.0207366033</v>
      </c>
      <c r="BY266" s="212">
        <f t="shared" si="262"/>
        <v>113645.85080467584</v>
      </c>
      <c r="BZ266" s="212">
        <f t="shared" si="262"/>
        <v>117471.31729263184</v>
      </c>
      <c r="CA266" s="212">
        <f t="shared" si="262"/>
        <v>121365.87726471457</v>
      </c>
      <c r="CB266" s="212">
        <f t="shared" si="262"/>
        <v>125334.32257624716</v>
      </c>
      <c r="CC266" s="212">
        <f t="shared" si="262"/>
        <v>129381.37866183254</v>
      </c>
      <c r="CD266" s="212">
        <f t="shared" si="262"/>
        <v>133511.71602879907</v>
      </c>
      <c r="CE266" s="212">
        <f t="shared" si="262"/>
        <v>137729.96117854607</v>
      </c>
      <c r="CF266" s="212">
        <f t="shared" si="262"/>
        <v>141513.81037356937</v>
      </c>
      <c r="CG266" s="212">
        <f t="shared" si="262"/>
        <v>145362.6807044414</v>
      </c>
      <c r="CH266" s="212">
        <f t="shared" si="262"/>
        <v>149280.212707852</v>
      </c>
      <c r="CI266" s="212">
        <f t="shared" si="262"/>
        <v>153269.97810248565</v>
      </c>
      <c r="CJ266" s="212">
        <f t="shared" si="262"/>
        <v>157335.48912111437</v>
      </c>
      <c r="CK266" s="212">
        <f t="shared" si="262"/>
        <v>161480.20729100518</v>
      </c>
    </row>
    <row r="267" spans="5:89" s="193" customFormat="1" ht="12.75">
      <c r="E267" s="211"/>
      <c r="G267" s="196" t="s">
        <v>85</v>
      </c>
      <c r="L267" s="190" t="s">
        <v>184</v>
      </c>
      <c r="M267" s="195"/>
      <c r="Q267" s="212">
        <f aca="true" t="shared" si="268" ref="Q267:AK267">$M$237*Q226*$M$239</f>
        <v>412654.9406284225</v>
      </c>
      <c r="R267" s="226">
        <f t="shared" si="268"/>
        <v>449950.63403579494</v>
      </c>
      <c r="S267" s="212">
        <f t="shared" si="268"/>
        <v>494921.6046043455</v>
      </c>
      <c r="T267" s="212">
        <f t="shared" si="268"/>
        <v>571670.5142077126</v>
      </c>
      <c r="U267" s="226">
        <f t="shared" si="268"/>
        <v>649145.1805612184</v>
      </c>
      <c r="V267" s="212">
        <f t="shared" si="268"/>
        <v>707971.5190660711</v>
      </c>
      <c r="W267" s="212">
        <f t="shared" si="268"/>
        <v>747814.3681697558</v>
      </c>
      <c r="X267" s="212">
        <f t="shared" si="268"/>
        <v>741689.0557092001</v>
      </c>
      <c r="Y267" s="212">
        <f t="shared" si="268"/>
        <v>771497.6787090825</v>
      </c>
      <c r="Z267" s="212">
        <f t="shared" si="268"/>
        <v>794878.0982505903</v>
      </c>
      <c r="AA267" s="212">
        <f t="shared" si="268"/>
        <v>818856.801196155</v>
      </c>
      <c r="AB267" s="212">
        <f t="shared" si="268"/>
        <v>843455.3166179627</v>
      </c>
      <c r="AC267" s="212">
        <f t="shared" si="268"/>
        <v>868695.4273947435</v>
      </c>
      <c r="AD267" s="212">
        <f t="shared" si="268"/>
        <v>894599.1996845868</v>
      </c>
      <c r="AE267" s="212">
        <f t="shared" si="268"/>
        <v>921189.011685197</v>
      </c>
      <c r="AF267" s="212">
        <f t="shared" si="268"/>
        <v>944920.1461429645</v>
      </c>
      <c r="AG267" s="212">
        <f t="shared" si="268"/>
        <v>969183.7871632562</v>
      </c>
      <c r="AH267" s="212">
        <f t="shared" si="268"/>
        <v>993996.1293475878</v>
      </c>
      <c r="AI267" s="212">
        <f t="shared" si="268"/>
        <v>1019373.4823613465</v>
      </c>
      <c r="AJ267" s="212">
        <f t="shared" si="268"/>
        <v>1045332.2921753537</v>
      </c>
      <c r="AK267" s="212">
        <f t="shared" si="268"/>
        <v>1071889.1614828536</v>
      </c>
      <c r="AM267" s="205"/>
      <c r="AR267" s="212">
        <f aca="true" t="shared" si="269" ref="AR267:BL267">$AN$237*AR226*$AN$239</f>
        <v>412654.9406284225</v>
      </c>
      <c r="AS267" s="212">
        <f t="shared" si="269"/>
        <v>449551.7441383379</v>
      </c>
      <c r="AT267" s="212">
        <f t="shared" si="269"/>
        <v>491501.69200970535</v>
      </c>
      <c r="AU267" s="212">
        <f t="shared" si="269"/>
        <v>558273.221969109</v>
      </c>
      <c r="AV267" s="226">
        <f t="shared" si="269"/>
        <v>625805.5810681455</v>
      </c>
      <c r="AW267" s="212">
        <f t="shared" si="269"/>
        <v>673318.6362955403</v>
      </c>
      <c r="AX267" s="212">
        <f t="shared" si="269"/>
        <v>701436.604232762</v>
      </c>
      <c r="AY267" s="212">
        <f t="shared" si="269"/>
        <v>694744.0624547914</v>
      </c>
      <c r="AZ267" s="212">
        <f t="shared" si="269"/>
        <v>722498.7378065871</v>
      </c>
      <c r="BA267" s="212">
        <f t="shared" si="269"/>
        <v>744229.7895529612</v>
      </c>
      <c r="BB267" s="212">
        <f t="shared" si="269"/>
        <v>766529.3347240693</v>
      </c>
      <c r="BC267" s="212">
        <f t="shared" si="269"/>
        <v>789416.8363612321</v>
      </c>
      <c r="BD267" s="212">
        <f t="shared" si="269"/>
        <v>812912.0399499147</v>
      </c>
      <c r="BE267" s="212">
        <f t="shared" si="269"/>
        <v>837034.9979370937</v>
      </c>
      <c r="BF267" s="212">
        <f t="shared" si="269"/>
        <v>861806.0937827255</v>
      </c>
      <c r="BG267" s="212">
        <f t="shared" si="269"/>
        <v>883905.8039361472</v>
      </c>
      <c r="BH267" s="212">
        <f t="shared" si="269"/>
        <v>906509.9864848052</v>
      </c>
      <c r="BI267" s="212">
        <f t="shared" si="269"/>
        <v>929633.2663957691</v>
      </c>
      <c r="BJ267" s="212">
        <f t="shared" si="269"/>
        <v>953290.4133711911</v>
      </c>
      <c r="BK267" s="212">
        <f t="shared" si="269"/>
        <v>977496.3590662724</v>
      </c>
      <c r="BL267" s="212">
        <f t="shared" si="269"/>
        <v>1002266.2137205651</v>
      </c>
      <c r="BN267" s="205"/>
      <c r="BQ267" s="212">
        <f t="shared" si="267"/>
        <v>0</v>
      </c>
      <c r="BR267" s="212">
        <f t="shared" si="262"/>
        <v>398.88989745703293</v>
      </c>
      <c r="BS267" s="212">
        <f t="shared" si="262"/>
        <v>3419.912594640162</v>
      </c>
      <c r="BT267" s="212">
        <f t="shared" si="262"/>
        <v>13397.292238603579</v>
      </c>
      <c r="BU267" s="226">
        <f t="shared" si="262"/>
        <v>23339.59949307295</v>
      </c>
      <c r="BV267" s="212">
        <f t="shared" si="262"/>
        <v>34652.88277053088</v>
      </c>
      <c r="BW267" s="212">
        <f t="shared" si="262"/>
        <v>46377.76393699378</v>
      </c>
      <c r="BX267" s="212">
        <f t="shared" si="262"/>
        <v>46944.993254408706</v>
      </c>
      <c r="BY267" s="212">
        <f t="shared" si="262"/>
        <v>48998.94090249541</v>
      </c>
      <c r="BZ267" s="212">
        <f t="shared" si="262"/>
        <v>50648.30869762902</v>
      </c>
      <c r="CA267" s="212">
        <f t="shared" si="262"/>
        <v>52327.46647208568</v>
      </c>
      <c r="CB267" s="212">
        <f t="shared" si="262"/>
        <v>54038.480256730574</v>
      </c>
      <c r="CC267" s="212">
        <f t="shared" si="262"/>
        <v>55783.38744482887</v>
      </c>
      <c r="CD267" s="212">
        <f t="shared" si="262"/>
        <v>57564.20174749312</v>
      </c>
      <c r="CE267" s="212">
        <f t="shared" si="262"/>
        <v>59382.9179024715</v>
      </c>
      <c r="CF267" s="212">
        <f t="shared" si="262"/>
        <v>61014.34220681724</v>
      </c>
      <c r="CG267" s="212">
        <f t="shared" si="262"/>
        <v>62673.80067845096</v>
      </c>
      <c r="CH267" s="212">
        <f t="shared" si="262"/>
        <v>64362.86295181874</v>
      </c>
      <c r="CI267" s="212">
        <f t="shared" si="262"/>
        <v>66083.06899015536</v>
      </c>
      <c r="CJ267" s="212">
        <f t="shared" si="262"/>
        <v>67835.93310908135</v>
      </c>
      <c r="CK267" s="212">
        <f t="shared" si="262"/>
        <v>69622.9477622885</v>
      </c>
    </row>
    <row r="268" spans="5:89" s="193" customFormat="1" ht="12.75">
      <c r="E268" s="211"/>
      <c r="G268" s="196" t="s">
        <v>81</v>
      </c>
      <c r="L268" s="190" t="s">
        <v>184</v>
      </c>
      <c r="M268" s="195"/>
      <c r="Q268" s="212">
        <f aca="true" t="shared" si="270" ref="Q268:AK268">$M$237*Q227*$M$239</f>
        <v>569972.9200929378</v>
      </c>
      <c r="R268" s="226">
        <f t="shared" si="270"/>
        <v>621486.9895620142</v>
      </c>
      <c r="S268" s="212">
        <f t="shared" si="270"/>
        <v>683602.4106819854</v>
      </c>
      <c r="T268" s="212">
        <f t="shared" si="270"/>
        <v>789610.5928546302</v>
      </c>
      <c r="U268" s="226">
        <f t="shared" si="270"/>
        <v>896621.2147254989</v>
      </c>
      <c r="V268" s="212">
        <f t="shared" si="270"/>
        <v>977874.1372881739</v>
      </c>
      <c r="W268" s="212">
        <f t="shared" si="270"/>
        <v>1032906.4241035595</v>
      </c>
      <c r="X268" s="212">
        <f t="shared" si="270"/>
        <v>1024445.9359671352</v>
      </c>
      <c r="Y268" s="212">
        <f t="shared" si="270"/>
        <v>1065618.6113004724</v>
      </c>
      <c r="Z268" s="212">
        <f t="shared" si="270"/>
        <v>1097912.4352367157</v>
      </c>
      <c r="AA268" s="212">
        <f t="shared" si="270"/>
        <v>1131032.6283867152</v>
      </c>
      <c r="AB268" s="212">
        <f t="shared" si="270"/>
        <v>1165008.9274310796</v>
      </c>
      <c r="AC268" s="212">
        <f t="shared" si="270"/>
        <v>1199871.4196164464</v>
      </c>
      <c r="AD268" s="212">
        <f t="shared" si="270"/>
        <v>1235650.583464534</v>
      </c>
      <c r="AE268" s="212">
        <f t="shared" si="270"/>
        <v>1272377.328496627</v>
      </c>
      <c r="AF268" s="212">
        <f t="shared" si="270"/>
        <v>1305155.5717024961</v>
      </c>
      <c r="AG268" s="212">
        <f t="shared" si="270"/>
        <v>1338669.3309304188</v>
      </c>
      <c r="AH268" s="212">
        <f t="shared" si="270"/>
        <v>1372940.9747100896</v>
      </c>
      <c r="AI268" s="212">
        <f t="shared" si="270"/>
        <v>1407993.0305014532</v>
      </c>
      <c r="AJ268" s="212">
        <f t="shared" si="270"/>
        <v>1443848.2140339178</v>
      </c>
      <c r="AK268" s="212">
        <f t="shared" si="270"/>
        <v>1480529.4575073787</v>
      </c>
      <c r="AM268" s="205"/>
      <c r="AR268" s="212">
        <f aca="true" t="shared" si="271" ref="AR268:BL268">$AN$237*AR227*$AN$239</f>
        <v>569972.9200929378</v>
      </c>
      <c r="AS268" s="212">
        <f t="shared" si="271"/>
        <v>620936.0293837528</v>
      </c>
      <c r="AT268" s="212">
        <f t="shared" si="271"/>
        <v>678878.7120754422</v>
      </c>
      <c r="AU268" s="212">
        <f t="shared" si="271"/>
        <v>771105.8010134213</v>
      </c>
      <c r="AV268" s="226">
        <f t="shared" si="271"/>
        <v>864383.7728167514</v>
      </c>
      <c r="AW268" s="212">
        <f t="shared" si="271"/>
        <v>930010.406995065</v>
      </c>
      <c r="AX268" s="212">
        <f t="shared" si="271"/>
        <v>968847.8925413457</v>
      </c>
      <c r="AY268" s="212">
        <f t="shared" si="271"/>
        <v>959603.9281428487</v>
      </c>
      <c r="AZ268" s="212">
        <f t="shared" si="271"/>
        <v>997939.6217187034</v>
      </c>
      <c r="BA268" s="212">
        <f t="shared" si="271"/>
        <v>1027955.2832341403</v>
      </c>
      <c r="BB268" s="212">
        <f t="shared" si="271"/>
        <v>1058756.167039277</v>
      </c>
      <c r="BC268" s="212">
        <f t="shared" si="271"/>
        <v>1090369.1561432134</v>
      </c>
      <c r="BD268" s="212">
        <f t="shared" si="271"/>
        <v>1122821.5236763058</v>
      </c>
      <c r="BE268" s="212">
        <f t="shared" si="271"/>
        <v>1156140.9667545725</v>
      </c>
      <c r="BF268" s="212">
        <f t="shared" si="271"/>
        <v>1190355.6397002542</v>
      </c>
      <c r="BG268" s="212">
        <f t="shared" si="271"/>
        <v>1220880.5046399066</v>
      </c>
      <c r="BH268" s="212">
        <f t="shared" si="271"/>
        <v>1252102.163864349</v>
      </c>
      <c r="BI268" s="212">
        <f t="shared" si="271"/>
        <v>1284040.8178712481</v>
      </c>
      <c r="BJ268" s="212">
        <f t="shared" si="271"/>
        <v>1316716.8670713915</v>
      </c>
      <c r="BK268" s="212">
        <f t="shared" si="271"/>
        <v>1350150.9355703907</v>
      </c>
      <c r="BL268" s="212">
        <f t="shared" si="271"/>
        <v>1384363.8941407653</v>
      </c>
      <c r="BN268" s="205"/>
      <c r="BQ268" s="212">
        <f t="shared" si="267"/>
        <v>0</v>
      </c>
      <c r="BR268" s="212">
        <f t="shared" si="262"/>
        <v>550.96017826139</v>
      </c>
      <c r="BS268" s="212">
        <f t="shared" si="262"/>
        <v>4723.698606543243</v>
      </c>
      <c r="BT268" s="212">
        <f t="shared" si="262"/>
        <v>18504.791841208935</v>
      </c>
      <c r="BU268" s="226">
        <f t="shared" si="262"/>
        <v>32237.44190874754</v>
      </c>
      <c r="BV268" s="212">
        <f t="shared" si="262"/>
        <v>47863.73029310885</v>
      </c>
      <c r="BW268" s="212">
        <f t="shared" si="262"/>
        <v>64058.531562213786</v>
      </c>
      <c r="BX268" s="212">
        <f t="shared" si="262"/>
        <v>64842.007824286586</v>
      </c>
      <c r="BY268" s="212">
        <f t="shared" si="262"/>
        <v>67678.98958176898</v>
      </c>
      <c r="BZ268" s="212">
        <f t="shared" si="262"/>
        <v>69957.15200257546</v>
      </c>
      <c r="CA268" s="212">
        <f t="shared" si="262"/>
        <v>72276.46134743816</v>
      </c>
      <c r="CB268" s="212">
        <f t="shared" si="262"/>
        <v>74639.77128786617</v>
      </c>
      <c r="CC268" s="212">
        <f t="shared" si="262"/>
        <v>77049.89594014059</v>
      </c>
      <c r="CD268" s="212">
        <f t="shared" si="262"/>
        <v>79509.61670996156</v>
      </c>
      <c r="CE268" s="212">
        <f t="shared" si="262"/>
        <v>82021.68879637285</v>
      </c>
      <c r="CF268" s="212">
        <f t="shared" si="262"/>
        <v>84275.06706258957</v>
      </c>
      <c r="CG268" s="212">
        <f t="shared" si="262"/>
        <v>86567.16706606979</v>
      </c>
      <c r="CH268" s="212">
        <f t="shared" si="262"/>
        <v>88900.1568388415</v>
      </c>
      <c r="CI268" s="212">
        <f t="shared" si="262"/>
        <v>91276.16343006166</v>
      </c>
      <c r="CJ268" s="212">
        <f t="shared" si="262"/>
        <v>93697.2784635271</v>
      </c>
      <c r="CK268" s="212">
        <f t="shared" si="262"/>
        <v>96165.56336661335</v>
      </c>
    </row>
    <row r="269" spans="5:89" s="193" customFormat="1" ht="12.75">
      <c r="E269" s="211"/>
      <c r="G269" s="196" t="s">
        <v>82</v>
      </c>
      <c r="L269" s="190" t="s">
        <v>184</v>
      </c>
      <c r="M269" s="195"/>
      <c r="Q269" s="212">
        <f aca="true" t="shared" si="272" ref="Q269:AK269">$M$237*Q228*$M$239</f>
        <v>56698.26502956697</v>
      </c>
      <c r="R269" s="226">
        <f t="shared" si="272"/>
        <v>61822.64596161731</v>
      </c>
      <c r="S269" s="212">
        <f t="shared" si="272"/>
        <v>68001.60023282898</v>
      </c>
      <c r="T269" s="212">
        <f t="shared" si="272"/>
        <v>78546.80298938659</v>
      </c>
      <c r="U269" s="226">
        <f t="shared" si="272"/>
        <v>89191.72380215772</v>
      </c>
      <c r="V269" s="212">
        <f t="shared" si="272"/>
        <v>97274.38804019609</v>
      </c>
      <c r="W269" s="212">
        <f t="shared" si="272"/>
        <v>102748.74493163063</v>
      </c>
      <c r="X269" s="212">
        <f t="shared" si="272"/>
        <v>101907.13477485257</v>
      </c>
      <c r="Y269" s="212">
        <f t="shared" si="272"/>
        <v>106002.80173679562</v>
      </c>
      <c r="Z269" s="212">
        <f t="shared" si="272"/>
        <v>109215.24170333926</v>
      </c>
      <c r="AA269" s="212">
        <f t="shared" si="272"/>
        <v>112509.88505015656</v>
      </c>
      <c r="AB269" s="212">
        <f t="shared" si="272"/>
        <v>115889.68984443626</v>
      </c>
      <c r="AC269" s="212">
        <f t="shared" si="272"/>
        <v>119357.64902606755</v>
      </c>
      <c r="AD269" s="212">
        <f t="shared" si="272"/>
        <v>122916.79445716164</v>
      </c>
      <c r="AE269" s="212">
        <f t="shared" si="272"/>
        <v>126570.20087366879</v>
      </c>
      <c r="AF269" s="212">
        <f t="shared" si="272"/>
        <v>129830.8286245226</v>
      </c>
      <c r="AG269" s="212">
        <f t="shared" si="272"/>
        <v>133164.62210111375</v>
      </c>
      <c r="AH269" s="212">
        <f t="shared" si="272"/>
        <v>136573.80642114038</v>
      </c>
      <c r="AI269" s="212">
        <f t="shared" si="272"/>
        <v>140060.62251192276</v>
      </c>
      <c r="AJ269" s="212">
        <f t="shared" si="272"/>
        <v>143627.33002896278</v>
      </c>
      <c r="AK269" s="212">
        <f t="shared" si="272"/>
        <v>147276.2101612638</v>
      </c>
      <c r="AM269" s="205"/>
      <c r="AR269" s="212">
        <f aca="true" t="shared" si="273" ref="AR269:BL269">$AN$237*AR228*$AN$239</f>
        <v>56698.26502956697</v>
      </c>
      <c r="AS269" s="212">
        <f t="shared" si="273"/>
        <v>61767.83899604654</v>
      </c>
      <c r="AT269" s="212">
        <f t="shared" si="273"/>
        <v>67531.70858346796</v>
      </c>
      <c r="AU269" s="212">
        <f t="shared" si="273"/>
        <v>76706.032041955</v>
      </c>
      <c r="AV269" s="226">
        <f t="shared" si="273"/>
        <v>85984.89245845213</v>
      </c>
      <c r="AW269" s="212">
        <f t="shared" si="273"/>
        <v>92513.12593493695</v>
      </c>
      <c r="AX269" s="212">
        <f t="shared" si="273"/>
        <v>96376.49903733961</v>
      </c>
      <c r="AY269" s="212">
        <f t="shared" si="273"/>
        <v>95456.95229237396</v>
      </c>
      <c r="AZ269" s="212">
        <f t="shared" si="273"/>
        <v>99270.40945469422</v>
      </c>
      <c r="BA269" s="212">
        <f t="shared" si="273"/>
        <v>102256.22837984846</v>
      </c>
      <c r="BB269" s="212">
        <f t="shared" si="273"/>
        <v>105320.15757993188</v>
      </c>
      <c r="BC269" s="212">
        <f t="shared" si="273"/>
        <v>108464.87125211506</v>
      </c>
      <c r="BD269" s="212">
        <f t="shared" si="273"/>
        <v>111693.0824010386</v>
      </c>
      <c r="BE269" s="212">
        <f t="shared" si="273"/>
        <v>115007.54620746295</v>
      </c>
      <c r="BF269" s="212">
        <f t="shared" si="273"/>
        <v>118411.06333290432</v>
      </c>
      <c r="BG269" s="212">
        <f t="shared" si="273"/>
        <v>121447.53545522576</v>
      </c>
      <c r="BH269" s="212">
        <f t="shared" si="273"/>
        <v>124553.32144428535</v>
      </c>
      <c r="BI269" s="212">
        <f t="shared" si="273"/>
        <v>127730.43075200012</v>
      </c>
      <c r="BJ269" s="212">
        <f t="shared" si="273"/>
        <v>130980.89271669686</v>
      </c>
      <c r="BK269" s="212">
        <f t="shared" si="273"/>
        <v>134306.75892883434</v>
      </c>
      <c r="BL269" s="212">
        <f t="shared" si="273"/>
        <v>137710.10551617126</v>
      </c>
      <c r="BN269" s="205"/>
      <c r="BQ269" s="212">
        <f t="shared" si="267"/>
        <v>0</v>
      </c>
      <c r="BR269" s="212">
        <f t="shared" si="262"/>
        <v>54.8069655707659</v>
      </c>
      <c r="BS269" s="212">
        <f t="shared" si="262"/>
        <v>469.8916493610159</v>
      </c>
      <c r="BT269" s="212">
        <f t="shared" si="262"/>
        <v>1840.7709474315925</v>
      </c>
      <c r="BU269" s="226">
        <f t="shared" si="262"/>
        <v>3206.8313437055913</v>
      </c>
      <c r="BV269" s="212">
        <f t="shared" si="262"/>
        <v>4761.262105259142</v>
      </c>
      <c r="BW269" s="212">
        <f t="shared" si="262"/>
        <v>6372.245894291016</v>
      </c>
      <c r="BX269" s="212">
        <f t="shared" si="262"/>
        <v>6450.182482478616</v>
      </c>
      <c r="BY269" s="212">
        <f t="shared" si="262"/>
        <v>6732.392282101398</v>
      </c>
      <c r="BZ269" s="212">
        <f t="shared" si="262"/>
        <v>6959.013323490799</v>
      </c>
      <c r="CA269" s="212">
        <f t="shared" si="262"/>
        <v>7189.72747022468</v>
      </c>
      <c r="CB269" s="212">
        <f t="shared" si="262"/>
        <v>7424.8185923212</v>
      </c>
      <c r="CC269" s="212">
        <f t="shared" si="262"/>
        <v>7664.5666250289505</v>
      </c>
      <c r="CD269" s="212">
        <f t="shared" si="262"/>
        <v>7909.248249698692</v>
      </c>
      <c r="CE269" s="212">
        <f t="shared" si="262"/>
        <v>8159.137540764466</v>
      </c>
      <c r="CF269" s="212">
        <f t="shared" si="262"/>
        <v>8383.293169296841</v>
      </c>
      <c r="CG269" s="212">
        <f t="shared" si="262"/>
        <v>8611.300656828404</v>
      </c>
      <c r="CH269" s="212">
        <f t="shared" si="262"/>
        <v>8843.375669140267</v>
      </c>
      <c r="CI269" s="212">
        <f t="shared" si="262"/>
        <v>9079.729795225896</v>
      </c>
      <c r="CJ269" s="212">
        <f t="shared" si="262"/>
        <v>9320.571100128436</v>
      </c>
      <c r="CK269" s="212">
        <f t="shared" si="262"/>
        <v>9566.104645092535</v>
      </c>
    </row>
    <row r="270" spans="5:89" s="193" customFormat="1" ht="12.75">
      <c r="E270" s="211"/>
      <c r="G270" s="196" t="s">
        <v>189</v>
      </c>
      <c r="L270" s="190" t="s">
        <v>184</v>
      </c>
      <c r="M270" s="195"/>
      <c r="Q270" s="212">
        <f aca="true" t="shared" si="274" ref="Q270:AK270">$M$237*Q229*$M$239</f>
        <v>858830.5078029308</v>
      </c>
      <c r="R270" s="226">
        <f t="shared" si="274"/>
        <v>936451.4839607258</v>
      </c>
      <c r="S270" s="212">
        <f t="shared" si="274"/>
        <v>1030046.4895868857</v>
      </c>
      <c r="T270" s="212">
        <f t="shared" si="274"/>
        <v>1189778.7465364856</v>
      </c>
      <c r="U270" s="226">
        <f t="shared" si="274"/>
        <v>1351021.4713780084</v>
      </c>
      <c r="V270" s="212">
        <f t="shared" si="274"/>
        <v>1473452.7067665206</v>
      </c>
      <c r="W270" s="212">
        <f t="shared" si="274"/>
        <v>1556374.9038833685</v>
      </c>
      <c r="X270" s="212">
        <f t="shared" si="274"/>
        <v>1543626.7099493768</v>
      </c>
      <c r="Y270" s="212">
        <f t="shared" si="274"/>
        <v>1605665.3584844398</v>
      </c>
      <c r="Z270" s="212">
        <f t="shared" si="274"/>
        <v>1654325.426765448</v>
      </c>
      <c r="AA270" s="212">
        <f t="shared" si="274"/>
        <v>1704230.6613806584</v>
      </c>
      <c r="AB270" s="212">
        <f t="shared" si="274"/>
        <v>1755425.8693157376</v>
      </c>
      <c r="AC270" s="212">
        <f t="shared" si="274"/>
        <v>1807956.3857865082</v>
      </c>
      <c r="AD270" s="212">
        <f t="shared" si="274"/>
        <v>1861868.1355787858</v>
      </c>
      <c r="AE270" s="212">
        <f t="shared" si="274"/>
        <v>1917207.6929050144</v>
      </c>
      <c r="AF270" s="212">
        <f t="shared" si="274"/>
        <v>1966597.6801570135</v>
      </c>
      <c r="AG270" s="212">
        <f t="shared" si="274"/>
        <v>2017095.936901176</v>
      </c>
      <c r="AH270" s="212">
        <f t="shared" si="274"/>
        <v>2068736.1678541356</v>
      </c>
      <c r="AI270" s="212">
        <f t="shared" si="274"/>
        <v>2121552.3172072736</v>
      </c>
      <c r="AJ270" s="212">
        <f t="shared" si="274"/>
        <v>2175578.6128346208</v>
      </c>
      <c r="AK270" s="212">
        <f t="shared" si="274"/>
        <v>2230849.6087866263</v>
      </c>
      <c r="AM270" s="205"/>
      <c r="AR270" s="212">
        <f aca="true" t="shared" si="275" ref="AR270:BL270">$AN$237*AR229*$AN$239</f>
        <v>858830.5078029308</v>
      </c>
      <c r="AS270" s="212">
        <f t="shared" si="275"/>
        <v>935621.3016959295</v>
      </c>
      <c r="AT270" s="212">
        <f t="shared" si="275"/>
        <v>1022928.8593803417</v>
      </c>
      <c r="AU270" s="212">
        <f t="shared" si="275"/>
        <v>1161895.8783974494</v>
      </c>
      <c r="AV270" s="226">
        <f t="shared" si="275"/>
        <v>1302446.3590722473</v>
      </c>
      <c r="AW270" s="212">
        <f t="shared" si="275"/>
        <v>1401332.031653972</v>
      </c>
      <c r="AX270" s="212">
        <f t="shared" si="275"/>
        <v>1459852.0354254856</v>
      </c>
      <c r="AY270" s="212">
        <f t="shared" si="275"/>
        <v>1445923.3059041235</v>
      </c>
      <c r="AZ270" s="212">
        <f t="shared" si="275"/>
        <v>1503687.2136620104</v>
      </c>
      <c r="BA270" s="212">
        <f t="shared" si="275"/>
        <v>1548914.5655458972</v>
      </c>
      <c r="BB270" s="212">
        <f t="shared" si="275"/>
        <v>1595325.083917262</v>
      </c>
      <c r="BC270" s="212">
        <f t="shared" si="275"/>
        <v>1642959.2758730182</v>
      </c>
      <c r="BD270" s="212">
        <f t="shared" si="275"/>
        <v>1691858.2363417177</v>
      </c>
      <c r="BE270" s="212">
        <f t="shared" si="275"/>
        <v>1742063.699109947</v>
      </c>
      <c r="BF270" s="212">
        <f t="shared" si="275"/>
        <v>1793618.0868788927</v>
      </c>
      <c r="BG270" s="212">
        <f t="shared" si="275"/>
        <v>1839612.7022940498</v>
      </c>
      <c r="BH270" s="212">
        <f t="shared" si="275"/>
        <v>1886657.2416061603</v>
      </c>
      <c r="BI270" s="212">
        <f t="shared" si="275"/>
        <v>1934782.1427590284</v>
      </c>
      <c r="BJ270" s="212">
        <f t="shared" si="275"/>
        <v>1984018.1449238567</v>
      </c>
      <c r="BK270" s="212">
        <f t="shared" si="275"/>
        <v>2034396.3243331579</v>
      </c>
      <c r="BL270" s="212">
        <f t="shared" si="275"/>
        <v>2085948.1288955472</v>
      </c>
      <c r="BN270" s="205"/>
      <c r="BQ270" s="212">
        <f t="shared" si="267"/>
        <v>0</v>
      </c>
      <c r="BR270" s="212">
        <f t="shared" si="262"/>
        <v>830.1822647963418</v>
      </c>
      <c r="BS270" s="212">
        <f t="shared" si="262"/>
        <v>7117.630206543952</v>
      </c>
      <c r="BT270" s="212">
        <f t="shared" si="262"/>
        <v>27882.868139036233</v>
      </c>
      <c r="BU270" s="226">
        <f t="shared" si="262"/>
        <v>48575.11230576108</v>
      </c>
      <c r="BV270" s="212">
        <f t="shared" si="262"/>
        <v>72120.67511254852</v>
      </c>
      <c r="BW270" s="212">
        <f t="shared" si="262"/>
        <v>96522.8684578829</v>
      </c>
      <c r="BX270" s="212">
        <f t="shared" si="262"/>
        <v>97703.4040452533</v>
      </c>
      <c r="BY270" s="212">
        <f t="shared" si="262"/>
        <v>101978.1448224294</v>
      </c>
      <c r="BZ270" s="212">
        <f t="shared" si="262"/>
        <v>105410.86121955072</v>
      </c>
      <c r="CA270" s="212">
        <f t="shared" si="262"/>
        <v>108905.57746339636</v>
      </c>
      <c r="CB270" s="212">
        <f t="shared" si="262"/>
        <v>112466.59344271943</v>
      </c>
      <c r="CC270" s="212">
        <f t="shared" si="262"/>
        <v>116098.14944479056</v>
      </c>
      <c r="CD270" s="212">
        <f t="shared" si="262"/>
        <v>119804.43646883871</v>
      </c>
      <c r="CE270" s="212">
        <f t="shared" si="262"/>
        <v>123589.60602612165</v>
      </c>
      <c r="CF270" s="212">
        <f t="shared" si="262"/>
        <v>126984.97786296369</v>
      </c>
      <c r="CG270" s="212">
        <f t="shared" si="262"/>
        <v>130438.69529501582</v>
      </c>
      <c r="CH270" s="212">
        <f t="shared" si="262"/>
        <v>133954.02509510727</v>
      </c>
      <c r="CI270" s="212">
        <f t="shared" si="262"/>
        <v>137534.17228341685</v>
      </c>
      <c r="CJ270" s="212">
        <f t="shared" si="262"/>
        <v>141182.2885014629</v>
      </c>
      <c r="CK270" s="212">
        <f t="shared" si="262"/>
        <v>144901.479891079</v>
      </c>
    </row>
    <row r="271" spans="5:89" s="193" customFormat="1" ht="12.75">
      <c r="E271" s="211"/>
      <c r="G271" s="196" t="s">
        <v>84</v>
      </c>
      <c r="L271" s="190" t="s">
        <v>184</v>
      </c>
      <c r="M271" s="195"/>
      <c r="Q271" s="212">
        <f aca="true" t="shared" si="276" ref="Q271:AK271">$M$237*Q230*$M$239</f>
        <v>484874.19531221996</v>
      </c>
      <c r="R271" s="226">
        <f t="shared" si="276"/>
        <v>528697.0544350783</v>
      </c>
      <c r="S271" s="212">
        <f t="shared" si="276"/>
        <v>581538.4505265169</v>
      </c>
      <c r="T271" s="212">
        <f t="shared" si="276"/>
        <v>671719.2823090013</v>
      </c>
      <c r="U271" s="226">
        <f t="shared" si="276"/>
        <v>762752.886433627</v>
      </c>
      <c r="V271" s="212">
        <f t="shared" si="276"/>
        <v>831874.4956460781</v>
      </c>
      <c r="W271" s="212">
        <f t="shared" si="276"/>
        <v>878690.2913534426</v>
      </c>
      <c r="X271" s="212">
        <f t="shared" si="276"/>
        <v>871492.9803365861</v>
      </c>
      <c r="Y271" s="212">
        <f t="shared" si="276"/>
        <v>906518.447542721</v>
      </c>
      <c r="Z271" s="212">
        <f t="shared" si="276"/>
        <v>933990.7034037287</v>
      </c>
      <c r="AA271" s="212">
        <f t="shared" si="276"/>
        <v>962165.948991861</v>
      </c>
      <c r="AB271" s="212">
        <f t="shared" si="276"/>
        <v>991069.4812090166</v>
      </c>
      <c r="AC271" s="212">
        <f t="shared" si="276"/>
        <v>1020726.895182642</v>
      </c>
      <c r="AD271" s="212">
        <f t="shared" si="276"/>
        <v>1051164.1188966369</v>
      </c>
      <c r="AE271" s="212">
        <f t="shared" si="276"/>
        <v>1082407.446984912</v>
      </c>
      <c r="AF271" s="212">
        <f t="shared" si="276"/>
        <v>1110291.7968160938</v>
      </c>
      <c r="AG271" s="212">
        <f t="shared" si="276"/>
        <v>1138801.8478460133</v>
      </c>
      <c r="AH271" s="212">
        <f t="shared" si="276"/>
        <v>1167956.6289135027</v>
      </c>
      <c r="AI271" s="212">
        <f t="shared" si="276"/>
        <v>1197775.304058829</v>
      </c>
      <c r="AJ271" s="212">
        <f t="shared" si="276"/>
        <v>1228277.1974825144</v>
      </c>
      <c r="AK271" s="212">
        <f t="shared" si="276"/>
        <v>1259481.8175359536</v>
      </c>
      <c r="AM271" s="205"/>
      <c r="AR271" s="212">
        <f aca="true" t="shared" si="277" ref="AR271:BL271">$AN$237*AR230*$AN$239</f>
        <v>484874.19531221996</v>
      </c>
      <c r="AS271" s="212">
        <f t="shared" si="277"/>
        <v>528228.3543202728</v>
      </c>
      <c r="AT271" s="212">
        <f t="shared" si="277"/>
        <v>577520.014772812</v>
      </c>
      <c r="AU271" s="212">
        <f t="shared" si="277"/>
        <v>655977.3132835899</v>
      </c>
      <c r="AV271" s="226">
        <f t="shared" si="277"/>
        <v>735328.5945885343</v>
      </c>
      <c r="AW271" s="212">
        <f t="shared" si="277"/>
        <v>791156.9687384347</v>
      </c>
      <c r="AX271" s="212">
        <f t="shared" si="277"/>
        <v>824195.8972354796</v>
      </c>
      <c r="AY271" s="212">
        <f t="shared" si="277"/>
        <v>816332.0853924837</v>
      </c>
      <c r="AZ271" s="212">
        <f t="shared" si="277"/>
        <v>848944.141016626</v>
      </c>
      <c r="BA271" s="212">
        <f t="shared" si="277"/>
        <v>874478.3711721336</v>
      </c>
      <c r="BB271" s="212">
        <f t="shared" si="277"/>
        <v>900680.5874940896</v>
      </c>
      <c r="BC271" s="212">
        <f t="shared" si="277"/>
        <v>927573.6592748958</v>
      </c>
      <c r="BD271" s="212">
        <f t="shared" si="277"/>
        <v>955180.7876820018</v>
      </c>
      <c r="BE271" s="212">
        <f t="shared" si="277"/>
        <v>983525.5345661057</v>
      </c>
      <c r="BF271" s="212">
        <f t="shared" si="277"/>
        <v>1012631.8507218355</v>
      </c>
      <c r="BG271" s="212">
        <f t="shared" si="277"/>
        <v>1038599.258650959</v>
      </c>
      <c r="BH271" s="212">
        <f t="shared" si="277"/>
        <v>1065159.4273170265</v>
      </c>
      <c r="BI271" s="212">
        <f t="shared" si="277"/>
        <v>1092329.5412207488</v>
      </c>
      <c r="BJ271" s="212">
        <f t="shared" si="277"/>
        <v>1120126.9549282738</v>
      </c>
      <c r="BK271" s="212">
        <f t="shared" si="277"/>
        <v>1148569.213302249</v>
      </c>
      <c r="BL271" s="212">
        <f t="shared" si="277"/>
        <v>1177674.0710441908</v>
      </c>
      <c r="BN271" s="205"/>
      <c r="BQ271" s="212">
        <f t="shared" si="267"/>
        <v>0</v>
      </c>
      <c r="BR271" s="212">
        <f t="shared" si="262"/>
        <v>468.7001148054842</v>
      </c>
      <c r="BS271" s="212">
        <f t="shared" si="262"/>
        <v>4018.4357537048636</v>
      </c>
      <c r="BT271" s="212">
        <f t="shared" si="262"/>
        <v>15741.96902541141</v>
      </c>
      <c r="BU271" s="226">
        <f t="shared" si="262"/>
        <v>27424.291845092666</v>
      </c>
      <c r="BV271" s="212">
        <f t="shared" si="262"/>
        <v>40717.52690764342</v>
      </c>
      <c r="BW271" s="212">
        <f t="shared" si="262"/>
        <v>54494.394117963035</v>
      </c>
      <c r="BX271" s="212">
        <f t="shared" si="262"/>
        <v>55160.89494410239</v>
      </c>
      <c r="BY271" s="212">
        <f t="shared" si="262"/>
        <v>57574.306526095024</v>
      </c>
      <c r="BZ271" s="212">
        <f t="shared" si="262"/>
        <v>59512.332231595065</v>
      </c>
      <c r="CA271" s="212">
        <f t="shared" si="262"/>
        <v>61485.361497771344</v>
      </c>
      <c r="CB271" s="212">
        <f t="shared" si="262"/>
        <v>63495.821934120846</v>
      </c>
      <c r="CC271" s="212">
        <f t="shared" si="262"/>
        <v>65546.10750064021</v>
      </c>
      <c r="CD271" s="212">
        <f t="shared" si="262"/>
        <v>67638.58433053119</v>
      </c>
      <c r="CE271" s="212">
        <f t="shared" si="262"/>
        <v>69775.59626307653</v>
      </c>
      <c r="CF271" s="212">
        <f t="shared" si="262"/>
        <v>71692.53816513484</v>
      </c>
      <c r="CG271" s="212">
        <f t="shared" si="262"/>
        <v>73642.42052898672</v>
      </c>
      <c r="CH271" s="212">
        <f t="shared" si="262"/>
        <v>75627.08769275388</v>
      </c>
      <c r="CI271" s="212">
        <f t="shared" si="262"/>
        <v>77648.34913055529</v>
      </c>
      <c r="CJ271" s="212">
        <f t="shared" si="262"/>
        <v>79707.98418026534</v>
      </c>
      <c r="CK271" s="212">
        <f t="shared" si="262"/>
        <v>81807.74649176281</v>
      </c>
    </row>
    <row r="272" spans="5:89" s="193" customFormat="1" ht="12.75">
      <c r="E272" s="211"/>
      <c r="G272" s="196" t="s">
        <v>190</v>
      </c>
      <c r="L272" s="190" t="s">
        <v>184</v>
      </c>
      <c r="M272" s="195"/>
      <c r="Q272" s="212">
        <f aca="true" t="shared" si="278" ref="Q272:AK272">$M$237*Q231*$M$239</f>
        <v>351439.19138022495</v>
      </c>
      <c r="R272" s="226">
        <f t="shared" si="278"/>
        <v>383202.2142900955</v>
      </c>
      <c r="S272" s="212">
        <f t="shared" si="278"/>
        <v>421501.91696208314</v>
      </c>
      <c r="T272" s="212">
        <f t="shared" si="278"/>
        <v>486865.4254887119</v>
      </c>
      <c r="U272" s="226">
        <f t="shared" si="278"/>
        <v>552847.0275852829</v>
      </c>
      <c r="V272" s="212">
        <f t="shared" si="278"/>
        <v>602946.70845793</v>
      </c>
      <c r="W272" s="212">
        <f t="shared" si="278"/>
        <v>636879.0264618266</v>
      </c>
      <c r="X272" s="212">
        <f t="shared" si="278"/>
        <v>631662.3801887708</v>
      </c>
      <c r="Y272" s="212">
        <f t="shared" si="278"/>
        <v>657049.01035315</v>
      </c>
      <c r="Z272" s="212">
        <f t="shared" si="278"/>
        <v>676961.0359435454</v>
      </c>
      <c r="AA272" s="212">
        <f t="shared" si="278"/>
        <v>697382.5919309802</v>
      </c>
      <c r="AB272" s="212">
        <f t="shared" si="278"/>
        <v>718332.0136338401</v>
      </c>
      <c r="AC272" s="212">
        <f t="shared" si="278"/>
        <v>739827.852525845</v>
      </c>
      <c r="AD272" s="212">
        <f t="shared" si="278"/>
        <v>761888.9013366993</v>
      </c>
      <c r="AE272" s="212">
        <f t="shared" si="278"/>
        <v>784534.2185458264</v>
      </c>
      <c r="AF272" s="212">
        <f t="shared" si="278"/>
        <v>804744.9318640035</v>
      </c>
      <c r="AG272" s="212">
        <f t="shared" si="278"/>
        <v>825409.1564753302</v>
      </c>
      <c r="AH272" s="212">
        <f t="shared" si="278"/>
        <v>846540.6845753419</v>
      </c>
      <c r="AI272" s="212">
        <f t="shared" si="278"/>
        <v>868153.4063543633</v>
      </c>
      <c r="AJ272" s="212">
        <f t="shared" si="278"/>
        <v>890261.3280875222</v>
      </c>
      <c r="AK272" s="212">
        <f t="shared" si="278"/>
        <v>912878.5895234699</v>
      </c>
      <c r="AM272" s="205"/>
      <c r="AR272" s="212">
        <f aca="true" t="shared" si="279" ref="AR272:BL272">$AN$237*AR231*$AN$239</f>
        <v>351439.19138022495</v>
      </c>
      <c r="AS272" s="212">
        <f t="shared" si="279"/>
        <v>382862.4981514773</v>
      </c>
      <c r="AT272" s="212">
        <f t="shared" si="279"/>
        <v>418589.33504795155</v>
      </c>
      <c r="AU272" s="212">
        <f t="shared" si="279"/>
        <v>475455.5692445356</v>
      </c>
      <c r="AV272" s="226">
        <f t="shared" si="279"/>
        <v>532969.7665485131</v>
      </c>
      <c r="AW272" s="212">
        <f t="shared" si="279"/>
        <v>573434.4455456699</v>
      </c>
      <c r="AX272" s="212">
        <f t="shared" si="279"/>
        <v>597381.2227248382</v>
      </c>
      <c r="AY272" s="212">
        <f t="shared" si="279"/>
        <v>591681.4933888825</v>
      </c>
      <c r="AZ272" s="212">
        <f t="shared" si="279"/>
        <v>615318.8710192154</v>
      </c>
      <c r="BA272" s="212">
        <f t="shared" si="279"/>
        <v>633826.206086998</v>
      </c>
      <c r="BB272" s="212">
        <f t="shared" si="279"/>
        <v>652817.7007996151</v>
      </c>
      <c r="BC272" s="212">
        <f t="shared" si="279"/>
        <v>672309.9309322002</v>
      </c>
      <c r="BD272" s="212">
        <f t="shared" si="279"/>
        <v>692319.7128045439</v>
      </c>
      <c r="BE272" s="212">
        <f t="shared" si="279"/>
        <v>712864.1241614184</v>
      </c>
      <c r="BF272" s="212">
        <f t="shared" si="279"/>
        <v>733960.5246560567</v>
      </c>
      <c r="BG272" s="212">
        <f t="shared" si="279"/>
        <v>752781.82909561</v>
      </c>
      <c r="BH272" s="212">
        <f t="shared" si="279"/>
        <v>772032.7694202824</v>
      </c>
      <c r="BI272" s="212">
        <f t="shared" si="279"/>
        <v>791725.8010403089</v>
      </c>
      <c r="BJ272" s="212">
        <f t="shared" si="279"/>
        <v>811873.502630306</v>
      </c>
      <c r="BK272" s="212">
        <f t="shared" si="279"/>
        <v>832488.5907925987</v>
      </c>
      <c r="BL272" s="212">
        <f t="shared" si="279"/>
        <v>853583.9342218166</v>
      </c>
      <c r="BN272" s="205"/>
      <c r="BQ272" s="212">
        <f t="shared" si="267"/>
        <v>0</v>
      </c>
      <c r="BR272" s="212">
        <f t="shared" si="262"/>
        <v>339.7161386181833</v>
      </c>
      <c r="BS272" s="212">
        <f t="shared" si="262"/>
        <v>2912.581914131588</v>
      </c>
      <c r="BT272" s="212">
        <f t="shared" si="262"/>
        <v>11409.856244176335</v>
      </c>
      <c r="BU272" s="226">
        <f t="shared" si="262"/>
        <v>19877.261036769836</v>
      </c>
      <c r="BV272" s="212">
        <f t="shared" si="262"/>
        <v>29512.262912260136</v>
      </c>
      <c r="BW272" s="212">
        <f t="shared" si="262"/>
        <v>39497.803736988455</v>
      </c>
      <c r="BX272" s="212">
        <f t="shared" si="262"/>
        <v>39980.886799888336</v>
      </c>
      <c r="BY272" s="212">
        <f t="shared" si="262"/>
        <v>41730.13933393452</v>
      </c>
      <c r="BZ272" s="212">
        <f t="shared" si="262"/>
        <v>43134.82985654741</v>
      </c>
      <c r="CA272" s="212">
        <f t="shared" si="262"/>
        <v>44564.89113136509</v>
      </c>
      <c r="CB272" s="212">
        <f t="shared" si="262"/>
        <v>46022.08270163997</v>
      </c>
      <c r="CC272" s="212">
        <f t="shared" si="262"/>
        <v>47508.13972130115</v>
      </c>
      <c r="CD272" s="212">
        <f t="shared" si="262"/>
        <v>49024.77717528085</v>
      </c>
      <c r="CE272" s="212">
        <f t="shared" si="262"/>
        <v>50573.693889769726</v>
      </c>
      <c r="CF272" s="212">
        <f t="shared" si="262"/>
        <v>51963.10276839358</v>
      </c>
      <c r="CG272" s="212">
        <f t="shared" si="262"/>
        <v>53376.38705504779</v>
      </c>
      <c r="CH272" s="212">
        <f t="shared" si="262"/>
        <v>54814.883535032975</v>
      </c>
      <c r="CI272" s="212">
        <f t="shared" si="262"/>
        <v>56279.90372405737</v>
      </c>
      <c r="CJ272" s="212">
        <f t="shared" si="262"/>
        <v>57772.737294923514</v>
      </c>
      <c r="CK272" s="212">
        <f t="shared" si="262"/>
        <v>59294.655301653314</v>
      </c>
    </row>
    <row r="273" spans="5:13" ht="12.75">
      <c r="E273" s="18"/>
      <c r="L273" s="4"/>
      <c r="M273" s="63"/>
    </row>
    <row r="274" spans="4:73" s="193" customFormat="1" ht="12.75">
      <c r="D274" s="193" t="s">
        <v>411</v>
      </c>
      <c r="E274" s="211"/>
      <c r="M274" s="195"/>
      <c r="R274" s="221"/>
      <c r="U274" s="221"/>
      <c r="AM274" s="205"/>
      <c r="AV274" s="221"/>
      <c r="BN274" s="205"/>
      <c r="BU274" s="221"/>
    </row>
    <row r="275" spans="5:89" s="193" customFormat="1" ht="12.75">
      <c r="E275" s="211"/>
      <c r="G275" s="196" t="s">
        <v>233</v>
      </c>
      <c r="L275" s="190" t="s">
        <v>184</v>
      </c>
      <c r="M275" s="195"/>
      <c r="Q275" s="212">
        <f>$M$242*Q223*$M$245</f>
        <v>4927041.334170526</v>
      </c>
      <c r="R275" s="226">
        <f aca="true" t="shared" si="280" ref="R275:AK275">$M$242*R223*$M$245</f>
        <v>5425276.13532093</v>
      </c>
      <c r="S275" s="212">
        <f t="shared" si="280"/>
        <v>6026306.483676367</v>
      </c>
      <c r="T275" s="212">
        <f t="shared" si="280"/>
        <v>7029402.614012204</v>
      </c>
      <c r="U275" s="226">
        <f t="shared" si="280"/>
        <v>8060691.242080504</v>
      </c>
      <c r="V275" s="212">
        <f t="shared" si="280"/>
        <v>8877773.468278231</v>
      </c>
      <c r="W275" s="212">
        <f t="shared" si="280"/>
        <v>9469780.238048099</v>
      </c>
      <c r="X275" s="212">
        <f t="shared" si="280"/>
        <v>9484747.836940106</v>
      </c>
      <c r="Y275" s="212">
        <f t="shared" si="280"/>
        <v>9963143.036402978</v>
      </c>
      <c r="Z275" s="212">
        <f t="shared" si="280"/>
        <v>10366212.219236664</v>
      </c>
      <c r="AA275" s="212">
        <f t="shared" si="280"/>
        <v>10784135.808061197</v>
      </c>
      <c r="AB275" s="212">
        <f t="shared" si="280"/>
        <v>11217531.32995892</v>
      </c>
      <c r="AC275" s="212">
        <f t="shared" si="280"/>
        <v>11667036.85362408</v>
      </c>
      <c r="AD275" s="212">
        <f t="shared" si="280"/>
        <v>12133311.92558273</v>
      </c>
      <c r="AE275" s="212">
        <f t="shared" si="280"/>
        <v>12617038.53201297</v>
      </c>
      <c r="AF275" s="212">
        <f t="shared" si="280"/>
        <v>13069579.417447526</v>
      </c>
      <c r="AG275" s="212">
        <f t="shared" si="280"/>
        <v>13537250.55911553</v>
      </c>
      <c r="AH275" s="212">
        <f t="shared" si="280"/>
        <v>14020607.872977681</v>
      </c>
      <c r="AI275" s="212">
        <f t="shared" si="280"/>
        <v>14520223.622412235</v>
      </c>
      <c r="AJ275" s="212">
        <f t="shared" si="280"/>
        <v>15036687.113991994</v>
      </c>
      <c r="AK275" s="212">
        <f t="shared" si="280"/>
        <v>15570605.407360934</v>
      </c>
      <c r="AM275" s="205"/>
      <c r="AR275" s="212">
        <f>$AN$242*AR223*$AN$245</f>
        <v>4927041.334170526</v>
      </c>
      <c r="AS275" s="212">
        <f aca="true" t="shared" si="281" ref="AS275:BL275">$AN$242*AS223*$AN$245</f>
        <v>5420466.5236044545</v>
      </c>
      <c r="AT275" s="212">
        <f t="shared" si="281"/>
        <v>5984604.747545831</v>
      </c>
      <c r="AU275" s="212">
        <f t="shared" si="281"/>
        <v>6864254.549650879</v>
      </c>
      <c r="AV275" s="226">
        <f t="shared" si="281"/>
        <v>7770241.831530783</v>
      </c>
      <c r="AW275" s="212">
        <f t="shared" si="281"/>
        <v>8442349.984833725</v>
      </c>
      <c r="AX275" s="212">
        <f t="shared" si="281"/>
        <v>8881321.832148766</v>
      </c>
      <c r="AY275" s="212">
        <f t="shared" si="281"/>
        <v>8884244.359812634</v>
      </c>
      <c r="AZ275" s="212">
        <f t="shared" si="281"/>
        <v>9330178.735122565</v>
      </c>
      <c r="BA275" s="212">
        <f t="shared" si="281"/>
        <v>9705484.057370428</v>
      </c>
      <c r="BB275" s="212">
        <f t="shared" si="281"/>
        <v>10094767.770411752</v>
      </c>
      <c r="BC275" s="212">
        <f t="shared" si="281"/>
        <v>10498601.375428008</v>
      </c>
      <c r="BD275" s="212">
        <f t="shared" si="281"/>
        <v>10917575.904162254</v>
      </c>
      <c r="BE275" s="212">
        <f t="shared" si="281"/>
        <v>11352302.775212027</v>
      </c>
      <c r="BF275" s="212">
        <f t="shared" si="281"/>
        <v>11803414.675301464</v>
      </c>
      <c r="BG275" s="212">
        <f t="shared" si="281"/>
        <v>12225365.933023345</v>
      </c>
      <c r="BH275" s="212">
        <f t="shared" si="281"/>
        <v>12661533.420594323</v>
      </c>
      <c r="BI275" s="212">
        <f t="shared" si="281"/>
        <v>13112431.928524505</v>
      </c>
      <c r="BJ275" s="212">
        <f t="shared" si="281"/>
        <v>13578591.825832117</v>
      </c>
      <c r="BK275" s="212">
        <f t="shared" si="281"/>
        <v>14060559.692258153</v>
      </c>
      <c r="BL275" s="212">
        <f t="shared" si="281"/>
        <v>14558898.964743078</v>
      </c>
      <c r="BN275" s="205"/>
      <c r="BQ275" s="212">
        <f>Q275-AR275</f>
        <v>0</v>
      </c>
      <c r="BR275" s="212">
        <f aca="true" t="shared" si="282" ref="BR275:CK283">R275-AS275</f>
        <v>4809.611716475338</v>
      </c>
      <c r="BS275" s="212">
        <f t="shared" si="282"/>
        <v>41701.736130536534</v>
      </c>
      <c r="BT275" s="212">
        <f t="shared" si="282"/>
        <v>165148.06436132547</v>
      </c>
      <c r="BU275" s="226">
        <f t="shared" si="282"/>
        <v>290449.41054972075</v>
      </c>
      <c r="BV275" s="212">
        <f t="shared" si="282"/>
        <v>435423.4834445063</v>
      </c>
      <c r="BW275" s="212">
        <f t="shared" si="282"/>
        <v>588458.4058993328</v>
      </c>
      <c r="BX275" s="212">
        <f t="shared" si="282"/>
        <v>600503.4771274719</v>
      </c>
      <c r="BY275" s="212">
        <f t="shared" si="282"/>
        <v>632964.3012804128</v>
      </c>
      <c r="BZ275" s="212">
        <f t="shared" si="282"/>
        <v>660728.1618662365</v>
      </c>
      <c r="CA275" s="212">
        <f t="shared" si="282"/>
        <v>689368.0376494452</v>
      </c>
      <c r="CB275" s="212">
        <f t="shared" si="282"/>
        <v>718929.9545309115</v>
      </c>
      <c r="CC275" s="212">
        <f t="shared" si="282"/>
        <v>749460.9494618252</v>
      </c>
      <c r="CD275" s="212">
        <f t="shared" si="282"/>
        <v>781009.1503707021</v>
      </c>
      <c r="CE275" s="212">
        <f t="shared" si="282"/>
        <v>813623.856711505</v>
      </c>
      <c r="CF275" s="212">
        <f t="shared" si="282"/>
        <v>844213.4844241813</v>
      </c>
      <c r="CG275" s="212">
        <f t="shared" si="282"/>
        <v>875717.1385212075</v>
      </c>
      <c r="CH275" s="212">
        <f t="shared" si="282"/>
        <v>908175.9444531761</v>
      </c>
      <c r="CI275" s="212">
        <f t="shared" si="282"/>
        <v>941631.7965801172</v>
      </c>
      <c r="CJ275" s="212">
        <f t="shared" si="282"/>
        <v>976127.4217338413</v>
      </c>
      <c r="CK275" s="212">
        <f t="shared" si="282"/>
        <v>1011706.442617856</v>
      </c>
    </row>
    <row r="276" spans="5:89" s="193" customFormat="1" ht="12.75">
      <c r="E276" s="211"/>
      <c r="G276" s="196" t="s">
        <v>73</v>
      </c>
      <c r="L276" s="190" t="s">
        <v>184</v>
      </c>
      <c r="M276" s="195"/>
      <c r="Q276" s="212">
        <f aca="true" t="shared" si="283" ref="Q276:AK276">$M$242*Q224*$M$245</f>
        <v>265635.25027631124</v>
      </c>
      <c r="R276" s="226">
        <f t="shared" si="283"/>
        <v>289643.3254914258</v>
      </c>
      <c r="S276" s="212">
        <f t="shared" si="283"/>
        <v>318592.1489417243</v>
      </c>
      <c r="T276" s="212">
        <f t="shared" si="283"/>
        <v>367997.14523203194</v>
      </c>
      <c r="U276" s="226">
        <f t="shared" si="283"/>
        <v>417869.3274372093</v>
      </c>
      <c r="V276" s="212">
        <f t="shared" si="283"/>
        <v>455737.1623110111</v>
      </c>
      <c r="W276" s="212">
        <f t="shared" si="283"/>
        <v>481384.89883698337</v>
      </c>
      <c r="X276" s="212">
        <f t="shared" si="283"/>
        <v>477441.897679641</v>
      </c>
      <c r="Y276" s="212">
        <f t="shared" si="283"/>
        <v>496630.3775725723</v>
      </c>
      <c r="Z276" s="212">
        <f t="shared" si="283"/>
        <v>511680.87857230625</v>
      </c>
      <c r="AA276" s="212">
        <f t="shared" si="283"/>
        <v>527116.508031986</v>
      </c>
      <c r="AB276" s="212">
        <f t="shared" si="283"/>
        <v>542951.1246987483</v>
      </c>
      <c r="AC276" s="212">
        <f t="shared" si="283"/>
        <v>559198.7507007088</v>
      </c>
      <c r="AD276" s="212">
        <f t="shared" si="283"/>
        <v>575873.5905192703</v>
      </c>
      <c r="AE276" s="212">
        <f t="shared" si="283"/>
        <v>592990.049502698</v>
      </c>
      <c r="AF276" s="212">
        <f t="shared" si="283"/>
        <v>608266.3135683446</v>
      </c>
      <c r="AG276" s="212">
        <f t="shared" si="283"/>
        <v>623885.3640642031</v>
      </c>
      <c r="AH276" s="212">
        <f t="shared" si="283"/>
        <v>639857.6258188798</v>
      </c>
      <c r="AI276" s="212">
        <f t="shared" si="283"/>
        <v>656193.5977301691</v>
      </c>
      <c r="AJ276" s="212">
        <f t="shared" si="283"/>
        <v>672903.8664387269</v>
      </c>
      <c r="AK276" s="212">
        <f t="shared" si="283"/>
        <v>689999.1194709651</v>
      </c>
      <c r="AM276" s="205"/>
      <c r="AR276" s="212">
        <f aca="true" t="shared" si="284" ref="AR276:BL276">$AN$242*AR224*$AN$245</f>
        <v>265635.25027631124</v>
      </c>
      <c r="AS276" s="212">
        <f t="shared" si="284"/>
        <v>289386.55110849394</v>
      </c>
      <c r="AT276" s="212">
        <f t="shared" si="284"/>
        <v>316390.67442013766</v>
      </c>
      <c r="AU276" s="212">
        <f t="shared" si="284"/>
        <v>359373.00741992495</v>
      </c>
      <c r="AV276" s="226">
        <f t="shared" si="284"/>
        <v>402845.10321915016</v>
      </c>
      <c r="AW276" s="212">
        <f t="shared" si="284"/>
        <v>433430.3236396323</v>
      </c>
      <c r="AX276" s="212">
        <f t="shared" si="284"/>
        <v>451530.4909098715</v>
      </c>
      <c r="AY276" s="212">
        <f t="shared" si="284"/>
        <v>447222.35150538734</v>
      </c>
      <c r="AZ276" s="212">
        <f t="shared" si="284"/>
        <v>465088.65918168856</v>
      </c>
      <c r="BA276" s="212">
        <f t="shared" si="284"/>
        <v>479077.4250998293</v>
      </c>
      <c r="BB276" s="212">
        <f t="shared" si="284"/>
        <v>493432.1429993758</v>
      </c>
      <c r="BC276" s="212">
        <f t="shared" si="284"/>
        <v>508165.3416770112</v>
      </c>
      <c r="BD276" s="212">
        <f t="shared" si="284"/>
        <v>523289.7317450616</v>
      </c>
      <c r="BE276" s="212">
        <f t="shared" si="284"/>
        <v>538818.221413874</v>
      </c>
      <c r="BF276" s="212">
        <f t="shared" si="284"/>
        <v>554763.931974241</v>
      </c>
      <c r="BG276" s="212">
        <f t="shared" si="284"/>
        <v>568990.0115861841</v>
      </c>
      <c r="BH276" s="212">
        <f t="shared" si="284"/>
        <v>583540.8314054289</v>
      </c>
      <c r="BI276" s="212">
        <f t="shared" si="284"/>
        <v>598425.8058516458</v>
      </c>
      <c r="BJ276" s="212">
        <f t="shared" si="284"/>
        <v>613654.4425137205</v>
      </c>
      <c r="BK276" s="212">
        <f t="shared" si="284"/>
        <v>629236.3532333449</v>
      </c>
      <c r="BL276" s="212">
        <f t="shared" si="284"/>
        <v>645181.2648109796</v>
      </c>
      <c r="BN276" s="205"/>
      <c r="BQ276" s="212">
        <f aca="true" t="shared" si="285" ref="BQ276:BQ283">Q276-AR276</f>
        <v>0</v>
      </c>
      <c r="BR276" s="212">
        <f t="shared" si="282"/>
        <v>256.7743829318788</v>
      </c>
      <c r="BS276" s="212">
        <f t="shared" si="282"/>
        <v>2201.4745215866715</v>
      </c>
      <c r="BT276" s="212">
        <f t="shared" si="282"/>
        <v>8624.137812106987</v>
      </c>
      <c r="BU276" s="226">
        <f t="shared" si="282"/>
        <v>15024.224218059157</v>
      </c>
      <c r="BV276" s="212">
        <f t="shared" si="282"/>
        <v>22306.83867137879</v>
      </c>
      <c r="BW276" s="212">
        <f t="shared" si="282"/>
        <v>29854.40792711184</v>
      </c>
      <c r="BX276" s="212">
        <f t="shared" si="282"/>
        <v>30219.546174253686</v>
      </c>
      <c r="BY276" s="212">
        <f t="shared" si="282"/>
        <v>31541.71839088376</v>
      </c>
      <c r="BZ276" s="212">
        <f t="shared" si="282"/>
        <v>32603.45347247692</v>
      </c>
      <c r="CA276" s="212">
        <f t="shared" si="282"/>
        <v>33684.365032610134</v>
      </c>
      <c r="CB276" s="212">
        <f t="shared" si="282"/>
        <v>34785.78302173712</v>
      </c>
      <c r="CC276" s="212">
        <f t="shared" si="282"/>
        <v>35909.01895564725</v>
      </c>
      <c r="CD276" s="212">
        <f t="shared" si="282"/>
        <v>37055.36910539633</v>
      </c>
      <c r="CE276" s="212">
        <f t="shared" si="282"/>
        <v>38226.11752845696</v>
      </c>
      <c r="CF276" s="212">
        <f t="shared" si="282"/>
        <v>39276.301982160425</v>
      </c>
      <c r="CG276" s="212">
        <f t="shared" si="282"/>
        <v>40344.53265877417</v>
      </c>
      <c r="CH276" s="212">
        <f t="shared" si="282"/>
        <v>41431.81996723404</v>
      </c>
      <c r="CI276" s="212">
        <f t="shared" si="282"/>
        <v>42539.15521644859</v>
      </c>
      <c r="CJ276" s="212">
        <f t="shared" si="282"/>
        <v>43667.51320538204</v>
      </c>
      <c r="CK276" s="212">
        <f t="shared" si="282"/>
        <v>44817.85465998552</v>
      </c>
    </row>
    <row r="277" spans="5:89" s="193" customFormat="1" ht="12.75">
      <c r="E277" s="211"/>
      <c r="G277" s="196" t="s">
        <v>72</v>
      </c>
      <c r="L277" s="190" t="s">
        <v>184</v>
      </c>
      <c r="M277" s="195"/>
      <c r="Q277" s="212">
        <f aca="true" t="shared" si="286" ref="Q277:AK277">$M$242*Q225*$M$245</f>
        <v>454826.83744727273</v>
      </c>
      <c r="R277" s="226">
        <f t="shared" si="286"/>
        <v>495934.02074440056</v>
      </c>
      <c r="S277" s="212">
        <f t="shared" si="286"/>
        <v>545500.8677800373</v>
      </c>
      <c r="T277" s="212">
        <f t="shared" si="286"/>
        <v>630093.2484728895</v>
      </c>
      <c r="U277" s="226">
        <f t="shared" si="286"/>
        <v>715485.555726464</v>
      </c>
      <c r="V277" s="212">
        <f t="shared" si="286"/>
        <v>780323.7410151688</v>
      </c>
      <c r="W277" s="212">
        <f t="shared" si="286"/>
        <v>824238.3904438657</v>
      </c>
      <c r="X277" s="212">
        <f t="shared" si="286"/>
        <v>817487.092396726</v>
      </c>
      <c r="Y277" s="212">
        <f t="shared" si="286"/>
        <v>850342.05278335</v>
      </c>
      <c r="Z277" s="212">
        <f t="shared" si="286"/>
        <v>876111.8697206271</v>
      </c>
      <c r="AA277" s="212">
        <f t="shared" si="286"/>
        <v>902541.1125407976</v>
      </c>
      <c r="AB277" s="212">
        <f t="shared" si="286"/>
        <v>929653.510512245</v>
      </c>
      <c r="AC277" s="212">
        <f t="shared" si="286"/>
        <v>957473.0726479675</v>
      </c>
      <c r="AD277" s="212">
        <f t="shared" si="286"/>
        <v>986024.1201904977</v>
      </c>
      <c r="AE277" s="212">
        <f t="shared" si="286"/>
        <v>1015331.3183113653</v>
      </c>
      <c r="AF277" s="212">
        <f t="shared" si="286"/>
        <v>1041487.6920070963</v>
      </c>
      <c r="AG277" s="212">
        <f t="shared" si="286"/>
        <v>1068230.9925802313</v>
      </c>
      <c r="AH277" s="212">
        <f t="shared" si="286"/>
        <v>1095579.0696640958</v>
      </c>
      <c r="AI277" s="212">
        <f t="shared" si="286"/>
        <v>1123549.8997151721</v>
      </c>
      <c r="AJ277" s="212">
        <f t="shared" si="286"/>
        <v>1152161.6094250185</v>
      </c>
      <c r="AK277" s="212">
        <f t="shared" si="286"/>
        <v>1181432.4982243301</v>
      </c>
      <c r="AM277" s="205"/>
      <c r="AR277" s="212">
        <f aca="true" t="shared" si="287" ref="AR277:BL277">$AN$242*AR225*$AN$245</f>
        <v>454826.83744727273</v>
      </c>
      <c r="AS277" s="212">
        <f t="shared" si="287"/>
        <v>495494.3656895653</v>
      </c>
      <c r="AT277" s="212">
        <f t="shared" si="287"/>
        <v>541731.4520367108</v>
      </c>
      <c r="AU277" s="212">
        <f t="shared" si="287"/>
        <v>615326.7996574182</v>
      </c>
      <c r="AV277" s="226">
        <f t="shared" si="287"/>
        <v>689760.7305043201</v>
      </c>
      <c r="AW277" s="212">
        <f t="shared" si="287"/>
        <v>742129.4543917021</v>
      </c>
      <c r="AX277" s="212">
        <f t="shared" si="287"/>
        <v>773120.9806602444</v>
      </c>
      <c r="AY277" s="212">
        <f t="shared" si="287"/>
        <v>765744.4844362584</v>
      </c>
      <c r="AZ277" s="212">
        <f t="shared" si="287"/>
        <v>796335.5908832238</v>
      </c>
      <c r="BA277" s="212">
        <f t="shared" si="287"/>
        <v>820287.4803847945</v>
      </c>
      <c r="BB277" s="212">
        <f t="shared" si="287"/>
        <v>844865.9613578692</v>
      </c>
      <c r="BC277" s="212">
        <f t="shared" si="287"/>
        <v>870092.4858988086</v>
      </c>
      <c r="BD277" s="212">
        <f t="shared" si="287"/>
        <v>895988.8174128563</v>
      </c>
      <c r="BE277" s="212">
        <f t="shared" si="287"/>
        <v>922577.0576371753</v>
      </c>
      <c r="BF277" s="212">
        <f t="shared" si="287"/>
        <v>949879.6731502998</v>
      </c>
      <c r="BG277" s="212">
        <f t="shared" si="287"/>
        <v>974237.896663337</v>
      </c>
      <c r="BH277" s="212">
        <f t="shared" si="287"/>
        <v>999152.1478922946</v>
      </c>
      <c r="BI277" s="212">
        <f t="shared" si="287"/>
        <v>1024638.5464248818</v>
      </c>
      <c r="BJ277" s="212">
        <f t="shared" si="287"/>
        <v>1050713.3713754634</v>
      </c>
      <c r="BK277" s="212">
        <f t="shared" si="287"/>
        <v>1077393.0803622082</v>
      </c>
      <c r="BL277" s="212">
        <f t="shared" si="287"/>
        <v>1104694.3278385499</v>
      </c>
      <c r="BN277" s="205"/>
      <c r="BQ277" s="212">
        <f t="shared" si="285"/>
        <v>0</v>
      </c>
      <c r="BR277" s="212">
        <f t="shared" si="282"/>
        <v>439.6550548352534</v>
      </c>
      <c r="BS277" s="212">
        <f t="shared" si="282"/>
        <v>3769.4157433265354</v>
      </c>
      <c r="BT277" s="212">
        <f t="shared" si="282"/>
        <v>14766.448815471376</v>
      </c>
      <c r="BU277" s="226">
        <f t="shared" si="282"/>
        <v>25724.825222143903</v>
      </c>
      <c r="BV277" s="212">
        <f t="shared" si="282"/>
        <v>38194.28662346676</v>
      </c>
      <c r="BW277" s="212">
        <f t="shared" si="282"/>
        <v>51117.40978362132</v>
      </c>
      <c r="BX277" s="212">
        <f t="shared" si="282"/>
        <v>51742.607960467576</v>
      </c>
      <c r="BY277" s="212">
        <f t="shared" si="282"/>
        <v>54006.46190012619</v>
      </c>
      <c r="BZ277" s="212">
        <f t="shared" si="282"/>
        <v>55824.38933583256</v>
      </c>
      <c r="CA277" s="212">
        <f t="shared" si="282"/>
        <v>57675.151182928355</v>
      </c>
      <c r="CB277" s="212">
        <f t="shared" si="282"/>
        <v>59561.02461343643</v>
      </c>
      <c r="CC277" s="212">
        <f t="shared" si="282"/>
        <v>61484.255235111224</v>
      </c>
      <c r="CD277" s="212">
        <f t="shared" si="282"/>
        <v>63447.06255332241</v>
      </c>
      <c r="CE277" s="212">
        <f t="shared" si="282"/>
        <v>65451.645161065506</v>
      </c>
      <c r="CF277" s="212">
        <f t="shared" si="282"/>
        <v>67249.79534375924</v>
      </c>
      <c r="CG277" s="212">
        <f t="shared" si="282"/>
        <v>69078.84468793671</v>
      </c>
      <c r="CH277" s="212">
        <f t="shared" si="282"/>
        <v>70940.52323921397</v>
      </c>
      <c r="CI277" s="212">
        <f t="shared" si="282"/>
        <v>72836.52833970869</v>
      </c>
      <c r="CJ277" s="212">
        <f t="shared" si="282"/>
        <v>74768.52906281035</v>
      </c>
      <c r="CK277" s="212">
        <f t="shared" si="282"/>
        <v>76738.17038578028</v>
      </c>
    </row>
    <row r="278" spans="5:89" s="193" customFormat="1" ht="12.75">
      <c r="E278" s="211"/>
      <c r="G278" s="196" t="s">
        <v>85</v>
      </c>
      <c r="L278" s="190" t="s">
        <v>184</v>
      </c>
      <c r="M278" s="195"/>
      <c r="Q278" s="212">
        <f aca="true" t="shared" si="288" ref="Q278:AK278">$M$242*Q226*$M$245</f>
        <v>196100.72141789814</v>
      </c>
      <c r="R278" s="226">
        <f t="shared" si="288"/>
        <v>213824.27604644228</v>
      </c>
      <c r="S278" s="212">
        <f t="shared" si="288"/>
        <v>235195.25432171952</v>
      </c>
      <c r="T278" s="212">
        <f t="shared" si="288"/>
        <v>271667.65549626324</v>
      </c>
      <c r="U278" s="226">
        <f t="shared" si="288"/>
        <v>308484.94875439466</v>
      </c>
      <c r="V278" s="212">
        <f t="shared" si="288"/>
        <v>336440.23604989477</v>
      </c>
      <c r="W278" s="212">
        <f t="shared" si="288"/>
        <v>355374.242851506</v>
      </c>
      <c r="X278" s="212">
        <f t="shared" si="288"/>
        <v>352463.3890747506</v>
      </c>
      <c r="Y278" s="212">
        <f t="shared" si="288"/>
        <v>366628.9591412307</v>
      </c>
      <c r="Z278" s="212">
        <f t="shared" si="288"/>
        <v>377739.73642202734</v>
      </c>
      <c r="AA278" s="212">
        <f t="shared" si="288"/>
        <v>389134.8282610583</v>
      </c>
      <c r="AB278" s="212">
        <f t="shared" si="288"/>
        <v>400824.4656435158</v>
      </c>
      <c r="AC278" s="212">
        <f t="shared" si="288"/>
        <v>412819.000167825</v>
      </c>
      <c r="AD278" s="212">
        <f t="shared" si="288"/>
        <v>425128.91805163224</v>
      </c>
      <c r="AE278" s="212">
        <f t="shared" si="288"/>
        <v>437764.8537991729</v>
      </c>
      <c r="AF278" s="212">
        <f t="shared" si="288"/>
        <v>449042.29683704453</v>
      </c>
      <c r="AG278" s="212">
        <f t="shared" si="288"/>
        <v>460572.7961473353</v>
      </c>
      <c r="AH278" s="212">
        <f t="shared" si="288"/>
        <v>472364.0476830744</v>
      </c>
      <c r="AI278" s="212">
        <f t="shared" si="288"/>
        <v>484423.80207762035</v>
      </c>
      <c r="AJ278" s="212">
        <f t="shared" si="288"/>
        <v>496759.8747390177</v>
      </c>
      <c r="AK278" s="212">
        <f t="shared" si="288"/>
        <v>509380.15555250004</v>
      </c>
      <c r="AM278" s="205"/>
      <c r="AR278" s="212">
        <f aca="true" t="shared" si="289" ref="AR278:BL278">$AN$242*AR226*$AN$245</f>
        <v>196100.72141789814</v>
      </c>
      <c r="AS278" s="212">
        <f t="shared" si="289"/>
        <v>213634.71671016363</v>
      </c>
      <c r="AT278" s="212">
        <f t="shared" si="289"/>
        <v>233570.05306767958</v>
      </c>
      <c r="AU278" s="212">
        <f t="shared" si="289"/>
        <v>265301.031922011</v>
      </c>
      <c r="AV278" s="226">
        <f t="shared" si="289"/>
        <v>297393.56986232</v>
      </c>
      <c r="AW278" s="212">
        <f t="shared" si="289"/>
        <v>319972.5904664872</v>
      </c>
      <c r="AX278" s="212">
        <f t="shared" si="289"/>
        <v>333334.73218445</v>
      </c>
      <c r="AY278" s="212">
        <f t="shared" si="289"/>
        <v>330154.32128525944</v>
      </c>
      <c r="AZ278" s="212">
        <f t="shared" si="289"/>
        <v>343343.8201215466</v>
      </c>
      <c r="BA278" s="212">
        <f t="shared" si="289"/>
        <v>353670.7894730923</v>
      </c>
      <c r="BB278" s="212">
        <f t="shared" si="289"/>
        <v>364267.9166726015</v>
      </c>
      <c r="BC278" s="212">
        <f t="shared" si="289"/>
        <v>375144.4508918838</v>
      </c>
      <c r="BD278" s="212">
        <f t="shared" si="289"/>
        <v>386309.77552506153</v>
      </c>
      <c r="BE278" s="212">
        <f t="shared" si="289"/>
        <v>397773.4198396442</v>
      </c>
      <c r="BF278" s="212">
        <f t="shared" si="289"/>
        <v>409545.07040619926</v>
      </c>
      <c r="BG278" s="212">
        <f t="shared" si="289"/>
        <v>420047.232570095</v>
      </c>
      <c r="BH278" s="212">
        <f t="shared" si="289"/>
        <v>430789.1286882009</v>
      </c>
      <c r="BI278" s="212">
        <f t="shared" si="289"/>
        <v>441777.7087962751</v>
      </c>
      <c r="BJ278" s="212">
        <f t="shared" si="289"/>
        <v>453019.9917106747</v>
      </c>
      <c r="BK278" s="212">
        <f t="shared" si="289"/>
        <v>464523.07321062987</v>
      </c>
      <c r="BL278" s="212">
        <f t="shared" si="289"/>
        <v>476294.1339417242</v>
      </c>
      <c r="BN278" s="205"/>
      <c r="BQ278" s="212">
        <f t="shared" si="285"/>
        <v>0</v>
      </c>
      <c r="BR278" s="212">
        <f t="shared" si="282"/>
        <v>189.5593362786458</v>
      </c>
      <c r="BS278" s="212">
        <f t="shared" si="282"/>
        <v>1625.2012540399446</v>
      </c>
      <c r="BT278" s="212">
        <f t="shared" si="282"/>
        <v>6366.62357425224</v>
      </c>
      <c r="BU278" s="226">
        <f t="shared" si="282"/>
        <v>11091.378892074688</v>
      </c>
      <c r="BV278" s="212">
        <f t="shared" si="282"/>
        <v>16467.645583407546</v>
      </c>
      <c r="BW278" s="212">
        <f t="shared" si="282"/>
        <v>22039.51066705596</v>
      </c>
      <c r="BX278" s="212">
        <f t="shared" si="282"/>
        <v>22309.06778949115</v>
      </c>
      <c r="BY278" s="212">
        <f t="shared" si="282"/>
        <v>23285.13901968405</v>
      </c>
      <c r="BZ278" s="212">
        <f t="shared" si="282"/>
        <v>24068.946948935045</v>
      </c>
      <c r="CA278" s="212">
        <f t="shared" si="282"/>
        <v>24866.91158845683</v>
      </c>
      <c r="CB278" s="212">
        <f t="shared" si="282"/>
        <v>25680.014751632</v>
      </c>
      <c r="CC278" s="212">
        <f t="shared" si="282"/>
        <v>26509.224642763496</v>
      </c>
      <c r="CD278" s="212">
        <f t="shared" si="282"/>
        <v>27355.498211988015</v>
      </c>
      <c r="CE278" s="212">
        <f t="shared" si="282"/>
        <v>28219.78339297365</v>
      </c>
      <c r="CF278" s="212">
        <f t="shared" si="282"/>
        <v>28995.064266949543</v>
      </c>
      <c r="CG278" s="212">
        <f t="shared" si="282"/>
        <v>29783.66745913442</v>
      </c>
      <c r="CH278" s="212">
        <f t="shared" si="282"/>
        <v>30586.33888679929</v>
      </c>
      <c r="CI278" s="212">
        <f t="shared" si="282"/>
        <v>31403.810366945632</v>
      </c>
      <c r="CJ278" s="212">
        <f t="shared" si="282"/>
        <v>32236.80152838782</v>
      </c>
      <c r="CK278" s="212">
        <f t="shared" si="282"/>
        <v>33086.021610775846</v>
      </c>
    </row>
    <row r="279" spans="5:89" s="193" customFormat="1" ht="12.75">
      <c r="E279" s="211"/>
      <c r="G279" s="196" t="s">
        <v>81</v>
      </c>
      <c r="L279" s="190" t="s">
        <v>184</v>
      </c>
      <c r="M279" s="195"/>
      <c r="Q279" s="212">
        <f aca="true" t="shared" si="290" ref="Q279:AK279">$M$242*Q227*$M$245</f>
        <v>270860.92959089746</v>
      </c>
      <c r="R279" s="226">
        <f t="shared" si="290"/>
        <v>295341.3009410468</v>
      </c>
      <c r="S279" s="212">
        <f t="shared" si="290"/>
        <v>324859.61683532136</v>
      </c>
      <c r="T279" s="212">
        <f t="shared" si="290"/>
        <v>375236.5273082643</v>
      </c>
      <c r="U279" s="226">
        <f t="shared" si="290"/>
        <v>426089.8143579672</v>
      </c>
      <c r="V279" s="212">
        <f t="shared" si="290"/>
        <v>464702.5999157701</v>
      </c>
      <c r="W279" s="212">
        <f t="shared" si="290"/>
        <v>490854.8886278333</v>
      </c>
      <c r="X279" s="212">
        <f t="shared" si="290"/>
        <v>486834.3192277099</v>
      </c>
      <c r="Y279" s="212">
        <f t="shared" si="290"/>
        <v>506400.28231366404</v>
      </c>
      <c r="Z279" s="212">
        <f t="shared" si="290"/>
        <v>521746.862586266</v>
      </c>
      <c r="AA279" s="212">
        <f t="shared" si="290"/>
        <v>537486.1477147178</v>
      </c>
      <c r="AB279" s="212">
        <f t="shared" si="290"/>
        <v>553632.2690808245</v>
      </c>
      <c r="AC279" s="212">
        <f t="shared" si="290"/>
        <v>570199.5246613951</v>
      </c>
      <c r="AD279" s="212">
        <f t="shared" si="290"/>
        <v>587202.3983738828</v>
      </c>
      <c r="AE279" s="212">
        <f t="shared" si="290"/>
        <v>604655.5789541434</v>
      </c>
      <c r="AF279" s="212">
        <f t="shared" si="290"/>
        <v>620232.363590948</v>
      </c>
      <c r="AG279" s="212">
        <f t="shared" si="290"/>
        <v>636158.6780851181</v>
      </c>
      <c r="AH279" s="212">
        <f t="shared" si="290"/>
        <v>652445.152346485</v>
      </c>
      <c r="AI279" s="212">
        <f t="shared" si="290"/>
        <v>669102.4918112663</v>
      </c>
      <c r="AJ279" s="212">
        <f t="shared" si="290"/>
        <v>686141.4913845654</v>
      </c>
      <c r="AK279" s="212">
        <f t="shared" si="290"/>
        <v>703573.0488419821</v>
      </c>
      <c r="AM279" s="205"/>
      <c r="AR279" s="212">
        <f aca="true" t="shared" si="291" ref="AR279:BL279">$AN$242*AR227*$AN$245</f>
        <v>270860.92959089746</v>
      </c>
      <c r="AS279" s="212">
        <f t="shared" si="291"/>
        <v>295079.47519320756</v>
      </c>
      <c r="AT279" s="212">
        <f t="shared" si="291"/>
        <v>322614.83405605017</v>
      </c>
      <c r="AU279" s="212">
        <f t="shared" si="291"/>
        <v>366442.7321237867</v>
      </c>
      <c r="AV279" s="226">
        <f t="shared" si="291"/>
        <v>410770.02779405087</v>
      </c>
      <c r="AW279" s="212">
        <f t="shared" si="291"/>
        <v>441956.93249219225</v>
      </c>
      <c r="AX279" s="212">
        <f t="shared" si="291"/>
        <v>460413.1732488993</v>
      </c>
      <c r="AY279" s="212">
        <f t="shared" si="291"/>
        <v>456020.2824609057</v>
      </c>
      <c r="AZ279" s="212">
        <f t="shared" si="291"/>
        <v>474238.06304734957</v>
      </c>
      <c r="BA279" s="212">
        <f t="shared" si="291"/>
        <v>488502.02137545974</v>
      </c>
      <c r="BB279" s="212">
        <f t="shared" si="291"/>
        <v>503139.13083378325</v>
      </c>
      <c r="BC279" s="212">
        <f t="shared" si="291"/>
        <v>518162.166690369</v>
      </c>
      <c r="BD279" s="212">
        <f t="shared" si="291"/>
        <v>533584.0896055938</v>
      </c>
      <c r="BE279" s="212">
        <f t="shared" si="291"/>
        <v>549418.0617251091</v>
      </c>
      <c r="BF279" s="212">
        <f t="shared" si="291"/>
        <v>565677.4624668228</v>
      </c>
      <c r="BG279" s="212">
        <f t="shared" si="291"/>
        <v>580183.4030154417</v>
      </c>
      <c r="BH279" s="212">
        <f t="shared" si="291"/>
        <v>595020.4721862433</v>
      </c>
      <c r="BI279" s="212">
        <f t="shared" si="291"/>
        <v>610198.26960297</v>
      </c>
      <c r="BJ279" s="212">
        <f t="shared" si="291"/>
        <v>625726.4898915156</v>
      </c>
      <c r="BK279" s="212">
        <f t="shared" si="291"/>
        <v>641614.9339813998</v>
      </c>
      <c r="BL279" s="212">
        <f t="shared" si="291"/>
        <v>657873.520022497</v>
      </c>
      <c r="BN279" s="205"/>
      <c r="BQ279" s="212">
        <f t="shared" si="285"/>
        <v>0</v>
      </c>
      <c r="BR279" s="212">
        <f t="shared" si="282"/>
        <v>261.8257478392334</v>
      </c>
      <c r="BS279" s="212">
        <f t="shared" si="282"/>
        <v>2244.7827792711905</v>
      </c>
      <c r="BT279" s="212">
        <f t="shared" si="282"/>
        <v>8793.795184477582</v>
      </c>
      <c r="BU279" s="226">
        <f t="shared" si="282"/>
        <v>15319.786563916306</v>
      </c>
      <c r="BV279" s="212">
        <f t="shared" si="282"/>
        <v>22745.667423577863</v>
      </c>
      <c r="BW279" s="212">
        <f t="shared" si="282"/>
        <v>30441.715378933994</v>
      </c>
      <c r="BX279" s="212">
        <f t="shared" si="282"/>
        <v>30814.036766804173</v>
      </c>
      <c r="BY279" s="212">
        <f t="shared" si="282"/>
        <v>32162.219266314467</v>
      </c>
      <c r="BZ279" s="212">
        <f t="shared" si="282"/>
        <v>33244.84121080628</v>
      </c>
      <c r="CA279" s="212">
        <f t="shared" si="282"/>
        <v>34347.016880934534</v>
      </c>
      <c r="CB279" s="212">
        <f t="shared" si="282"/>
        <v>35470.10239045543</v>
      </c>
      <c r="CC279" s="212">
        <f t="shared" si="282"/>
        <v>36615.435055801296</v>
      </c>
      <c r="CD279" s="212">
        <f t="shared" si="282"/>
        <v>37784.336648773635</v>
      </c>
      <c r="CE279" s="212">
        <f t="shared" si="282"/>
        <v>38978.11648732063</v>
      </c>
      <c r="CF279" s="212">
        <f t="shared" si="282"/>
        <v>40048.960575506324</v>
      </c>
      <c r="CG279" s="212">
        <f t="shared" si="282"/>
        <v>41138.20589887479</v>
      </c>
      <c r="CH279" s="212">
        <f t="shared" si="282"/>
        <v>42246.88274351496</v>
      </c>
      <c r="CI279" s="212">
        <f t="shared" si="282"/>
        <v>43376.001919750706</v>
      </c>
      <c r="CJ279" s="212">
        <f t="shared" si="282"/>
        <v>44526.557403165614</v>
      </c>
      <c r="CK279" s="212">
        <f t="shared" si="282"/>
        <v>45699.5288194851</v>
      </c>
    </row>
    <row r="280" spans="5:89" s="193" customFormat="1" ht="12.75">
      <c r="E280" s="211"/>
      <c r="G280" s="196" t="s">
        <v>82</v>
      </c>
      <c r="L280" s="190" t="s">
        <v>184</v>
      </c>
      <c r="M280" s="195"/>
      <c r="Q280" s="212">
        <f aca="true" t="shared" si="292" ref="Q280:AK280">$M$242*Q228*$M$245</f>
        <v>26943.990197982508</v>
      </c>
      <c r="R280" s="226">
        <f t="shared" si="292"/>
        <v>29379.184106153974</v>
      </c>
      <c r="S280" s="212">
        <f t="shared" si="292"/>
        <v>32315.52939344787</v>
      </c>
      <c r="T280" s="212">
        <f t="shared" si="292"/>
        <v>37326.791017771975</v>
      </c>
      <c r="U280" s="226">
        <f t="shared" si="292"/>
        <v>42385.44037658457</v>
      </c>
      <c r="V280" s="212">
        <f t="shared" si="292"/>
        <v>46226.461365317155</v>
      </c>
      <c r="W280" s="212">
        <f t="shared" si="292"/>
        <v>48827.969865553474</v>
      </c>
      <c r="X280" s="212">
        <f t="shared" si="292"/>
        <v>48428.022251584596</v>
      </c>
      <c r="Y280" s="212">
        <f t="shared" si="292"/>
        <v>50374.353597336485</v>
      </c>
      <c r="Z280" s="212">
        <f t="shared" si="292"/>
        <v>51900.9602920038</v>
      </c>
      <c r="AA280" s="212">
        <f t="shared" si="292"/>
        <v>53466.63144607177</v>
      </c>
      <c r="AB280" s="212">
        <f t="shared" si="292"/>
        <v>55072.77278391831</v>
      </c>
      <c r="AC280" s="212">
        <f t="shared" si="292"/>
        <v>56720.80660202809</v>
      </c>
      <c r="AD280" s="212">
        <f t="shared" si="292"/>
        <v>58412.173693394725</v>
      </c>
      <c r="AE280" s="212">
        <f t="shared" si="292"/>
        <v>60148.3352253972</v>
      </c>
      <c r="AF280" s="212">
        <f t="shared" si="292"/>
        <v>61697.84158352757</v>
      </c>
      <c r="AG280" s="212">
        <f t="shared" si="292"/>
        <v>63282.11755226361</v>
      </c>
      <c r="AH280" s="212">
        <f t="shared" si="292"/>
        <v>64902.22054578575</v>
      </c>
      <c r="AI280" s="212">
        <f t="shared" si="292"/>
        <v>66559.21549127862</v>
      </c>
      <c r="AJ280" s="212">
        <f t="shared" si="292"/>
        <v>68254.17621588073</v>
      </c>
      <c r="AK280" s="212">
        <f t="shared" si="292"/>
        <v>69988.1867798206</v>
      </c>
      <c r="AM280" s="205"/>
      <c r="AR280" s="212">
        <f aca="true" t="shared" si="293" ref="AR280:BL280">$AN$242*AR228*$AN$245</f>
        <v>26943.990197982508</v>
      </c>
      <c r="AS280" s="212">
        <f t="shared" si="293"/>
        <v>29353.138893970674</v>
      </c>
      <c r="AT280" s="212">
        <f t="shared" si="293"/>
        <v>32092.228804128346</v>
      </c>
      <c r="AU280" s="212">
        <f t="shared" si="293"/>
        <v>36452.02502028574</v>
      </c>
      <c r="AV280" s="226">
        <f t="shared" si="293"/>
        <v>40861.49899590337</v>
      </c>
      <c r="AW280" s="212">
        <f t="shared" si="293"/>
        <v>43963.8277657312</v>
      </c>
      <c r="AX280" s="212">
        <f t="shared" si="293"/>
        <v>45799.769076245786</v>
      </c>
      <c r="AY280" s="212">
        <f t="shared" si="293"/>
        <v>45362.784655822674</v>
      </c>
      <c r="AZ280" s="212">
        <f t="shared" si="293"/>
        <v>47175.005053543864</v>
      </c>
      <c r="BA280" s="212">
        <f t="shared" si="293"/>
        <v>48593.91753367626</v>
      </c>
      <c r="BB280" s="212">
        <f t="shared" si="293"/>
        <v>50049.94935918819</v>
      </c>
      <c r="BC280" s="212">
        <f t="shared" si="293"/>
        <v>51544.37135454518</v>
      </c>
      <c r="BD280" s="212">
        <f t="shared" si="293"/>
        <v>53078.47278618961</v>
      </c>
      <c r="BE280" s="212">
        <f t="shared" si="293"/>
        <v>54653.56296338101</v>
      </c>
      <c r="BF280" s="212">
        <f t="shared" si="293"/>
        <v>56270.97280861589</v>
      </c>
      <c r="BG280" s="212">
        <f t="shared" si="293"/>
        <v>57713.95655878198</v>
      </c>
      <c r="BH280" s="212">
        <f t="shared" si="293"/>
        <v>59189.87944994302</v>
      </c>
      <c r="BI280" s="212">
        <f t="shared" si="293"/>
        <v>60699.69640819289</v>
      </c>
      <c r="BJ280" s="212">
        <f t="shared" si="293"/>
        <v>62244.37180998927</v>
      </c>
      <c r="BK280" s="212">
        <f t="shared" si="293"/>
        <v>63824.88060638546</v>
      </c>
      <c r="BL280" s="212">
        <f t="shared" si="293"/>
        <v>65442.20940898151</v>
      </c>
      <c r="BN280" s="205"/>
      <c r="BQ280" s="212">
        <f t="shared" si="285"/>
        <v>0</v>
      </c>
      <c r="BR280" s="212">
        <f t="shared" si="282"/>
        <v>26.045212183300464</v>
      </c>
      <c r="BS280" s="212">
        <f t="shared" si="282"/>
        <v>223.30058931952226</v>
      </c>
      <c r="BT280" s="212">
        <f t="shared" si="282"/>
        <v>874.7659974862327</v>
      </c>
      <c r="BU280" s="226">
        <f t="shared" si="282"/>
        <v>1523.9413806812008</v>
      </c>
      <c r="BV280" s="212">
        <f t="shared" si="282"/>
        <v>2262.6335995859554</v>
      </c>
      <c r="BW280" s="212">
        <f t="shared" si="282"/>
        <v>3028.200789307688</v>
      </c>
      <c r="BX280" s="212">
        <f t="shared" si="282"/>
        <v>3065.2375957619224</v>
      </c>
      <c r="BY280" s="212">
        <f t="shared" si="282"/>
        <v>3199.348543792621</v>
      </c>
      <c r="BZ280" s="212">
        <f t="shared" si="282"/>
        <v>3307.042758327545</v>
      </c>
      <c r="CA280" s="212">
        <f t="shared" si="282"/>
        <v>3416.6820868835784</v>
      </c>
      <c r="CB280" s="212">
        <f t="shared" si="282"/>
        <v>3528.4014293731307</v>
      </c>
      <c r="CC280" s="212">
        <f t="shared" si="282"/>
        <v>3642.3338158384795</v>
      </c>
      <c r="CD280" s="212">
        <f t="shared" si="282"/>
        <v>3758.6107300137155</v>
      </c>
      <c r="CE280" s="212">
        <f t="shared" si="282"/>
        <v>3877.3624167813105</v>
      </c>
      <c r="CF280" s="212">
        <f t="shared" si="282"/>
        <v>3983.885024745585</v>
      </c>
      <c r="CG280" s="212">
        <f t="shared" si="282"/>
        <v>4092.238102320589</v>
      </c>
      <c r="CH280" s="212">
        <f t="shared" si="282"/>
        <v>4202.52413759286</v>
      </c>
      <c r="CI280" s="212">
        <f t="shared" si="282"/>
        <v>4314.843681289349</v>
      </c>
      <c r="CJ280" s="212">
        <f t="shared" si="282"/>
        <v>4429.295609495268</v>
      </c>
      <c r="CK280" s="212">
        <f t="shared" si="282"/>
        <v>4545.977370839086</v>
      </c>
    </row>
    <row r="281" spans="5:89" s="193" customFormat="1" ht="12.75">
      <c r="E281" s="211"/>
      <c r="G281" s="196" t="s">
        <v>189</v>
      </c>
      <c r="L281" s="190" t="s">
        <v>184</v>
      </c>
      <c r="M281" s="195"/>
      <c r="Q281" s="212">
        <f aca="true" t="shared" si="294" ref="Q281:AK281">$M$242*Q229*$M$245</f>
        <v>408131.0207976083</v>
      </c>
      <c r="R281" s="226">
        <f t="shared" si="294"/>
        <v>445017.84298983647</v>
      </c>
      <c r="S281" s="212">
        <f t="shared" si="294"/>
        <v>489495.7985825921</v>
      </c>
      <c r="T281" s="212">
        <f t="shared" si="294"/>
        <v>565403.3129184768</v>
      </c>
      <c r="U281" s="226">
        <f t="shared" si="294"/>
        <v>642028.6275618861</v>
      </c>
      <c r="V281" s="212">
        <f t="shared" si="294"/>
        <v>700210.055238989</v>
      </c>
      <c r="W281" s="212">
        <f t="shared" si="294"/>
        <v>739616.10876014</v>
      </c>
      <c r="X281" s="212">
        <f t="shared" si="294"/>
        <v>733557.9478583853</v>
      </c>
      <c r="Y281" s="212">
        <f t="shared" si="294"/>
        <v>763039.7801005734</v>
      </c>
      <c r="Z281" s="212">
        <f t="shared" si="294"/>
        <v>786163.8810252302</v>
      </c>
      <c r="AA281" s="212">
        <f t="shared" si="294"/>
        <v>809879.7063965893</v>
      </c>
      <c r="AB281" s="212">
        <f t="shared" si="294"/>
        <v>834208.5492644818</v>
      </c>
      <c r="AC281" s="212">
        <f t="shared" si="294"/>
        <v>859171.9537027888</v>
      </c>
      <c r="AD281" s="212">
        <f t="shared" si="294"/>
        <v>884791.7439591875</v>
      </c>
      <c r="AE281" s="212">
        <f t="shared" si="294"/>
        <v>911090.0529000524</v>
      </c>
      <c r="AF281" s="212">
        <f t="shared" si="294"/>
        <v>934561.0238671955</v>
      </c>
      <c r="AG281" s="212">
        <f t="shared" si="294"/>
        <v>958558.6635484165</v>
      </c>
      <c r="AH281" s="212">
        <f t="shared" si="294"/>
        <v>983098.9890044513</v>
      </c>
      <c r="AI281" s="212">
        <f t="shared" si="294"/>
        <v>1008198.1310985528</v>
      </c>
      <c r="AJ281" s="212">
        <f t="shared" si="294"/>
        <v>1033872.3555048454</v>
      </c>
      <c r="AK281" s="212">
        <f t="shared" si="294"/>
        <v>1060138.0829020941</v>
      </c>
      <c r="AM281" s="205"/>
      <c r="AR281" s="212">
        <f aca="true" t="shared" si="295" ref="AR281:BL281">$AN$242*AR229*$AN$245</f>
        <v>408131.0207976083</v>
      </c>
      <c r="AS281" s="212">
        <f t="shared" si="295"/>
        <v>444623.32610658533</v>
      </c>
      <c r="AT281" s="212">
        <f t="shared" si="295"/>
        <v>486113.3783547778</v>
      </c>
      <c r="AU281" s="212">
        <f t="shared" si="295"/>
        <v>552152.8946660301</v>
      </c>
      <c r="AV281" s="226">
        <f t="shared" si="295"/>
        <v>618944.8991770791</v>
      </c>
      <c r="AW281" s="212">
        <f t="shared" si="295"/>
        <v>665937.0706548744</v>
      </c>
      <c r="AX281" s="212">
        <f t="shared" si="295"/>
        <v>693746.7824191288</v>
      </c>
      <c r="AY281" s="212">
        <f t="shared" si="295"/>
        <v>687127.6107125832</v>
      </c>
      <c r="AZ281" s="212">
        <f t="shared" si="295"/>
        <v>714578.0126537016</v>
      </c>
      <c r="BA281" s="212">
        <f t="shared" si="295"/>
        <v>736070.8277372792</v>
      </c>
      <c r="BB281" s="212">
        <f t="shared" si="295"/>
        <v>758125.9038746043</v>
      </c>
      <c r="BC281" s="212">
        <f t="shared" si="295"/>
        <v>780762.4907344566</v>
      </c>
      <c r="BD281" s="212">
        <f t="shared" si="295"/>
        <v>804000.1173333146</v>
      </c>
      <c r="BE281" s="212">
        <f t="shared" si="295"/>
        <v>827858.6162839779</v>
      </c>
      <c r="BF281" s="212">
        <f t="shared" si="295"/>
        <v>852358.1475833056</v>
      </c>
      <c r="BG281" s="212">
        <f t="shared" si="295"/>
        <v>874215.5794863754</v>
      </c>
      <c r="BH281" s="212">
        <f t="shared" si="295"/>
        <v>896571.9532737057</v>
      </c>
      <c r="BI281" s="212">
        <f t="shared" si="295"/>
        <v>919441.733579427</v>
      </c>
      <c r="BJ281" s="212">
        <f t="shared" si="295"/>
        <v>942839.5281861081</v>
      </c>
      <c r="BK281" s="212">
        <f t="shared" si="295"/>
        <v>966780.1050536465</v>
      </c>
      <c r="BL281" s="212">
        <f t="shared" si="295"/>
        <v>991278.4087688129</v>
      </c>
      <c r="BN281" s="205"/>
      <c r="BQ281" s="212">
        <f t="shared" si="285"/>
        <v>0</v>
      </c>
      <c r="BR281" s="212">
        <f t="shared" si="282"/>
        <v>394.5168832511408</v>
      </c>
      <c r="BS281" s="212">
        <f t="shared" si="282"/>
        <v>3382.420227814291</v>
      </c>
      <c r="BT281" s="212">
        <f t="shared" si="282"/>
        <v>13250.418252446689</v>
      </c>
      <c r="BU281" s="226">
        <f t="shared" si="282"/>
        <v>23083.728384807007</v>
      </c>
      <c r="BV281" s="212">
        <f t="shared" si="282"/>
        <v>34272.984584114514</v>
      </c>
      <c r="BW281" s="212">
        <f t="shared" si="282"/>
        <v>45869.32634101121</v>
      </c>
      <c r="BX281" s="212">
        <f t="shared" si="282"/>
        <v>46430.3371458021</v>
      </c>
      <c r="BY281" s="212">
        <f t="shared" si="282"/>
        <v>48461.76744687185</v>
      </c>
      <c r="BZ281" s="212">
        <f t="shared" si="282"/>
        <v>50093.05328795093</v>
      </c>
      <c r="CA281" s="212">
        <f t="shared" si="282"/>
        <v>51753.802521985024</v>
      </c>
      <c r="CB281" s="212">
        <f t="shared" si="282"/>
        <v>53446.058530025184</v>
      </c>
      <c r="CC281" s="212">
        <f t="shared" si="282"/>
        <v>55171.836369474186</v>
      </c>
      <c r="CD281" s="212">
        <f t="shared" si="282"/>
        <v>56933.12767520966</v>
      </c>
      <c r="CE281" s="212">
        <f t="shared" si="282"/>
        <v>58731.905316746794</v>
      </c>
      <c r="CF281" s="212">
        <f t="shared" si="282"/>
        <v>60345.44438082003</v>
      </c>
      <c r="CG281" s="212">
        <f t="shared" si="282"/>
        <v>61986.710274710786</v>
      </c>
      <c r="CH281" s="212">
        <f t="shared" si="282"/>
        <v>63657.25542502431</v>
      </c>
      <c r="CI281" s="212">
        <f t="shared" si="282"/>
        <v>65358.60291244474</v>
      </c>
      <c r="CJ281" s="212">
        <f t="shared" si="282"/>
        <v>67092.2504511989</v>
      </c>
      <c r="CK281" s="212">
        <f t="shared" si="282"/>
        <v>68859.67413328122</v>
      </c>
    </row>
    <row r="282" spans="5:89" s="193" customFormat="1" ht="12.75">
      <c r="E282" s="211"/>
      <c r="G282" s="196" t="s">
        <v>84</v>
      </c>
      <c r="L282" s="190" t="s">
        <v>184</v>
      </c>
      <c r="M282" s="195"/>
      <c r="Q282" s="212">
        <f aca="true" t="shared" si="296" ref="Q282:AK282">$M$242*Q230*$M$245</f>
        <v>230420.55270887518</v>
      </c>
      <c r="R282" s="226">
        <f t="shared" si="296"/>
        <v>251245.9286888654</v>
      </c>
      <c r="S282" s="212">
        <f t="shared" si="296"/>
        <v>276357.0684670045</v>
      </c>
      <c r="T282" s="212">
        <f t="shared" si="296"/>
        <v>319212.54995882907</v>
      </c>
      <c r="U282" s="226">
        <f t="shared" si="296"/>
        <v>362473.28352698754</v>
      </c>
      <c r="V282" s="212">
        <f t="shared" si="296"/>
        <v>395321.06044075824</v>
      </c>
      <c r="W282" s="212">
        <f t="shared" si="296"/>
        <v>417568.731334959</v>
      </c>
      <c r="X282" s="212">
        <f t="shared" si="296"/>
        <v>414148.44541635306</v>
      </c>
      <c r="Y282" s="212">
        <f t="shared" si="296"/>
        <v>430793.14952837</v>
      </c>
      <c r="Z282" s="212">
        <f t="shared" si="296"/>
        <v>443848.43776778</v>
      </c>
      <c r="AA282" s="212">
        <f t="shared" si="296"/>
        <v>457237.7988100712</v>
      </c>
      <c r="AB282" s="212">
        <f t="shared" si="296"/>
        <v>470973.25417788536</v>
      </c>
      <c r="AC282" s="212">
        <f t="shared" si="296"/>
        <v>485066.9671157709</v>
      </c>
      <c r="AD282" s="212">
        <f t="shared" si="296"/>
        <v>499531.2590473849</v>
      </c>
      <c r="AE282" s="212">
        <f t="shared" si="296"/>
        <v>514378.62563477247</v>
      </c>
      <c r="AF282" s="212">
        <f t="shared" si="296"/>
        <v>527629.7480127973</v>
      </c>
      <c r="AG282" s="212">
        <f t="shared" si="296"/>
        <v>541178.2143564066</v>
      </c>
      <c r="AH282" s="212">
        <f t="shared" si="296"/>
        <v>555033.0674969236</v>
      </c>
      <c r="AI282" s="212">
        <f t="shared" si="296"/>
        <v>569203.4145157173</v>
      </c>
      <c r="AJ282" s="212">
        <f t="shared" si="296"/>
        <v>583698.4386050631</v>
      </c>
      <c r="AK282" s="212">
        <f t="shared" si="296"/>
        <v>598527.4104688969</v>
      </c>
      <c r="AM282" s="205"/>
      <c r="AR282" s="212">
        <f aca="true" t="shared" si="297" ref="AR282:BL282">$AN$242*AR230*$AN$245</f>
        <v>230420.55270887518</v>
      </c>
      <c r="AS282" s="212">
        <f t="shared" si="297"/>
        <v>251023.19433724938</v>
      </c>
      <c r="AT282" s="212">
        <f t="shared" si="297"/>
        <v>274447.43871902925</v>
      </c>
      <c r="AU282" s="212">
        <f t="shared" si="297"/>
        <v>311731.69566996425</v>
      </c>
      <c r="AV282" s="226">
        <f t="shared" si="297"/>
        <v>349440.78861245257</v>
      </c>
      <c r="AW282" s="212">
        <f t="shared" si="297"/>
        <v>375971.39171079756</v>
      </c>
      <c r="AX282" s="212">
        <f t="shared" si="297"/>
        <v>391672.05847920745</v>
      </c>
      <c r="AY282" s="212">
        <f t="shared" si="297"/>
        <v>387935.039910721</v>
      </c>
      <c r="AZ282" s="212">
        <f t="shared" si="297"/>
        <v>403432.84935188695</v>
      </c>
      <c r="BA282" s="212">
        <f t="shared" si="297"/>
        <v>415567.1544609454</v>
      </c>
      <c r="BB282" s="212">
        <f t="shared" si="297"/>
        <v>428018.89807913266</v>
      </c>
      <c r="BC282" s="212">
        <f t="shared" si="297"/>
        <v>440798.9480873263</v>
      </c>
      <c r="BD282" s="212">
        <f t="shared" si="297"/>
        <v>453918.33007913164</v>
      </c>
      <c r="BE282" s="212">
        <f t="shared" si="297"/>
        <v>467388.24105103395</v>
      </c>
      <c r="BF282" s="212">
        <f t="shared" si="297"/>
        <v>481220.06283236004</v>
      </c>
      <c r="BG282" s="212">
        <f t="shared" si="297"/>
        <v>493560.2214658642</v>
      </c>
      <c r="BH282" s="212">
        <f t="shared" si="297"/>
        <v>506182.0701912546</v>
      </c>
      <c r="BI282" s="212">
        <f t="shared" si="297"/>
        <v>519093.7753786743</v>
      </c>
      <c r="BJ282" s="212">
        <f t="shared" si="297"/>
        <v>532303.584216286</v>
      </c>
      <c r="BK282" s="212">
        <f t="shared" si="297"/>
        <v>545819.8343244196</v>
      </c>
      <c r="BL282" s="212">
        <f t="shared" si="297"/>
        <v>559650.9630424432</v>
      </c>
      <c r="BN282" s="205"/>
      <c r="BQ282" s="212">
        <f t="shared" si="285"/>
        <v>0</v>
      </c>
      <c r="BR282" s="212">
        <f t="shared" si="282"/>
        <v>222.73435161600355</v>
      </c>
      <c r="BS282" s="212">
        <f t="shared" si="282"/>
        <v>1909.6297479752684</v>
      </c>
      <c r="BT282" s="212">
        <f t="shared" si="282"/>
        <v>7480.854288864823</v>
      </c>
      <c r="BU282" s="226">
        <f t="shared" si="282"/>
        <v>13032.494914534967</v>
      </c>
      <c r="BV282" s="212">
        <f t="shared" si="282"/>
        <v>19349.668729960686</v>
      </c>
      <c r="BW282" s="212">
        <f t="shared" si="282"/>
        <v>25896.67285575153</v>
      </c>
      <c r="BX282" s="212">
        <f t="shared" si="282"/>
        <v>26213.40550563205</v>
      </c>
      <c r="BY282" s="212">
        <f t="shared" si="282"/>
        <v>27360.300176483055</v>
      </c>
      <c r="BZ282" s="212">
        <f t="shared" si="282"/>
        <v>28281.28330683458</v>
      </c>
      <c r="CA282" s="212">
        <f t="shared" si="282"/>
        <v>29218.900730938534</v>
      </c>
      <c r="CB282" s="212">
        <f t="shared" si="282"/>
        <v>30174.306090559054</v>
      </c>
      <c r="CC282" s="212">
        <f t="shared" si="282"/>
        <v>31148.637036639266</v>
      </c>
      <c r="CD282" s="212">
        <f t="shared" si="282"/>
        <v>32143.017996350944</v>
      </c>
      <c r="CE282" s="212">
        <f t="shared" si="282"/>
        <v>33158.56280241243</v>
      </c>
      <c r="CF282" s="212">
        <f t="shared" si="282"/>
        <v>34069.526546933106</v>
      </c>
      <c r="CG282" s="212">
        <f t="shared" si="282"/>
        <v>34996.144165151985</v>
      </c>
      <c r="CH282" s="212">
        <f t="shared" si="282"/>
        <v>35939.29211824929</v>
      </c>
      <c r="CI282" s="212">
        <f t="shared" si="282"/>
        <v>36899.83029943134</v>
      </c>
      <c r="CJ282" s="212">
        <f t="shared" si="282"/>
        <v>37878.604280643514</v>
      </c>
      <c r="CK282" s="212">
        <f t="shared" si="282"/>
        <v>38876.4474264537</v>
      </c>
    </row>
    <row r="283" spans="5:89" s="193" customFormat="1" ht="12.75">
      <c r="E283" s="211"/>
      <c r="G283" s="196" t="s">
        <v>190</v>
      </c>
      <c r="L283" s="190" t="s">
        <v>184</v>
      </c>
      <c r="M283" s="195"/>
      <c r="Q283" s="212">
        <f aca="true" t="shared" si="298" ref="Q283:AK283">$M$242*Q231*$M$245</f>
        <v>167009.9450626523</v>
      </c>
      <c r="R283" s="226">
        <f t="shared" si="298"/>
        <v>182104.2795629329</v>
      </c>
      <c r="S283" s="212">
        <f t="shared" si="298"/>
        <v>200304.95665316732</v>
      </c>
      <c r="T283" s="212">
        <f t="shared" si="298"/>
        <v>231366.8195184389</v>
      </c>
      <c r="U283" s="226">
        <f t="shared" si="298"/>
        <v>262722.4110733145</v>
      </c>
      <c r="V283" s="212">
        <f t="shared" si="298"/>
        <v>286530.6406487824</v>
      </c>
      <c r="W283" s="212">
        <f t="shared" si="298"/>
        <v>302655.86146841495</v>
      </c>
      <c r="X283" s="212">
        <f t="shared" si="298"/>
        <v>300176.8214841357</v>
      </c>
      <c r="Y283" s="212">
        <f t="shared" si="298"/>
        <v>312240.9845401329</v>
      </c>
      <c r="Z283" s="212">
        <f t="shared" si="298"/>
        <v>321703.52139288874</v>
      </c>
      <c r="AA283" s="212">
        <f t="shared" si="298"/>
        <v>331408.19584925973</v>
      </c>
      <c r="AB283" s="212">
        <f t="shared" si="298"/>
        <v>341363.7211677312</v>
      </c>
      <c r="AC283" s="212">
        <f t="shared" si="298"/>
        <v>351578.91332751885</v>
      </c>
      <c r="AD283" s="212">
        <f t="shared" si="298"/>
        <v>362062.7029568293</v>
      </c>
      <c r="AE283" s="212">
        <f t="shared" si="298"/>
        <v>372824.1469727042</v>
      </c>
      <c r="AF283" s="212">
        <f t="shared" si="298"/>
        <v>382428.62536821107</v>
      </c>
      <c r="AG283" s="212">
        <f t="shared" si="298"/>
        <v>392248.62012618384</v>
      </c>
      <c r="AH283" s="212">
        <f t="shared" si="298"/>
        <v>402290.6855350317</v>
      </c>
      <c r="AI283" s="212">
        <f t="shared" si="298"/>
        <v>412561.4224519727</v>
      </c>
      <c r="AJ283" s="212">
        <f t="shared" si="298"/>
        <v>423067.4868997184</v>
      </c>
      <c r="AK283" s="212">
        <f t="shared" si="298"/>
        <v>433815.59832989343</v>
      </c>
      <c r="AM283" s="205"/>
      <c r="AR283" s="212">
        <f aca="true" t="shared" si="299" ref="AR283:BL283">$AN$242*AR231*$AN$245</f>
        <v>167009.9450626523</v>
      </c>
      <c r="AS283" s="212">
        <f t="shared" si="299"/>
        <v>181942.84061406465</v>
      </c>
      <c r="AT283" s="212">
        <f t="shared" si="299"/>
        <v>198920.8476596336</v>
      </c>
      <c r="AU283" s="212">
        <f t="shared" si="299"/>
        <v>225944.6596932104</v>
      </c>
      <c r="AV283" s="226">
        <f t="shared" si="299"/>
        <v>253276.39493405216</v>
      </c>
      <c r="AW283" s="212">
        <f t="shared" si="299"/>
        <v>272505.9059904371</v>
      </c>
      <c r="AX283" s="212">
        <f t="shared" si="299"/>
        <v>283885.8261564653</v>
      </c>
      <c r="AY283" s="212">
        <f t="shared" si="299"/>
        <v>281177.2167963895</v>
      </c>
      <c r="AZ283" s="212">
        <f t="shared" si="299"/>
        <v>292410.1049781633</v>
      </c>
      <c r="BA283" s="212">
        <f t="shared" si="299"/>
        <v>301205.1087476273</v>
      </c>
      <c r="BB283" s="212">
        <f t="shared" si="299"/>
        <v>310230.19350312994</v>
      </c>
      <c r="BC283" s="212">
        <f t="shared" si="299"/>
        <v>319493.23633795587</v>
      </c>
      <c r="BD283" s="212">
        <f t="shared" si="299"/>
        <v>329002.228656346</v>
      </c>
      <c r="BE283" s="212">
        <f t="shared" si="299"/>
        <v>338765.28609618614</v>
      </c>
      <c r="BF283" s="212">
        <f t="shared" si="299"/>
        <v>348790.6582631092</v>
      </c>
      <c r="BG283" s="212">
        <f t="shared" si="299"/>
        <v>357734.86567524285</v>
      </c>
      <c r="BH283" s="212">
        <f t="shared" si="299"/>
        <v>366883.2434455226</v>
      </c>
      <c r="BI283" s="212">
        <f t="shared" si="299"/>
        <v>376241.7105990034</v>
      </c>
      <c r="BJ283" s="212">
        <f t="shared" si="299"/>
        <v>385816.24473809334</v>
      </c>
      <c r="BK283" s="212">
        <f t="shared" si="299"/>
        <v>395612.8890108185</v>
      </c>
      <c r="BL283" s="212">
        <f t="shared" si="299"/>
        <v>405637.7588420826</v>
      </c>
      <c r="BN283" s="205"/>
      <c r="BQ283" s="212">
        <f t="shared" si="285"/>
        <v>0</v>
      </c>
      <c r="BR283" s="212">
        <f t="shared" si="282"/>
        <v>161.43894886825</v>
      </c>
      <c r="BS283" s="212">
        <f t="shared" si="282"/>
        <v>1384.1089935337077</v>
      </c>
      <c r="BT283" s="212">
        <f t="shared" si="282"/>
        <v>5422.159825228504</v>
      </c>
      <c r="BU283" s="226">
        <f t="shared" si="282"/>
        <v>9446.016139262327</v>
      </c>
      <c r="BV283" s="212">
        <f t="shared" si="282"/>
        <v>14024.734658345347</v>
      </c>
      <c r="BW283" s="212">
        <f t="shared" si="282"/>
        <v>18770.035311949672</v>
      </c>
      <c r="BX283" s="212">
        <f t="shared" si="282"/>
        <v>18999.604687746207</v>
      </c>
      <c r="BY283" s="212">
        <f t="shared" si="282"/>
        <v>19830.879561969603</v>
      </c>
      <c r="BZ283" s="212">
        <f t="shared" si="282"/>
        <v>20498.412645261444</v>
      </c>
      <c r="CA283" s="212">
        <f t="shared" si="282"/>
        <v>21178.002346129797</v>
      </c>
      <c r="CB283" s="212">
        <f t="shared" si="282"/>
        <v>21870.48482977535</v>
      </c>
      <c r="CC283" s="212">
        <f t="shared" si="282"/>
        <v>22576.684671172872</v>
      </c>
      <c r="CD283" s="212">
        <f t="shared" si="282"/>
        <v>23297.416860643134</v>
      </c>
      <c r="CE283" s="212">
        <f t="shared" si="282"/>
        <v>24033.488709594996</v>
      </c>
      <c r="CF283" s="212">
        <f t="shared" si="282"/>
        <v>24693.75969296822</v>
      </c>
      <c r="CG283" s="212">
        <f t="shared" si="282"/>
        <v>25365.376680661226</v>
      </c>
      <c r="CH283" s="212">
        <f t="shared" si="282"/>
        <v>26048.974936028302</v>
      </c>
      <c r="CI283" s="212">
        <f t="shared" si="282"/>
        <v>26745.177713879384</v>
      </c>
      <c r="CJ283" s="212">
        <f t="shared" si="282"/>
        <v>27454.59788889991</v>
      </c>
      <c r="CK283" s="212">
        <f t="shared" si="282"/>
        <v>28177.839487810852</v>
      </c>
    </row>
    <row r="284" spans="5:13" ht="12.75">
      <c r="E284" s="18"/>
      <c r="L284" s="4"/>
      <c r="M284" s="63"/>
    </row>
    <row r="285" spans="4:13" ht="12.75">
      <c r="D285" t="s">
        <v>412</v>
      </c>
      <c r="E285" s="18"/>
      <c r="L285" s="4"/>
      <c r="M285" s="63"/>
    </row>
    <row r="286" spans="5:13" ht="12.75">
      <c r="E286" s="18"/>
      <c r="L286" s="4"/>
      <c r="M286" s="63"/>
    </row>
    <row r="287" spans="5:40" ht="12.75">
      <c r="E287" s="18"/>
      <c r="F287" t="s">
        <v>230</v>
      </c>
      <c r="G287" s="67"/>
      <c r="L287" s="64" t="s">
        <v>64</v>
      </c>
      <c r="M287" s="14">
        <f>'Data &amp; Assumptions'!D75</f>
        <v>0.009</v>
      </c>
      <c r="AN287" s="66">
        <f>M287</f>
        <v>0.009</v>
      </c>
    </row>
    <row r="288" spans="5:13" ht="12.75">
      <c r="E288" s="18"/>
      <c r="L288" s="4"/>
      <c r="M288" s="63"/>
    </row>
    <row r="289" spans="5:73" s="193" customFormat="1" ht="25.5" customHeight="1">
      <c r="E289" s="211"/>
      <c r="F289" s="427" t="s">
        <v>406</v>
      </c>
      <c r="G289" s="427"/>
      <c r="H289" s="427"/>
      <c r="I289" s="427"/>
      <c r="J289" s="427"/>
      <c r="K289" s="427"/>
      <c r="M289" s="195"/>
      <c r="R289" s="221"/>
      <c r="U289" s="221"/>
      <c r="AM289" s="205"/>
      <c r="AV289" s="221"/>
      <c r="BN289" s="205"/>
      <c r="BU289" s="221"/>
    </row>
    <row r="290" spans="5:89" s="193" customFormat="1" ht="12.75">
      <c r="E290" s="211"/>
      <c r="G290" s="196" t="s">
        <v>233</v>
      </c>
      <c r="L290" s="190" t="s">
        <v>184</v>
      </c>
      <c r="M290" s="195"/>
      <c r="Q290" s="198">
        <f>Q251*$M$287</f>
        <v>44343.37200753474</v>
      </c>
      <c r="R290" s="248">
        <f aca="true" t="shared" si="300" ref="R290:AK290">R251*$M$287</f>
        <v>48827.485217888374</v>
      </c>
      <c r="S290" s="198">
        <f t="shared" si="300"/>
        <v>54236.75835308731</v>
      </c>
      <c r="T290" s="198">
        <f t="shared" si="300"/>
        <v>63264.62352610983</v>
      </c>
      <c r="U290" s="248">
        <f t="shared" si="300"/>
        <v>72546.22117872455</v>
      </c>
      <c r="V290" s="198">
        <f t="shared" si="300"/>
        <v>79899.96121450409</v>
      </c>
      <c r="W290" s="198">
        <f t="shared" si="300"/>
        <v>85228.0221424329</v>
      </c>
      <c r="X290" s="198">
        <f t="shared" si="300"/>
        <v>85362.73053246096</v>
      </c>
      <c r="Y290" s="198">
        <f t="shared" si="300"/>
        <v>89668.28732762681</v>
      </c>
      <c r="Z290" s="198">
        <f t="shared" si="300"/>
        <v>93295.90997312998</v>
      </c>
      <c r="AA290" s="198">
        <f t="shared" si="300"/>
        <v>97057.22227255079</v>
      </c>
      <c r="AB290" s="198">
        <f t="shared" si="300"/>
        <v>100957.7819696303</v>
      </c>
      <c r="AC290" s="198">
        <f t="shared" si="300"/>
        <v>105003.33168261674</v>
      </c>
      <c r="AD290" s="198">
        <f t="shared" si="300"/>
        <v>109199.80733024457</v>
      </c>
      <c r="AE290" s="198">
        <f t="shared" si="300"/>
        <v>113553.34678811673</v>
      </c>
      <c r="AF290" s="198">
        <f t="shared" si="300"/>
        <v>117626.21475702774</v>
      </c>
      <c r="AG290" s="198">
        <f t="shared" si="300"/>
        <v>121835.25503203979</v>
      </c>
      <c r="AH290" s="198">
        <f t="shared" si="300"/>
        <v>126185.47085679915</v>
      </c>
      <c r="AI290" s="198">
        <f t="shared" si="300"/>
        <v>130682.0126017101</v>
      </c>
      <c r="AJ290" s="198">
        <f t="shared" si="300"/>
        <v>135330.18402592797</v>
      </c>
      <c r="AK290" s="198">
        <f t="shared" si="300"/>
        <v>140135.4486662484</v>
      </c>
      <c r="AM290" s="205"/>
      <c r="AR290" s="198">
        <f>AR251*$AN$287</f>
        <v>44343.37200753474</v>
      </c>
      <c r="AS290" s="198">
        <f aca="true" t="shared" si="301" ref="AS290:BL290">AS251*$AN$287</f>
        <v>48784.198712440106</v>
      </c>
      <c r="AT290" s="198">
        <f t="shared" si="301"/>
        <v>53861.44272791247</v>
      </c>
      <c r="AU290" s="198">
        <f t="shared" si="301"/>
        <v>61778.29094685791</v>
      </c>
      <c r="AV290" s="248">
        <f t="shared" si="301"/>
        <v>69932.17648377705</v>
      </c>
      <c r="AW290" s="198">
        <f t="shared" si="301"/>
        <v>75981.14986350352</v>
      </c>
      <c r="AX290" s="198">
        <f t="shared" si="301"/>
        <v>79931.89648933889</v>
      </c>
      <c r="AY290" s="198">
        <f t="shared" si="301"/>
        <v>79958.19923831371</v>
      </c>
      <c r="AZ290" s="198">
        <f t="shared" si="301"/>
        <v>83971.6086161031</v>
      </c>
      <c r="BA290" s="198">
        <f t="shared" si="301"/>
        <v>87349.35651633386</v>
      </c>
      <c r="BB290" s="198">
        <f t="shared" si="301"/>
        <v>90852.90993370579</v>
      </c>
      <c r="BC290" s="198">
        <f t="shared" si="301"/>
        <v>94487.41237885208</v>
      </c>
      <c r="BD290" s="198">
        <f t="shared" si="301"/>
        <v>98258.18313746029</v>
      </c>
      <c r="BE290" s="198">
        <f t="shared" si="301"/>
        <v>102170.72497690824</v>
      </c>
      <c r="BF290" s="198">
        <f t="shared" si="301"/>
        <v>106230.73207771318</v>
      </c>
      <c r="BG290" s="198">
        <f t="shared" si="301"/>
        <v>110028.29339721013</v>
      </c>
      <c r="BH290" s="198">
        <f t="shared" si="301"/>
        <v>113953.80078534893</v>
      </c>
      <c r="BI290" s="198">
        <f t="shared" si="301"/>
        <v>118011.88735672057</v>
      </c>
      <c r="BJ290" s="198">
        <f t="shared" si="301"/>
        <v>122207.32643248908</v>
      </c>
      <c r="BK290" s="198">
        <f t="shared" si="301"/>
        <v>126545.0372303234</v>
      </c>
      <c r="BL290" s="198">
        <f t="shared" si="301"/>
        <v>131030.09068268769</v>
      </c>
      <c r="BN290" s="205"/>
      <c r="BQ290" s="212">
        <f>Q290-AR290</f>
        <v>0</v>
      </c>
      <c r="BR290" s="212">
        <f aca="true" t="shared" si="302" ref="BR290:CK298">R290-AS290</f>
        <v>43.286505448268144</v>
      </c>
      <c r="BS290" s="212">
        <f t="shared" si="302"/>
        <v>375.3156251748369</v>
      </c>
      <c r="BT290" s="212">
        <f t="shared" si="302"/>
        <v>1486.3325792519245</v>
      </c>
      <c r="BU290" s="226">
        <f t="shared" si="302"/>
        <v>2614.044694947501</v>
      </c>
      <c r="BV290" s="212">
        <f t="shared" si="302"/>
        <v>3918.811351000564</v>
      </c>
      <c r="BW290" s="212">
        <f t="shared" si="302"/>
        <v>5296.125653094015</v>
      </c>
      <c r="BX290" s="212">
        <f t="shared" si="302"/>
        <v>5404.531294147251</v>
      </c>
      <c r="BY290" s="212">
        <f t="shared" si="302"/>
        <v>5696.678711523709</v>
      </c>
      <c r="BZ290" s="212">
        <f t="shared" si="302"/>
        <v>5946.553456796115</v>
      </c>
      <c r="CA290" s="212">
        <f t="shared" si="302"/>
        <v>6204.312338845004</v>
      </c>
      <c r="CB290" s="212">
        <f t="shared" si="302"/>
        <v>6470.369590778224</v>
      </c>
      <c r="CC290" s="212">
        <f t="shared" si="302"/>
        <v>6745.148545156451</v>
      </c>
      <c r="CD290" s="212">
        <f t="shared" si="302"/>
        <v>7029.082353336329</v>
      </c>
      <c r="CE290" s="212">
        <f t="shared" si="302"/>
        <v>7322.614710403548</v>
      </c>
      <c r="CF290" s="212">
        <f t="shared" si="302"/>
        <v>7597.921359817614</v>
      </c>
      <c r="CG290" s="212">
        <f t="shared" si="302"/>
        <v>7881.454246690861</v>
      </c>
      <c r="CH290" s="212">
        <f t="shared" si="302"/>
        <v>8173.583500078574</v>
      </c>
      <c r="CI290" s="212">
        <f t="shared" si="302"/>
        <v>8474.686169221022</v>
      </c>
      <c r="CJ290" s="212">
        <f t="shared" si="302"/>
        <v>8785.146795604567</v>
      </c>
      <c r="CK290" s="212">
        <f t="shared" si="302"/>
        <v>9105.357983560723</v>
      </c>
    </row>
    <row r="291" spans="5:89" s="193" customFormat="1" ht="12.75">
      <c r="E291" s="211"/>
      <c r="G291" s="196" t="s">
        <v>73</v>
      </c>
      <c r="L291" s="190" t="s">
        <v>184</v>
      </c>
      <c r="M291" s="195"/>
      <c r="Q291" s="198">
        <f aca="true" t="shared" si="303" ref="Q291:AK291">Q252*$M$287</f>
        <v>2390.717252486801</v>
      </c>
      <c r="R291" s="248">
        <f t="shared" si="303"/>
        <v>2606.7899294228328</v>
      </c>
      <c r="S291" s="198">
        <f t="shared" si="303"/>
        <v>2867.329340475519</v>
      </c>
      <c r="T291" s="198">
        <f t="shared" si="303"/>
        <v>3311.9743070882882</v>
      </c>
      <c r="U291" s="248">
        <f t="shared" si="303"/>
        <v>3760.823946934884</v>
      </c>
      <c r="V291" s="198">
        <f t="shared" si="303"/>
        <v>4101.6344607991</v>
      </c>
      <c r="W291" s="198">
        <f t="shared" si="303"/>
        <v>4332.46408953285</v>
      </c>
      <c r="X291" s="198">
        <f t="shared" si="303"/>
        <v>4296.97707911677</v>
      </c>
      <c r="Y291" s="198">
        <f t="shared" si="303"/>
        <v>4469.673398153151</v>
      </c>
      <c r="Z291" s="198">
        <f t="shared" si="303"/>
        <v>4605.127907150757</v>
      </c>
      <c r="AA291" s="198">
        <f t="shared" si="303"/>
        <v>4744.048572287874</v>
      </c>
      <c r="AB291" s="198">
        <f t="shared" si="303"/>
        <v>4886.560122288734</v>
      </c>
      <c r="AC291" s="198">
        <f t="shared" si="303"/>
        <v>5032.788756306379</v>
      </c>
      <c r="AD291" s="198">
        <f t="shared" si="303"/>
        <v>5182.862314673432</v>
      </c>
      <c r="AE291" s="198">
        <f t="shared" si="303"/>
        <v>5336.910445524282</v>
      </c>
      <c r="AF291" s="198">
        <f t="shared" si="303"/>
        <v>5474.396822115102</v>
      </c>
      <c r="AG291" s="198">
        <f t="shared" si="303"/>
        <v>5614.968276577829</v>
      </c>
      <c r="AH291" s="198">
        <f t="shared" si="303"/>
        <v>5758.718632369918</v>
      </c>
      <c r="AI291" s="198">
        <f t="shared" si="303"/>
        <v>5905.742379571521</v>
      </c>
      <c r="AJ291" s="198">
        <f t="shared" si="303"/>
        <v>6056.134797948542</v>
      </c>
      <c r="AK291" s="198">
        <f t="shared" si="303"/>
        <v>6209.992075238685</v>
      </c>
      <c r="AM291" s="205"/>
      <c r="AR291" s="198">
        <f aca="true" t="shared" si="304" ref="AR291:BL291">AR252*$AN$287</f>
        <v>2390.717252486801</v>
      </c>
      <c r="AS291" s="198">
        <f t="shared" si="304"/>
        <v>2604.478959976446</v>
      </c>
      <c r="AT291" s="198">
        <f t="shared" si="304"/>
        <v>2847.5160697812394</v>
      </c>
      <c r="AU291" s="198">
        <f t="shared" si="304"/>
        <v>3234.3570667793247</v>
      </c>
      <c r="AV291" s="248">
        <f t="shared" si="304"/>
        <v>3625.6059289723516</v>
      </c>
      <c r="AW291" s="198">
        <f t="shared" si="304"/>
        <v>3900.8729127566917</v>
      </c>
      <c r="AX291" s="198">
        <f t="shared" si="304"/>
        <v>4063.774418188844</v>
      </c>
      <c r="AY291" s="198">
        <f t="shared" si="304"/>
        <v>4025.001163548486</v>
      </c>
      <c r="AZ291" s="198">
        <f t="shared" si="304"/>
        <v>4185.797932635198</v>
      </c>
      <c r="BA291" s="198">
        <f t="shared" si="304"/>
        <v>4311.696825898464</v>
      </c>
      <c r="BB291" s="198">
        <f t="shared" si="304"/>
        <v>4440.889286994383</v>
      </c>
      <c r="BC291" s="198">
        <f t="shared" si="304"/>
        <v>4573.4880750931015</v>
      </c>
      <c r="BD291" s="198">
        <f t="shared" si="304"/>
        <v>4709.607585705555</v>
      </c>
      <c r="BE291" s="198">
        <f t="shared" si="304"/>
        <v>4849.363992724865</v>
      </c>
      <c r="BF291" s="198">
        <f t="shared" si="304"/>
        <v>4992.87538776817</v>
      </c>
      <c r="BG291" s="198">
        <f t="shared" si="304"/>
        <v>5120.9101042756565</v>
      </c>
      <c r="BH291" s="198">
        <f t="shared" si="304"/>
        <v>5251.867482648861</v>
      </c>
      <c r="BI291" s="198">
        <f t="shared" si="304"/>
        <v>5385.832252664813</v>
      </c>
      <c r="BJ291" s="198">
        <f t="shared" si="304"/>
        <v>5522.889982623484</v>
      </c>
      <c r="BK291" s="198">
        <f t="shared" si="304"/>
        <v>5663.127179100104</v>
      </c>
      <c r="BL291" s="198">
        <f t="shared" si="304"/>
        <v>5806.631383298818</v>
      </c>
      <c r="BN291" s="205"/>
      <c r="BQ291" s="212">
        <f aca="true" t="shared" si="305" ref="BQ291:BQ298">Q291-AR291</f>
        <v>0</v>
      </c>
      <c r="BR291" s="212">
        <f t="shared" si="302"/>
        <v>2.3109694463869346</v>
      </c>
      <c r="BS291" s="212">
        <f t="shared" si="302"/>
        <v>19.81327069427971</v>
      </c>
      <c r="BT291" s="212">
        <f t="shared" si="302"/>
        <v>77.61724030896357</v>
      </c>
      <c r="BU291" s="226">
        <f t="shared" si="302"/>
        <v>135.21801796253249</v>
      </c>
      <c r="BV291" s="212">
        <f t="shared" si="302"/>
        <v>200.76154804240878</v>
      </c>
      <c r="BW291" s="212">
        <f t="shared" si="302"/>
        <v>268.68967134400646</v>
      </c>
      <c r="BX291" s="212">
        <f t="shared" si="302"/>
        <v>271.9759155682841</v>
      </c>
      <c r="BY291" s="212">
        <f t="shared" si="302"/>
        <v>283.87546551795276</v>
      </c>
      <c r="BZ291" s="212">
        <f t="shared" si="302"/>
        <v>293.43108125229264</v>
      </c>
      <c r="CA291" s="212">
        <f t="shared" si="302"/>
        <v>303.15928529349094</v>
      </c>
      <c r="CB291" s="212">
        <f t="shared" si="302"/>
        <v>313.0720471956329</v>
      </c>
      <c r="CC291" s="212">
        <f t="shared" si="302"/>
        <v>323.18117060082386</v>
      </c>
      <c r="CD291" s="212">
        <f t="shared" si="302"/>
        <v>333.4983219485666</v>
      </c>
      <c r="CE291" s="212">
        <f t="shared" si="302"/>
        <v>344.0350577561121</v>
      </c>
      <c r="CF291" s="212">
        <f t="shared" si="302"/>
        <v>353.4867178394452</v>
      </c>
      <c r="CG291" s="212">
        <f t="shared" si="302"/>
        <v>363.1007939289675</v>
      </c>
      <c r="CH291" s="212">
        <f t="shared" si="302"/>
        <v>372.88637970510536</v>
      </c>
      <c r="CI291" s="212">
        <f t="shared" si="302"/>
        <v>382.8523969480375</v>
      </c>
      <c r="CJ291" s="212">
        <f t="shared" si="302"/>
        <v>393.00761884843814</v>
      </c>
      <c r="CK291" s="212">
        <f t="shared" si="302"/>
        <v>403.36069193986714</v>
      </c>
    </row>
    <row r="292" spans="5:89" s="193" customFormat="1" ht="12.75">
      <c r="E292" s="211"/>
      <c r="G292" s="196" t="s">
        <v>72</v>
      </c>
      <c r="L292" s="190" t="s">
        <v>184</v>
      </c>
      <c r="M292" s="195"/>
      <c r="Q292" s="198">
        <f aca="true" t="shared" si="306" ref="Q292:AK292">Q253*$M$287</f>
        <v>4093.441537025455</v>
      </c>
      <c r="R292" s="248">
        <f t="shared" si="306"/>
        <v>4463.406186699604</v>
      </c>
      <c r="S292" s="198">
        <f t="shared" si="306"/>
        <v>4909.507810020336</v>
      </c>
      <c r="T292" s="198">
        <f t="shared" si="306"/>
        <v>5670.839236256006</v>
      </c>
      <c r="U292" s="248">
        <f t="shared" si="306"/>
        <v>6439.370001538176</v>
      </c>
      <c r="V292" s="198">
        <f t="shared" si="306"/>
        <v>7022.91366913652</v>
      </c>
      <c r="W292" s="198">
        <f t="shared" si="306"/>
        <v>7418.145513994791</v>
      </c>
      <c r="X292" s="198">
        <f t="shared" si="306"/>
        <v>7357.383831570534</v>
      </c>
      <c r="Y292" s="198">
        <f t="shared" si="306"/>
        <v>7653.078475050151</v>
      </c>
      <c r="Z292" s="198">
        <f t="shared" si="306"/>
        <v>7885.006827485644</v>
      </c>
      <c r="AA292" s="198">
        <f t="shared" si="306"/>
        <v>8122.87001286718</v>
      </c>
      <c r="AB292" s="198">
        <f t="shared" si="306"/>
        <v>8366.881594610206</v>
      </c>
      <c r="AC292" s="198">
        <f t="shared" si="306"/>
        <v>8617.257653831708</v>
      </c>
      <c r="AD292" s="198">
        <f t="shared" si="306"/>
        <v>8874.217081714482</v>
      </c>
      <c r="AE292" s="198">
        <f t="shared" si="306"/>
        <v>9137.981864802287</v>
      </c>
      <c r="AF292" s="198">
        <f t="shared" si="306"/>
        <v>9373.389228063867</v>
      </c>
      <c r="AG292" s="198">
        <f t="shared" si="306"/>
        <v>9614.078933222081</v>
      </c>
      <c r="AH292" s="198">
        <f t="shared" si="306"/>
        <v>9860.211626976863</v>
      </c>
      <c r="AI292" s="198">
        <f t="shared" si="306"/>
        <v>10111.949097436549</v>
      </c>
      <c r="AJ292" s="198">
        <f t="shared" si="306"/>
        <v>10369.454484825166</v>
      </c>
      <c r="AK292" s="198">
        <f t="shared" si="306"/>
        <v>10632.89248401897</v>
      </c>
      <c r="AM292" s="205"/>
      <c r="AR292" s="198">
        <f aca="true" t="shared" si="307" ref="AR292:BL292">AR253*$AN$287</f>
        <v>4093.441537025455</v>
      </c>
      <c r="AS292" s="198">
        <f t="shared" si="307"/>
        <v>4459.449291206088</v>
      </c>
      <c r="AT292" s="198">
        <f t="shared" si="307"/>
        <v>4875.583068330397</v>
      </c>
      <c r="AU292" s="198">
        <f t="shared" si="307"/>
        <v>5537.941196916764</v>
      </c>
      <c r="AV292" s="248">
        <f t="shared" si="307"/>
        <v>6207.846574538881</v>
      </c>
      <c r="AW292" s="198">
        <f t="shared" si="307"/>
        <v>6679.16508952532</v>
      </c>
      <c r="AX292" s="198">
        <f t="shared" si="307"/>
        <v>6958.0888259422</v>
      </c>
      <c r="AY292" s="198">
        <f t="shared" si="307"/>
        <v>6891.700359926327</v>
      </c>
      <c r="AZ292" s="198">
        <f t="shared" si="307"/>
        <v>7167.0203179490145</v>
      </c>
      <c r="BA292" s="198">
        <f t="shared" si="307"/>
        <v>7382.587323463151</v>
      </c>
      <c r="BB292" s="198">
        <f t="shared" si="307"/>
        <v>7603.793652220822</v>
      </c>
      <c r="BC292" s="198">
        <f t="shared" si="307"/>
        <v>7830.832373089276</v>
      </c>
      <c r="BD292" s="198">
        <f t="shared" si="307"/>
        <v>8063.899356715708</v>
      </c>
      <c r="BE292" s="198">
        <f t="shared" si="307"/>
        <v>8303.193518734579</v>
      </c>
      <c r="BF292" s="198">
        <f t="shared" si="307"/>
        <v>8548.9170583527</v>
      </c>
      <c r="BG292" s="198">
        <f t="shared" si="307"/>
        <v>8768.141069970032</v>
      </c>
      <c r="BH292" s="198">
        <f t="shared" si="307"/>
        <v>8992.369331030652</v>
      </c>
      <c r="BI292" s="198">
        <f t="shared" si="307"/>
        <v>9221.746917823937</v>
      </c>
      <c r="BJ292" s="198">
        <f t="shared" si="307"/>
        <v>9456.420342379171</v>
      </c>
      <c r="BK292" s="198">
        <f t="shared" si="307"/>
        <v>9696.537723259875</v>
      </c>
      <c r="BL292" s="198">
        <f t="shared" si="307"/>
        <v>9942.24895054695</v>
      </c>
      <c r="BN292" s="205"/>
      <c r="BQ292" s="212">
        <f t="shared" si="305"/>
        <v>0</v>
      </c>
      <c r="BR292" s="212">
        <f t="shared" si="302"/>
        <v>3.9568954935166403</v>
      </c>
      <c r="BS292" s="212">
        <f t="shared" si="302"/>
        <v>33.924741689939765</v>
      </c>
      <c r="BT292" s="212">
        <f t="shared" si="302"/>
        <v>132.89803933924213</v>
      </c>
      <c r="BU292" s="226">
        <f t="shared" si="302"/>
        <v>231.52342699929522</v>
      </c>
      <c r="BV292" s="212">
        <f t="shared" si="302"/>
        <v>343.7485796112005</v>
      </c>
      <c r="BW292" s="212">
        <f t="shared" si="302"/>
        <v>460.0566880525912</v>
      </c>
      <c r="BX292" s="212">
        <f t="shared" si="302"/>
        <v>465.6834716442072</v>
      </c>
      <c r="BY292" s="212">
        <f t="shared" si="302"/>
        <v>486.0581571011362</v>
      </c>
      <c r="BZ292" s="212">
        <f t="shared" si="302"/>
        <v>502.41950402249313</v>
      </c>
      <c r="CA292" s="212">
        <f t="shared" si="302"/>
        <v>519.0763606463579</v>
      </c>
      <c r="CB292" s="212">
        <f t="shared" si="302"/>
        <v>536.0492215209297</v>
      </c>
      <c r="CC292" s="212">
        <f t="shared" si="302"/>
        <v>553.3582971160004</v>
      </c>
      <c r="CD292" s="212">
        <f t="shared" si="302"/>
        <v>571.0235629799026</v>
      </c>
      <c r="CE292" s="212">
        <f t="shared" si="302"/>
        <v>589.0648064495872</v>
      </c>
      <c r="CF292" s="212">
        <f t="shared" si="302"/>
        <v>605.2481580938347</v>
      </c>
      <c r="CG292" s="212">
        <f t="shared" si="302"/>
        <v>621.7096021914294</v>
      </c>
      <c r="CH292" s="212">
        <f t="shared" si="302"/>
        <v>638.4647091529259</v>
      </c>
      <c r="CI292" s="212">
        <f t="shared" si="302"/>
        <v>655.5287550573776</v>
      </c>
      <c r="CJ292" s="212">
        <f t="shared" si="302"/>
        <v>672.9167615652914</v>
      </c>
      <c r="CK292" s="212">
        <f t="shared" si="302"/>
        <v>690.6435334720209</v>
      </c>
    </row>
    <row r="293" spans="5:89" s="193" customFormat="1" ht="12.75">
      <c r="E293" s="211"/>
      <c r="G293" s="196" t="s">
        <v>85</v>
      </c>
      <c r="L293" s="190" t="s">
        <v>184</v>
      </c>
      <c r="M293" s="195"/>
      <c r="Q293" s="198">
        <f aca="true" t="shared" si="308" ref="Q293:AK293">Q254*$M$287</f>
        <v>1764.9064927610837</v>
      </c>
      <c r="R293" s="248">
        <f t="shared" si="308"/>
        <v>1924.4184844179806</v>
      </c>
      <c r="S293" s="198">
        <f t="shared" si="308"/>
        <v>2116.7572888954755</v>
      </c>
      <c r="T293" s="198">
        <f t="shared" si="308"/>
        <v>2445.0088994663693</v>
      </c>
      <c r="U293" s="248">
        <f t="shared" si="308"/>
        <v>2776.364538789552</v>
      </c>
      <c r="V293" s="198">
        <f t="shared" si="308"/>
        <v>3027.962124449053</v>
      </c>
      <c r="W293" s="198">
        <f t="shared" si="308"/>
        <v>3198.3681856635535</v>
      </c>
      <c r="X293" s="198">
        <f t="shared" si="308"/>
        <v>3172.1705016727556</v>
      </c>
      <c r="Y293" s="198">
        <f t="shared" si="308"/>
        <v>3299.660632271076</v>
      </c>
      <c r="Z293" s="198">
        <f t="shared" si="308"/>
        <v>3399.6576277982463</v>
      </c>
      <c r="AA293" s="198">
        <f t="shared" si="308"/>
        <v>3502.2134543495245</v>
      </c>
      <c r="AB293" s="198">
        <f t="shared" si="308"/>
        <v>3607.420190791642</v>
      </c>
      <c r="AC293" s="198">
        <f t="shared" si="308"/>
        <v>3715.371001510425</v>
      </c>
      <c r="AD293" s="198">
        <f t="shared" si="308"/>
        <v>3826.1602624646907</v>
      </c>
      <c r="AE293" s="198">
        <f t="shared" si="308"/>
        <v>3939.8836841925563</v>
      </c>
      <c r="AF293" s="198">
        <f t="shared" si="308"/>
        <v>4041.3806715334017</v>
      </c>
      <c r="AG293" s="198">
        <f t="shared" si="308"/>
        <v>4145.155165326018</v>
      </c>
      <c r="AH293" s="198">
        <f t="shared" si="308"/>
        <v>4251.27642914767</v>
      </c>
      <c r="AI293" s="198">
        <f t="shared" si="308"/>
        <v>4359.814218698583</v>
      </c>
      <c r="AJ293" s="198">
        <f t="shared" si="308"/>
        <v>4470.838872651159</v>
      </c>
      <c r="AK293" s="198">
        <f t="shared" si="308"/>
        <v>4584.421399972501</v>
      </c>
      <c r="AM293" s="205"/>
      <c r="AR293" s="198">
        <f aca="true" t="shared" si="309" ref="AR293:BL293">AR254*$AN$287</f>
        <v>1764.9064927610837</v>
      </c>
      <c r="AS293" s="198">
        <f t="shared" si="309"/>
        <v>1922.7124503914729</v>
      </c>
      <c r="AT293" s="198">
        <f t="shared" si="309"/>
        <v>2102.1304776091165</v>
      </c>
      <c r="AU293" s="198">
        <f t="shared" si="309"/>
        <v>2387.7092872980993</v>
      </c>
      <c r="AV293" s="248">
        <f t="shared" si="309"/>
        <v>2676.54212876088</v>
      </c>
      <c r="AW293" s="198">
        <f t="shared" si="309"/>
        <v>2879.753314198385</v>
      </c>
      <c r="AX293" s="198">
        <f t="shared" si="309"/>
        <v>3000.0125896600507</v>
      </c>
      <c r="AY293" s="198">
        <f t="shared" si="309"/>
        <v>2971.388891567335</v>
      </c>
      <c r="AZ293" s="198">
        <f t="shared" si="309"/>
        <v>3090.0943810939198</v>
      </c>
      <c r="BA293" s="198">
        <f t="shared" si="309"/>
        <v>3183.0371052578316</v>
      </c>
      <c r="BB293" s="198">
        <f t="shared" si="309"/>
        <v>3278.411250053414</v>
      </c>
      <c r="BC293" s="198">
        <f t="shared" si="309"/>
        <v>3376.300058026954</v>
      </c>
      <c r="BD293" s="198">
        <f t="shared" si="309"/>
        <v>3476.7879797255546</v>
      </c>
      <c r="BE293" s="198">
        <f t="shared" si="309"/>
        <v>3579.9607785567987</v>
      </c>
      <c r="BF293" s="198">
        <f t="shared" si="309"/>
        <v>3685.9056336557937</v>
      </c>
      <c r="BG293" s="198">
        <f t="shared" si="309"/>
        <v>3780.4250931308547</v>
      </c>
      <c r="BH293" s="198">
        <f t="shared" si="309"/>
        <v>3877.1021581938085</v>
      </c>
      <c r="BI293" s="198">
        <f t="shared" si="309"/>
        <v>3975.999379166476</v>
      </c>
      <c r="BJ293" s="198">
        <f t="shared" si="309"/>
        <v>4077.1799253960726</v>
      </c>
      <c r="BK293" s="198">
        <f t="shared" si="309"/>
        <v>4180.707658895669</v>
      </c>
      <c r="BL293" s="198">
        <f t="shared" si="309"/>
        <v>4286.647205475518</v>
      </c>
      <c r="BN293" s="205"/>
      <c r="BQ293" s="212">
        <f t="shared" si="305"/>
        <v>0</v>
      </c>
      <c r="BR293" s="212">
        <f t="shared" si="302"/>
        <v>1.706034026507723</v>
      </c>
      <c r="BS293" s="212">
        <f t="shared" si="302"/>
        <v>14.626811286359043</v>
      </c>
      <c r="BT293" s="212">
        <f t="shared" si="302"/>
        <v>57.29961216826996</v>
      </c>
      <c r="BU293" s="226">
        <f t="shared" si="302"/>
        <v>99.82241002867204</v>
      </c>
      <c r="BV293" s="212">
        <f t="shared" si="302"/>
        <v>148.2088102506682</v>
      </c>
      <c r="BW293" s="212">
        <f t="shared" si="302"/>
        <v>198.3555960035028</v>
      </c>
      <c r="BX293" s="212">
        <f t="shared" si="302"/>
        <v>200.78161010542044</v>
      </c>
      <c r="BY293" s="212">
        <f t="shared" si="302"/>
        <v>209.56625117715612</v>
      </c>
      <c r="BZ293" s="212">
        <f t="shared" si="302"/>
        <v>216.62052254041464</v>
      </c>
      <c r="CA293" s="212">
        <f t="shared" si="302"/>
        <v>223.80220429611063</v>
      </c>
      <c r="CB293" s="212">
        <f t="shared" si="302"/>
        <v>231.12013276468815</v>
      </c>
      <c r="CC293" s="212">
        <f t="shared" si="302"/>
        <v>238.5830217848702</v>
      </c>
      <c r="CD293" s="212">
        <f t="shared" si="302"/>
        <v>246.19948390789204</v>
      </c>
      <c r="CE293" s="212">
        <f t="shared" si="302"/>
        <v>253.97805053676257</v>
      </c>
      <c r="CF293" s="212">
        <f t="shared" si="302"/>
        <v>260.95557840254696</v>
      </c>
      <c r="CG293" s="212">
        <f t="shared" si="302"/>
        <v>268.05300713220913</v>
      </c>
      <c r="CH293" s="212">
        <f t="shared" si="302"/>
        <v>275.2770499811936</v>
      </c>
      <c r="CI293" s="212">
        <f t="shared" si="302"/>
        <v>282.63429330251074</v>
      </c>
      <c r="CJ293" s="212">
        <f t="shared" si="302"/>
        <v>290.13121375549053</v>
      </c>
      <c r="CK293" s="212">
        <f t="shared" si="302"/>
        <v>297.774194496983</v>
      </c>
    </row>
    <row r="294" spans="5:89" s="193" customFormat="1" ht="12.75">
      <c r="E294" s="211"/>
      <c r="G294" s="196" t="s">
        <v>81</v>
      </c>
      <c r="L294" s="190" t="s">
        <v>184</v>
      </c>
      <c r="M294" s="195"/>
      <c r="Q294" s="198">
        <f aca="true" t="shared" si="310" ref="Q294:AK294">Q255*$M$287</f>
        <v>2437.7483663180774</v>
      </c>
      <c r="R294" s="248">
        <f t="shared" si="310"/>
        <v>2658.0717084694215</v>
      </c>
      <c r="S294" s="198">
        <f t="shared" si="310"/>
        <v>2923.7365515178926</v>
      </c>
      <c r="T294" s="198">
        <f t="shared" si="310"/>
        <v>3377.128745774379</v>
      </c>
      <c r="U294" s="248">
        <f t="shared" si="310"/>
        <v>3834.8083292217048</v>
      </c>
      <c r="V294" s="198">
        <f t="shared" si="310"/>
        <v>4182.323399241931</v>
      </c>
      <c r="W294" s="198">
        <f t="shared" si="310"/>
        <v>4417.6939976505</v>
      </c>
      <c r="X294" s="198">
        <f t="shared" si="310"/>
        <v>4381.508873049389</v>
      </c>
      <c r="Y294" s="198">
        <f t="shared" si="310"/>
        <v>4557.602540822976</v>
      </c>
      <c r="Z294" s="198">
        <f t="shared" si="310"/>
        <v>4695.721763276395</v>
      </c>
      <c r="AA294" s="198">
        <f t="shared" si="310"/>
        <v>4837.37532943246</v>
      </c>
      <c r="AB294" s="198">
        <f t="shared" si="310"/>
        <v>4982.6904217274205</v>
      </c>
      <c r="AC294" s="198">
        <f t="shared" si="310"/>
        <v>5131.795721952556</v>
      </c>
      <c r="AD294" s="198">
        <f t="shared" si="310"/>
        <v>5284.821585364944</v>
      </c>
      <c r="AE294" s="198">
        <f t="shared" si="310"/>
        <v>5441.900210587291</v>
      </c>
      <c r="AF294" s="198">
        <f t="shared" si="310"/>
        <v>5582.091272318533</v>
      </c>
      <c r="AG294" s="198">
        <f t="shared" si="310"/>
        <v>5725.428102766064</v>
      </c>
      <c r="AH294" s="198">
        <f t="shared" si="310"/>
        <v>5872.006371118365</v>
      </c>
      <c r="AI294" s="198">
        <f t="shared" si="310"/>
        <v>6021.9224263013975</v>
      </c>
      <c r="AJ294" s="198">
        <f t="shared" si="310"/>
        <v>6175.273422461088</v>
      </c>
      <c r="AK294" s="198">
        <f t="shared" si="310"/>
        <v>6332.15743957784</v>
      </c>
      <c r="AM294" s="205"/>
      <c r="AR294" s="198">
        <f aca="true" t="shared" si="311" ref="AR294:BL294">AR255*$AN$287</f>
        <v>2437.7483663180774</v>
      </c>
      <c r="AS294" s="198">
        <f t="shared" si="311"/>
        <v>2655.715276738868</v>
      </c>
      <c r="AT294" s="198">
        <f t="shared" si="311"/>
        <v>2903.5335065044524</v>
      </c>
      <c r="AU294" s="198">
        <f t="shared" si="311"/>
        <v>3297.9845891140812</v>
      </c>
      <c r="AV294" s="248">
        <f t="shared" si="311"/>
        <v>3696.9302501464585</v>
      </c>
      <c r="AW294" s="198">
        <f t="shared" si="311"/>
        <v>3977.6123924297303</v>
      </c>
      <c r="AX294" s="198">
        <f t="shared" si="311"/>
        <v>4143.718559240095</v>
      </c>
      <c r="AY294" s="198">
        <f t="shared" si="311"/>
        <v>4104.182542148153</v>
      </c>
      <c r="AZ294" s="198">
        <f t="shared" si="311"/>
        <v>4268.142567426147</v>
      </c>
      <c r="BA294" s="198">
        <f t="shared" si="311"/>
        <v>4396.518192379139</v>
      </c>
      <c r="BB294" s="198">
        <f t="shared" si="311"/>
        <v>4528.2521775040495</v>
      </c>
      <c r="BC294" s="198">
        <f t="shared" si="311"/>
        <v>4663.459500213321</v>
      </c>
      <c r="BD294" s="198">
        <f t="shared" si="311"/>
        <v>4802.256806450345</v>
      </c>
      <c r="BE294" s="198">
        <f t="shared" si="311"/>
        <v>4944.762555525983</v>
      </c>
      <c r="BF294" s="198">
        <f t="shared" si="311"/>
        <v>5091.097162201405</v>
      </c>
      <c r="BG294" s="198">
        <f t="shared" si="311"/>
        <v>5221.650627138976</v>
      </c>
      <c r="BH294" s="198">
        <f t="shared" si="311"/>
        <v>5355.18424967619</v>
      </c>
      <c r="BI294" s="198">
        <f t="shared" si="311"/>
        <v>5491.7844264267305</v>
      </c>
      <c r="BJ294" s="198">
        <f t="shared" si="311"/>
        <v>5631.538409023641</v>
      </c>
      <c r="BK294" s="198">
        <f t="shared" si="311"/>
        <v>5774.534405832598</v>
      </c>
      <c r="BL294" s="198">
        <f t="shared" si="311"/>
        <v>5920.861680202474</v>
      </c>
      <c r="BN294" s="205"/>
      <c r="BQ294" s="212">
        <f t="shared" si="305"/>
        <v>0</v>
      </c>
      <c r="BR294" s="212">
        <f t="shared" si="302"/>
        <v>2.356431730553595</v>
      </c>
      <c r="BS294" s="212">
        <f t="shared" si="302"/>
        <v>20.20304501344026</v>
      </c>
      <c r="BT294" s="212">
        <f t="shared" si="302"/>
        <v>79.14415666029754</v>
      </c>
      <c r="BU294" s="226">
        <f t="shared" si="302"/>
        <v>137.8780790752462</v>
      </c>
      <c r="BV294" s="212">
        <f t="shared" si="302"/>
        <v>204.7110068122006</v>
      </c>
      <c r="BW294" s="212">
        <f t="shared" si="302"/>
        <v>273.97543841040533</v>
      </c>
      <c r="BX294" s="212">
        <f t="shared" si="302"/>
        <v>277.32633090123636</v>
      </c>
      <c r="BY294" s="212">
        <f t="shared" si="302"/>
        <v>289.4599733968289</v>
      </c>
      <c r="BZ294" s="212">
        <f t="shared" si="302"/>
        <v>299.2035708972562</v>
      </c>
      <c r="CA294" s="212">
        <f t="shared" si="302"/>
        <v>309.12315192841015</v>
      </c>
      <c r="CB294" s="212">
        <f t="shared" si="302"/>
        <v>319.23092151409946</v>
      </c>
      <c r="CC294" s="212">
        <f t="shared" si="302"/>
        <v>329.53891550221124</v>
      </c>
      <c r="CD294" s="212">
        <f t="shared" si="302"/>
        <v>340.0590298389616</v>
      </c>
      <c r="CE294" s="212">
        <f t="shared" si="302"/>
        <v>350.80304838588654</v>
      </c>
      <c r="CF294" s="212">
        <f t="shared" si="302"/>
        <v>360.44064517955667</v>
      </c>
      <c r="CG294" s="212">
        <f t="shared" si="302"/>
        <v>370.2438530898735</v>
      </c>
      <c r="CH294" s="212">
        <f t="shared" si="302"/>
        <v>380.22194469163423</v>
      </c>
      <c r="CI294" s="212">
        <f t="shared" si="302"/>
        <v>390.38401727775636</v>
      </c>
      <c r="CJ294" s="212">
        <f t="shared" si="302"/>
        <v>400.7390166284895</v>
      </c>
      <c r="CK294" s="212">
        <f t="shared" si="302"/>
        <v>411.2957593753654</v>
      </c>
    </row>
    <row r="295" spans="5:89" s="193" customFormat="1" ht="12.75">
      <c r="E295" s="211"/>
      <c r="G295" s="196" t="s">
        <v>82</v>
      </c>
      <c r="L295" s="190" t="s">
        <v>184</v>
      </c>
      <c r="M295" s="195"/>
      <c r="Q295" s="198">
        <f aca="true" t="shared" si="312" ref="Q295:AK295">Q256*$M$287</f>
        <v>242.49591178184258</v>
      </c>
      <c r="R295" s="248">
        <f t="shared" si="312"/>
        <v>264.4126569553858</v>
      </c>
      <c r="S295" s="198">
        <f t="shared" si="312"/>
        <v>290.83976454103083</v>
      </c>
      <c r="T295" s="198">
        <f t="shared" si="312"/>
        <v>335.9411191599478</v>
      </c>
      <c r="U295" s="248">
        <f t="shared" si="312"/>
        <v>381.46896338926115</v>
      </c>
      <c r="V295" s="198">
        <f t="shared" si="312"/>
        <v>416.0381522878545</v>
      </c>
      <c r="W295" s="198">
        <f t="shared" si="312"/>
        <v>439.4517287899813</v>
      </c>
      <c r="X295" s="198">
        <f t="shared" si="312"/>
        <v>435.85220026426134</v>
      </c>
      <c r="Y295" s="198">
        <f t="shared" si="312"/>
        <v>453.3691823760284</v>
      </c>
      <c r="Z295" s="198">
        <f t="shared" si="312"/>
        <v>467.10864262803426</v>
      </c>
      <c r="AA295" s="198">
        <f t="shared" si="312"/>
        <v>481.1996830146459</v>
      </c>
      <c r="AB295" s="198">
        <f t="shared" si="312"/>
        <v>495.65495505526485</v>
      </c>
      <c r="AC295" s="198">
        <f t="shared" si="312"/>
        <v>510.48725941825285</v>
      </c>
      <c r="AD295" s="198">
        <f t="shared" si="312"/>
        <v>525.7095632405526</v>
      </c>
      <c r="AE295" s="198">
        <f t="shared" si="312"/>
        <v>541.3350170285747</v>
      </c>
      <c r="AF295" s="198">
        <f t="shared" si="312"/>
        <v>555.280574251748</v>
      </c>
      <c r="AG295" s="198">
        <f t="shared" si="312"/>
        <v>569.5390579703725</v>
      </c>
      <c r="AH295" s="198">
        <f t="shared" si="312"/>
        <v>584.1199849120718</v>
      </c>
      <c r="AI295" s="198">
        <f t="shared" si="312"/>
        <v>599.0329394215075</v>
      </c>
      <c r="AJ295" s="198">
        <f t="shared" si="312"/>
        <v>614.2875859429265</v>
      </c>
      <c r="AK295" s="198">
        <f t="shared" si="312"/>
        <v>629.8936810183855</v>
      </c>
      <c r="AM295" s="205"/>
      <c r="AR295" s="198">
        <f aca="true" t="shared" si="313" ref="AR295:BL295">AR256*$AN$287</f>
        <v>242.49591178184258</v>
      </c>
      <c r="AS295" s="198">
        <f t="shared" si="313"/>
        <v>264.1782500457361</v>
      </c>
      <c r="AT295" s="198">
        <f t="shared" si="313"/>
        <v>288.8300592371551</v>
      </c>
      <c r="AU295" s="198">
        <f t="shared" si="313"/>
        <v>328.0682251825717</v>
      </c>
      <c r="AV295" s="248">
        <f t="shared" si="313"/>
        <v>367.75349096313045</v>
      </c>
      <c r="AW295" s="198">
        <f t="shared" si="313"/>
        <v>395.67444989158076</v>
      </c>
      <c r="AX295" s="198">
        <f t="shared" si="313"/>
        <v>412.1979216862121</v>
      </c>
      <c r="AY295" s="198">
        <f t="shared" si="313"/>
        <v>408.2650619024041</v>
      </c>
      <c r="AZ295" s="198">
        <f t="shared" si="313"/>
        <v>424.5750454818948</v>
      </c>
      <c r="BA295" s="198">
        <f t="shared" si="313"/>
        <v>437.3452578030863</v>
      </c>
      <c r="BB295" s="198">
        <f t="shared" si="313"/>
        <v>450.4495442326938</v>
      </c>
      <c r="BC295" s="198">
        <f t="shared" si="313"/>
        <v>463.8993421909067</v>
      </c>
      <c r="BD295" s="198">
        <f t="shared" si="313"/>
        <v>477.7062550757065</v>
      </c>
      <c r="BE295" s="198">
        <f t="shared" si="313"/>
        <v>491.88206667042914</v>
      </c>
      <c r="BF295" s="198">
        <f t="shared" si="313"/>
        <v>506.43875527754295</v>
      </c>
      <c r="BG295" s="198">
        <f t="shared" si="313"/>
        <v>519.4256090290379</v>
      </c>
      <c r="BH295" s="198">
        <f t="shared" si="313"/>
        <v>532.7089150494871</v>
      </c>
      <c r="BI295" s="198">
        <f t="shared" si="313"/>
        <v>546.297267673736</v>
      </c>
      <c r="BJ295" s="198">
        <f t="shared" si="313"/>
        <v>560.1993462899034</v>
      </c>
      <c r="BK295" s="198">
        <f t="shared" si="313"/>
        <v>574.4239254574692</v>
      </c>
      <c r="BL295" s="198">
        <f t="shared" si="313"/>
        <v>588.9798846808336</v>
      </c>
      <c r="BN295" s="205"/>
      <c r="BQ295" s="212">
        <f t="shared" si="305"/>
        <v>0</v>
      </c>
      <c r="BR295" s="212">
        <f t="shared" si="302"/>
        <v>0.23440690964969235</v>
      </c>
      <c r="BS295" s="212">
        <f t="shared" si="302"/>
        <v>2.0097053038757053</v>
      </c>
      <c r="BT295" s="212">
        <f t="shared" si="302"/>
        <v>7.872893977376066</v>
      </c>
      <c r="BU295" s="226">
        <f t="shared" si="302"/>
        <v>13.715472426130702</v>
      </c>
      <c r="BV295" s="212">
        <f t="shared" si="302"/>
        <v>20.36370239627371</v>
      </c>
      <c r="BW295" s="212">
        <f t="shared" si="302"/>
        <v>27.25380710376919</v>
      </c>
      <c r="BX295" s="212">
        <f t="shared" si="302"/>
        <v>27.587138361857228</v>
      </c>
      <c r="BY295" s="212">
        <f t="shared" si="302"/>
        <v>28.7941368941336</v>
      </c>
      <c r="BZ295" s="212">
        <f t="shared" si="302"/>
        <v>29.763384824947934</v>
      </c>
      <c r="CA295" s="212">
        <f t="shared" si="302"/>
        <v>30.750138781952103</v>
      </c>
      <c r="CB295" s="212">
        <f t="shared" si="302"/>
        <v>31.75561286435817</v>
      </c>
      <c r="CC295" s="212">
        <f t="shared" si="302"/>
        <v>32.78100434254634</v>
      </c>
      <c r="CD295" s="212">
        <f t="shared" si="302"/>
        <v>33.82749657012346</v>
      </c>
      <c r="CE295" s="212">
        <f t="shared" si="302"/>
        <v>34.89626175103177</v>
      </c>
      <c r="CF295" s="212">
        <f t="shared" si="302"/>
        <v>35.85496522271012</v>
      </c>
      <c r="CG295" s="212">
        <f t="shared" si="302"/>
        <v>36.83014292088535</v>
      </c>
      <c r="CH295" s="212">
        <f t="shared" si="302"/>
        <v>37.82271723833583</v>
      </c>
      <c r="CI295" s="212">
        <f t="shared" si="302"/>
        <v>38.833593131604175</v>
      </c>
      <c r="CJ295" s="212">
        <f t="shared" si="302"/>
        <v>39.86366048545733</v>
      </c>
      <c r="CK295" s="212">
        <f t="shared" si="302"/>
        <v>40.913796337551844</v>
      </c>
    </row>
    <row r="296" spans="5:89" s="193" customFormat="1" ht="12.75">
      <c r="E296" s="211"/>
      <c r="G296" s="196" t="s">
        <v>189</v>
      </c>
      <c r="L296" s="190" t="s">
        <v>184</v>
      </c>
      <c r="M296" s="195"/>
      <c r="Q296" s="198">
        <f aca="true" t="shared" si="314" ref="Q296:AK296">Q257*$M$287</f>
        <v>3673.179187178475</v>
      </c>
      <c r="R296" s="248">
        <f t="shared" si="314"/>
        <v>4005.160586908529</v>
      </c>
      <c r="S296" s="198">
        <f t="shared" si="314"/>
        <v>4405.462187243329</v>
      </c>
      <c r="T296" s="198">
        <f t="shared" si="314"/>
        <v>5088.6298162662915</v>
      </c>
      <c r="U296" s="248">
        <f t="shared" si="314"/>
        <v>5778.257648056975</v>
      </c>
      <c r="V296" s="198">
        <f t="shared" si="314"/>
        <v>6301.890497150902</v>
      </c>
      <c r="W296" s="198">
        <f t="shared" si="314"/>
        <v>6656.544978841261</v>
      </c>
      <c r="X296" s="198">
        <f t="shared" si="314"/>
        <v>6602.021530725468</v>
      </c>
      <c r="Y296" s="198">
        <f t="shared" si="314"/>
        <v>6867.3580209051615</v>
      </c>
      <c r="Z296" s="198">
        <f t="shared" si="314"/>
        <v>7075.474929227072</v>
      </c>
      <c r="AA296" s="198">
        <f t="shared" si="314"/>
        <v>7288.917357569305</v>
      </c>
      <c r="AB296" s="198">
        <f t="shared" si="314"/>
        <v>7507.876943380335</v>
      </c>
      <c r="AC296" s="198">
        <f t="shared" si="314"/>
        <v>7732.5475833250985</v>
      </c>
      <c r="AD296" s="198">
        <f t="shared" si="314"/>
        <v>7963.125695632687</v>
      </c>
      <c r="AE296" s="198">
        <f t="shared" si="314"/>
        <v>8199.810476100472</v>
      </c>
      <c r="AF296" s="198">
        <f t="shared" si="314"/>
        <v>8411.049214804758</v>
      </c>
      <c r="AG296" s="198">
        <f t="shared" si="314"/>
        <v>8627.027971935748</v>
      </c>
      <c r="AH296" s="198">
        <f t="shared" si="314"/>
        <v>8847.890901040062</v>
      </c>
      <c r="AI296" s="198">
        <f t="shared" si="314"/>
        <v>9073.783179886977</v>
      </c>
      <c r="AJ296" s="198">
        <f t="shared" si="314"/>
        <v>9304.85119954361</v>
      </c>
      <c r="AK296" s="198">
        <f t="shared" si="314"/>
        <v>9541.242746118847</v>
      </c>
      <c r="AM296" s="205"/>
      <c r="AR296" s="198">
        <f aca="true" t="shared" si="315" ref="AR296:BL296">AR257*$AN$287</f>
        <v>3673.179187178475</v>
      </c>
      <c r="AS296" s="198">
        <f t="shared" si="315"/>
        <v>4001.6099349592682</v>
      </c>
      <c r="AT296" s="198">
        <f t="shared" si="315"/>
        <v>4375.020405193</v>
      </c>
      <c r="AU296" s="198">
        <f t="shared" si="315"/>
        <v>4969.376051994272</v>
      </c>
      <c r="AV296" s="248">
        <f t="shared" si="315"/>
        <v>5570.504092593711</v>
      </c>
      <c r="AW296" s="198">
        <f t="shared" si="315"/>
        <v>5993.433635893872</v>
      </c>
      <c r="AX296" s="198">
        <f t="shared" si="315"/>
        <v>6243.721041772159</v>
      </c>
      <c r="AY296" s="198">
        <f t="shared" si="315"/>
        <v>6184.148496413249</v>
      </c>
      <c r="AZ296" s="198">
        <f t="shared" si="315"/>
        <v>6431.202113883315</v>
      </c>
      <c r="BA296" s="198">
        <f t="shared" si="315"/>
        <v>6624.637449635514</v>
      </c>
      <c r="BB296" s="198">
        <f t="shared" si="315"/>
        <v>6823.13313487144</v>
      </c>
      <c r="BC296" s="198">
        <f t="shared" si="315"/>
        <v>7026.862416610109</v>
      </c>
      <c r="BD296" s="198">
        <f t="shared" si="315"/>
        <v>7236.001055999832</v>
      </c>
      <c r="BE296" s="198">
        <f t="shared" si="315"/>
        <v>7450.727546555801</v>
      </c>
      <c r="BF296" s="198">
        <f t="shared" si="315"/>
        <v>7671.223328249751</v>
      </c>
      <c r="BG296" s="198">
        <f t="shared" si="315"/>
        <v>7867.940215377379</v>
      </c>
      <c r="BH296" s="198">
        <f t="shared" si="315"/>
        <v>8069.147579463352</v>
      </c>
      <c r="BI296" s="198">
        <f t="shared" si="315"/>
        <v>8274.975602214843</v>
      </c>
      <c r="BJ296" s="198">
        <f t="shared" si="315"/>
        <v>8485.555753674973</v>
      </c>
      <c r="BK296" s="198">
        <f t="shared" si="315"/>
        <v>8701.020945482818</v>
      </c>
      <c r="BL296" s="198">
        <f t="shared" si="315"/>
        <v>8921.505678919317</v>
      </c>
      <c r="BN296" s="205"/>
      <c r="BQ296" s="212">
        <f t="shared" si="305"/>
        <v>0</v>
      </c>
      <c r="BR296" s="212">
        <f t="shared" si="302"/>
        <v>3.550651949260555</v>
      </c>
      <c r="BS296" s="212">
        <f t="shared" si="302"/>
        <v>30.441782050328584</v>
      </c>
      <c r="BT296" s="212">
        <f t="shared" si="302"/>
        <v>119.25376427201991</v>
      </c>
      <c r="BU296" s="226">
        <f t="shared" si="302"/>
        <v>207.7535554632641</v>
      </c>
      <c r="BV296" s="212">
        <f t="shared" si="302"/>
        <v>308.45686125703014</v>
      </c>
      <c r="BW296" s="212">
        <f t="shared" si="302"/>
        <v>412.8239370691017</v>
      </c>
      <c r="BX296" s="212">
        <f t="shared" si="302"/>
        <v>417.8730343122197</v>
      </c>
      <c r="BY296" s="212">
        <f t="shared" si="302"/>
        <v>436.15590702184636</v>
      </c>
      <c r="BZ296" s="212">
        <f t="shared" si="302"/>
        <v>450.8374795915579</v>
      </c>
      <c r="CA296" s="212">
        <f t="shared" si="302"/>
        <v>465.7842226978646</v>
      </c>
      <c r="CB296" s="212">
        <f t="shared" si="302"/>
        <v>481.01452677022644</v>
      </c>
      <c r="CC296" s="212">
        <f t="shared" si="302"/>
        <v>496.54652732526665</v>
      </c>
      <c r="CD296" s="212">
        <f t="shared" si="302"/>
        <v>512.3981490768856</v>
      </c>
      <c r="CE296" s="212">
        <f t="shared" si="302"/>
        <v>528.5871478507215</v>
      </c>
      <c r="CF296" s="212">
        <f t="shared" si="302"/>
        <v>543.1089994273789</v>
      </c>
      <c r="CG296" s="212">
        <f t="shared" si="302"/>
        <v>557.8803924723961</v>
      </c>
      <c r="CH296" s="212">
        <f t="shared" si="302"/>
        <v>572.915298825219</v>
      </c>
      <c r="CI296" s="212">
        <f t="shared" si="302"/>
        <v>588.2274262120045</v>
      </c>
      <c r="CJ296" s="212">
        <f t="shared" si="302"/>
        <v>603.830254060791</v>
      </c>
      <c r="CK296" s="212">
        <f t="shared" si="302"/>
        <v>619.7370671995304</v>
      </c>
    </row>
    <row r="297" spans="5:89" s="193" customFormat="1" ht="12.75">
      <c r="E297" s="211"/>
      <c r="G297" s="196" t="s">
        <v>84</v>
      </c>
      <c r="L297" s="190" t="s">
        <v>184</v>
      </c>
      <c r="M297" s="195"/>
      <c r="Q297" s="198">
        <f aca="true" t="shared" si="316" ref="Q297:AK297">Q258*$M$287</f>
        <v>2073.784974379877</v>
      </c>
      <c r="R297" s="248">
        <f t="shared" si="316"/>
        <v>2261.213358199788</v>
      </c>
      <c r="S297" s="198">
        <f t="shared" si="316"/>
        <v>2487.213616203041</v>
      </c>
      <c r="T297" s="198">
        <f t="shared" si="316"/>
        <v>2872.9129496294613</v>
      </c>
      <c r="U297" s="248">
        <f t="shared" si="316"/>
        <v>3262.259551742888</v>
      </c>
      <c r="V297" s="198">
        <f t="shared" si="316"/>
        <v>3557.8895439668245</v>
      </c>
      <c r="W297" s="198">
        <f t="shared" si="316"/>
        <v>3758.118582014631</v>
      </c>
      <c r="X297" s="198">
        <f t="shared" si="316"/>
        <v>3727.336008747178</v>
      </c>
      <c r="Y297" s="198">
        <f t="shared" si="316"/>
        <v>3877.13834575533</v>
      </c>
      <c r="Z297" s="198">
        <f t="shared" si="316"/>
        <v>3994.63593991002</v>
      </c>
      <c r="AA297" s="198">
        <f t="shared" si="316"/>
        <v>4115.140189290641</v>
      </c>
      <c r="AB297" s="198">
        <f t="shared" si="316"/>
        <v>4238.7592876009685</v>
      </c>
      <c r="AC297" s="198">
        <f t="shared" si="316"/>
        <v>4365.6027040419385</v>
      </c>
      <c r="AD297" s="198">
        <f t="shared" si="316"/>
        <v>4495.781331426464</v>
      </c>
      <c r="AE297" s="198">
        <f t="shared" si="316"/>
        <v>4629.407630712953</v>
      </c>
      <c r="AF297" s="198">
        <f t="shared" si="316"/>
        <v>4748.667732115176</v>
      </c>
      <c r="AG297" s="198">
        <f t="shared" si="316"/>
        <v>4870.60392920766</v>
      </c>
      <c r="AH297" s="198">
        <f t="shared" si="316"/>
        <v>4995.297607472312</v>
      </c>
      <c r="AI297" s="198">
        <f t="shared" si="316"/>
        <v>5122.830730641455</v>
      </c>
      <c r="AJ297" s="198">
        <f t="shared" si="316"/>
        <v>5253.285947445568</v>
      </c>
      <c r="AK297" s="198">
        <f t="shared" si="316"/>
        <v>5386.746694220071</v>
      </c>
      <c r="AM297" s="205"/>
      <c r="AR297" s="198">
        <f aca="true" t="shared" si="317" ref="AR297:BL297">AR258*$AN$287</f>
        <v>2073.784974379877</v>
      </c>
      <c r="AS297" s="198">
        <f t="shared" si="317"/>
        <v>2259.2087490352446</v>
      </c>
      <c r="AT297" s="198">
        <f t="shared" si="317"/>
        <v>2470.026948471263</v>
      </c>
      <c r="AU297" s="198">
        <f t="shared" si="317"/>
        <v>2805.5852610296783</v>
      </c>
      <c r="AV297" s="248">
        <f t="shared" si="317"/>
        <v>3144.967097512073</v>
      </c>
      <c r="AW297" s="198">
        <f t="shared" si="317"/>
        <v>3383.7425253971783</v>
      </c>
      <c r="AX297" s="198">
        <f t="shared" si="317"/>
        <v>3525.048526312868</v>
      </c>
      <c r="AY297" s="198">
        <f t="shared" si="317"/>
        <v>3491.41535919649</v>
      </c>
      <c r="AZ297" s="198">
        <f t="shared" si="317"/>
        <v>3630.895644166983</v>
      </c>
      <c r="BA297" s="198">
        <f t="shared" si="317"/>
        <v>3740.1043901485086</v>
      </c>
      <c r="BB297" s="198">
        <f t="shared" si="317"/>
        <v>3852.1700827121936</v>
      </c>
      <c r="BC297" s="198">
        <f t="shared" si="317"/>
        <v>3967.190532785937</v>
      </c>
      <c r="BD297" s="198">
        <f t="shared" si="317"/>
        <v>4085.264970712185</v>
      </c>
      <c r="BE297" s="198">
        <f t="shared" si="317"/>
        <v>4206.494169459305</v>
      </c>
      <c r="BF297" s="198">
        <f t="shared" si="317"/>
        <v>4330.980565491241</v>
      </c>
      <c r="BG297" s="198">
        <f t="shared" si="317"/>
        <v>4442.041993192777</v>
      </c>
      <c r="BH297" s="198">
        <f t="shared" si="317"/>
        <v>4555.638631721292</v>
      </c>
      <c r="BI297" s="198">
        <f t="shared" si="317"/>
        <v>4671.843978408069</v>
      </c>
      <c r="BJ297" s="198">
        <f t="shared" si="317"/>
        <v>4790.732257946574</v>
      </c>
      <c r="BK297" s="198">
        <f t="shared" si="317"/>
        <v>4912.378508919777</v>
      </c>
      <c r="BL297" s="198">
        <f t="shared" si="317"/>
        <v>5036.858667381988</v>
      </c>
      <c r="BN297" s="205"/>
      <c r="BQ297" s="212">
        <f t="shared" si="305"/>
        <v>0</v>
      </c>
      <c r="BR297" s="212">
        <f t="shared" si="302"/>
        <v>2.004609164543581</v>
      </c>
      <c r="BS297" s="212">
        <f t="shared" si="302"/>
        <v>17.186667731778016</v>
      </c>
      <c r="BT297" s="212">
        <f t="shared" si="302"/>
        <v>67.32768859978296</v>
      </c>
      <c r="BU297" s="226">
        <f t="shared" si="302"/>
        <v>117.29245423081511</v>
      </c>
      <c r="BV297" s="212">
        <f t="shared" si="302"/>
        <v>174.1470185696462</v>
      </c>
      <c r="BW297" s="212">
        <f t="shared" si="302"/>
        <v>233.07005570176307</v>
      </c>
      <c r="BX297" s="212">
        <f t="shared" si="302"/>
        <v>235.9206495506878</v>
      </c>
      <c r="BY297" s="212">
        <f t="shared" si="302"/>
        <v>246.24270158834724</v>
      </c>
      <c r="BZ297" s="212">
        <f t="shared" si="302"/>
        <v>254.53154976151154</v>
      </c>
      <c r="CA297" s="212">
        <f t="shared" si="302"/>
        <v>262.97010657844703</v>
      </c>
      <c r="CB297" s="212">
        <f t="shared" si="302"/>
        <v>271.5687548150313</v>
      </c>
      <c r="CC297" s="212">
        <f t="shared" si="302"/>
        <v>280.3377333297535</v>
      </c>
      <c r="CD297" s="212">
        <f t="shared" si="302"/>
        <v>289.2871619671587</v>
      </c>
      <c r="CE297" s="212">
        <f t="shared" si="302"/>
        <v>298.4270652217119</v>
      </c>
      <c r="CF297" s="212">
        <f t="shared" si="302"/>
        <v>306.62573892239834</v>
      </c>
      <c r="CG297" s="212">
        <f t="shared" si="302"/>
        <v>314.9652974863684</v>
      </c>
      <c r="CH297" s="212">
        <f t="shared" si="302"/>
        <v>323.4536290642427</v>
      </c>
      <c r="CI297" s="212">
        <f t="shared" si="302"/>
        <v>332.0984726948818</v>
      </c>
      <c r="CJ297" s="212">
        <f t="shared" si="302"/>
        <v>340.9074385257909</v>
      </c>
      <c r="CK297" s="212">
        <f t="shared" si="302"/>
        <v>349.8880268380826</v>
      </c>
    </row>
    <row r="298" spans="5:89" s="193" customFormat="1" ht="12.75">
      <c r="E298" s="211"/>
      <c r="G298" s="196" t="s">
        <v>190</v>
      </c>
      <c r="L298" s="190" t="s">
        <v>184</v>
      </c>
      <c r="M298" s="195"/>
      <c r="Q298" s="198">
        <f aca="true" t="shared" si="318" ref="Q298:AK298">Q259*$M$287</f>
        <v>1503.0895055638707</v>
      </c>
      <c r="R298" s="248">
        <f t="shared" si="318"/>
        <v>1638.938516066396</v>
      </c>
      <c r="S298" s="198">
        <f t="shared" si="318"/>
        <v>1802.744609878506</v>
      </c>
      <c r="T298" s="198">
        <f t="shared" si="318"/>
        <v>2082.30137566595</v>
      </c>
      <c r="U298" s="248">
        <f t="shared" si="318"/>
        <v>2364.5016996598306</v>
      </c>
      <c r="V298" s="198">
        <f t="shared" si="318"/>
        <v>2578.7757658390415</v>
      </c>
      <c r="W298" s="198">
        <f t="shared" si="318"/>
        <v>2723.9027532157343</v>
      </c>
      <c r="X298" s="198">
        <f t="shared" si="318"/>
        <v>2701.5913933572215</v>
      </c>
      <c r="Y298" s="198">
        <f t="shared" si="318"/>
        <v>2810.1688608611967</v>
      </c>
      <c r="Z298" s="198">
        <f t="shared" si="318"/>
        <v>2895.331692535999</v>
      </c>
      <c r="AA298" s="198">
        <f t="shared" si="318"/>
        <v>2982.6737626433383</v>
      </c>
      <c r="AB298" s="198">
        <f t="shared" si="318"/>
        <v>3072.2734905095817</v>
      </c>
      <c r="AC298" s="198">
        <f t="shared" si="318"/>
        <v>3164.2102199476694</v>
      </c>
      <c r="AD298" s="198">
        <f t="shared" si="318"/>
        <v>3258.564326611464</v>
      </c>
      <c r="AE298" s="198">
        <f t="shared" si="318"/>
        <v>3355.4173227543383</v>
      </c>
      <c r="AF298" s="198">
        <f t="shared" si="318"/>
        <v>3441.8576283139</v>
      </c>
      <c r="AG298" s="198">
        <f t="shared" si="318"/>
        <v>3530.2375811356546</v>
      </c>
      <c r="AH298" s="198">
        <f t="shared" si="318"/>
        <v>3620.616169815286</v>
      </c>
      <c r="AI298" s="198">
        <f t="shared" si="318"/>
        <v>3713.052802067755</v>
      </c>
      <c r="AJ298" s="198">
        <f t="shared" si="318"/>
        <v>3807.607382097466</v>
      </c>
      <c r="AK298" s="198">
        <f t="shared" si="318"/>
        <v>3904.3403849690417</v>
      </c>
      <c r="AM298" s="205"/>
      <c r="AR298" s="198">
        <f aca="true" t="shared" si="319" ref="AR298:BL298">AR259*$AN$287</f>
        <v>1503.0895055638707</v>
      </c>
      <c r="AS298" s="198">
        <f t="shared" si="319"/>
        <v>1637.4855655265824</v>
      </c>
      <c r="AT298" s="198">
        <f t="shared" si="319"/>
        <v>1790.2876289367023</v>
      </c>
      <c r="AU298" s="198">
        <f t="shared" si="319"/>
        <v>2033.5019372388933</v>
      </c>
      <c r="AV298" s="248">
        <f t="shared" si="319"/>
        <v>2279.4875544064694</v>
      </c>
      <c r="AW298" s="198">
        <f t="shared" si="319"/>
        <v>2452.5531539139333</v>
      </c>
      <c r="AX298" s="198">
        <f t="shared" si="319"/>
        <v>2554.9724354081873</v>
      </c>
      <c r="AY298" s="198">
        <f t="shared" si="319"/>
        <v>2530.5949511675053</v>
      </c>
      <c r="AZ298" s="198">
        <f t="shared" si="319"/>
        <v>2631.6909448034703</v>
      </c>
      <c r="BA298" s="198">
        <f t="shared" si="319"/>
        <v>2710.8459787286456</v>
      </c>
      <c r="BB298" s="198">
        <f t="shared" si="319"/>
        <v>2792.0717415281692</v>
      </c>
      <c r="BC298" s="198">
        <f t="shared" si="319"/>
        <v>2875.439127041603</v>
      </c>
      <c r="BD298" s="198">
        <f t="shared" si="319"/>
        <v>2961.0200579071134</v>
      </c>
      <c r="BE298" s="198">
        <f t="shared" si="319"/>
        <v>3048.8875748656756</v>
      </c>
      <c r="BF298" s="198">
        <f t="shared" si="319"/>
        <v>3139.115924367983</v>
      </c>
      <c r="BG298" s="198">
        <f t="shared" si="319"/>
        <v>3219.6137910771854</v>
      </c>
      <c r="BH298" s="198">
        <f t="shared" si="319"/>
        <v>3301.949191009704</v>
      </c>
      <c r="BI298" s="198">
        <f t="shared" si="319"/>
        <v>3386.175395391031</v>
      </c>
      <c r="BJ298" s="198">
        <f t="shared" si="319"/>
        <v>3472.3462026428406</v>
      </c>
      <c r="BK298" s="198">
        <f t="shared" si="319"/>
        <v>3560.516001097367</v>
      </c>
      <c r="BL298" s="198">
        <f t="shared" si="319"/>
        <v>3650.739829578744</v>
      </c>
      <c r="BN298" s="205"/>
      <c r="BQ298" s="212">
        <f t="shared" si="305"/>
        <v>0</v>
      </c>
      <c r="BR298" s="212">
        <f t="shared" si="302"/>
        <v>1.452950539813628</v>
      </c>
      <c r="BS298" s="212">
        <f t="shared" si="302"/>
        <v>12.45698094180375</v>
      </c>
      <c r="BT298" s="212">
        <f t="shared" si="302"/>
        <v>48.799438427056884</v>
      </c>
      <c r="BU298" s="226">
        <f t="shared" si="302"/>
        <v>85.01414525336122</v>
      </c>
      <c r="BV298" s="212">
        <f t="shared" si="302"/>
        <v>126.22261192510814</v>
      </c>
      <c r="BW298" s="212">
        <f t="shared" si="302"/>
        <v>168.930317807547</v>
      </c>
      <c r="BX298" s="212">
        <f t="shared" si="302"/>
        <v>170.99644218971616</v>
      </c>
      <c r="BY298" s="212">
        <f t="shared" si="302"/>
        <v>178.47791605772636</v>
      </c>
      <c r="BZ298" s="212">
        <f t="shared" si="302"/>
        <v>184.48571380735348</v>
      </c>
      <c r="CA298" s="212">
        <f t="shared" si="302"/>
        <v>190.602021115169</v>
      </c>
      <c r="CB298" s="212">
        <f t="shared" si="302"/>
        <v>196.83436346797862</v>
      </c>
      <c r="CC298" s="212">
        <f t="shared" si="302"/>
        <v>203.19016204055606</v>
      </c>
      <c r="CD298" s="212">
        <f t="shared" si="302"/>
        <v>209.67675174578835</v>
      </c>
      <c r="CE298" s="212">
        <f t="shared" si="302"/>
        <v>216.30139838635523</v>
      </c>
      <c r="CF298" s="212">
        <f t="shared" si="302"/>
        <v>222.24383723671463</v>
      </c>
      <c r="CG298" s="212">
        <f t="shared" si="302"/>
        <v>228.28839012595063</v>
      </c>
      <c r="CH298" s="212">
        <f t="shared" si="302"/>
        <v>234.44077442425487</v>
      </c>
      <c r="CI298" s="212">
        <f t="shared" si="302"/>
        <v>240.7065994249142</v>
      </c>
      <c r="CJ298" s="212">
        <f t="shared" si="302"/>
        <v>247.09138100009932</v>
      </c>
      <c r="CK298" s="212">
        <f t="shared" si="302"/>
        <v>253.6005553902978</v>
      </c>
    </row>
    <row r="299" spans="5:13" ht="12.75">
      <c r="E299" s="18"/>
      <c r="L299" s="4"/>
      <c r="M299" s="63"/>
    </row>
    <row r="300" spans="5:13" ht="12.75">
      <c r="E300" s="18"/>
      <c r="L300" s="4"/>
      <c r="M300" s="63"/>
    </row>
    <row r="301" spans="2:73" s="1" customFormat="1" ht="12.75">
      <c r="B301" s="1" t="s">
        <v>433</v>
      </c>
      <c r="E301" s="218"/>
      <c r="M301" s="124"/>
      <c r="R301" s="233"/>
      <c r="U301" s="233"/>
      <c r="AM301" s="207"/>
      <c r="AV301" s="233"/>
      <c r="BN301" s="207"/>
      <c r="BU301" s="233"/>
    </row>
    <row r="302" spans="5:89" s="1" customFormat="1" ht="12.75">
      <c r="E302" s="218"/>
      <c r="G302" s="122" t="s">
        <v>233</v>
      </c>
      <c r="L302" s="123" t="s">
        <v>184</v>
      </c>
      <c r="M302" s="124"/>
      <c r="Q302" s="217">
        <f aca="true" t="shared" si="320" ref="Q302:AK302">Q71+Q148+Q264+Q275+Q290</f>
        <v>16454275.45428056</v>
      </c>
      <c r="R302" s="237">
        <f t="shared" si="320"/>
        <v>18150060.939863387</v>
      </c>
      <c r="S302" s="217">
        <f t="shared" si="320"/>
        <v>20249852.25411812</v>
      </c>
      <c r="T302" s="217">
        <f t="shared" si="320"/>
        <v>24069533.508701574</v>
      </c>
      <c r="U302" s="237">
        <f t="shared" si="320"/>
        <v>27931793.2274673</v>
      </c>
      <c r="V302" s="217">
        <f t="shared" si="320"/>
        <v>31178430.84112113</v>
      </c>
      <c r="W302" s="217">
        <f t="shared" si="320"/>
        <v>33753556.993759625</v>
      </c>
      <c r="X302" s="217">
        <f t="shared" si="320"/>
        <v>33960507.636858754</v>
      </c>
      <c r="Y302" s="217">
        <f t="shared" si="320"/>
        <v>35645544.70594058</v>
      </c>
      <c r="Z302" s="217">
        <f t="shared" si="320"/>
        <v>37080497.293100245</v>
      </c>
      <c r="AA302" s="217">
        <f t="shared" si="320"/>
        <v>38564711.21164327</v>
      </c>
      <c r="AB302" s="217">
        <f t="shared" si="320"/>
        <v>40078753.40111222</v>
      </c>
      <c r="AC302" s="217">
        <f t="shared" si="320"/>
        <v>41670480.49221527</v>
      </c>
      <c r="AD302" s="217">
        <f t="shared" si="320"/>
        <v>43303921.12934033</v>
      </c>
      <c r="AE302" s="217">
        <f t="shared" si="320"/>
        <v>44995131.058838494</v>
      </c>
      <c r="AF302" s="217">
        <f t="shared" si="320"/>
        <v>46576741.96174561</v>
      </c>
      <c r="AG302" s="217">
        <f t="shared" si="320"/>
        <v>48227292.615100704</v>
      </c>
      <c r="AH302" s="217">
        <f t="shared" si="320"/>
        <v>49920100.01008216</v>
      </c>
      <c r="AI302" s="217">
        <f t="shared" si="320"/>
        <v>51667399.539693914</v>
      </c>
      <c r="AJ302" s="217">
        <f t="shared" si="320"/>
        <v>53459129.85140987</v>
      </c>
      <c r="AK302" s="217">
        <f t="shared" si="320"/>
        <v>55322904.55448754</v>
      </c>
      <c r="AM302" s="207"/>
      <c r="AR302" s="217">
        <f aca="true" t="shared" si="321" ref="AR302:BL302">AR71+AR148+AR264+AR275+AR290</f>
        <v>16454275.45428056</v>
      </c>
      <c r="AS302" s="217">
        <f t="shared" si="321"/>
        <v>18133760.082998596</v>
      </c>
      <c r="AT302" s="217">
        <f t="shared" si="321"/>
        <v>20000361.419172794</v>
      </c>
      <c r="AU302" s="217">
        <f t="shared" si="321"/>
        <v>22846119.829327334</v>
      </c>
      <c r="AV302" s="237">
        <f t="shared" si="321"/>
        <v>25771085.56241155</v>
      </c>
      <c r="AW302" s="217">
        <f t="shared" si="321"/>
        <v>27965440.9029981</v>
      </c>
      <c r="AX302" s="217">
        <f t="shared" si="321"/>
        <v>29431793.630786426</v>
      </c>
      <c r="AY302" s="217">
        <f t="shared" si="321"/>
        <v>29538691.330096588</v>
      </c>
      <c r="AZ302" s="217">
        <f t="shared" si="321"/>
        <v>31023175.95784814</v>
      </c>
      <c r="BA302" s="217">
        <f t="shared" si="321"/>
        <v>32286373.12431844</v>
      </c>
      <c r="BB302" s="217">
        <f t="shared" si="321"/>
        <v>33591921.154402666</v>
      </c>
      <c r="BC302" s="217">
        <f t="shared" si="321"/>
        <v>34941815.8499971</v>
      </c>
      <c r="BD302" s="217">
        <f t="shared" si="321"/>
        <v>36338101.5039503</v>
      </c>
      <c r="BE302" s="217">
        <f t="shared" si="321"/>
        <v>37782874.52093655</v>
      </c>
      <c r="BF302" s="217">
        <f t="shared" si="321"/>
        <v>39278287.04963866</v>
      </c>
      <c r="BG302" s="217">
        <f t="shared" si="321"/>
        <v>40682714.46780633</v>
      </c>
      <c r="BH302" s="217">
        <f t="shared" si="321"/>
        <v>42131365.921977475</v>
      </c>
      <c r="BI302" s="217">
        <f t="shared" si="321"/>
        <v>43625999.84058819</v>
      </c>
      <c r="BJ302" s="217">
        <f t="shared" si="321"/>
        <v>45168415.662923425</v>
      </c>
      <c r="BK302" s="217">
        <f t="shared" si="321"/>
        <v>46760456.42901488</v>
      </c>
      <c r="BL302" s="217">
        <f t="shared" si="321"/>
        <v>48404011.371573</v>
      </c>
      <c r="BN302" s="207"/>
      <c r="BQ302" s="217">
        <f aca="true" t="shared" si="322" ref="BQ302:CK302">BQ71+BQ148+BQ264+BQ275+BQ290</f>
        <v>0</v>
      </c>
      <c r="BR302" s="217">
        <f t="shared" si="322"/>
        <v>16300.856864791673</v>
      </c>
      <c r="BS302" s="217">
        <f t="shared" si="322"/>
        <v>249490.83494532254</v>
      </c>
      <c r="BT302" s="217">
        <f t="shared" si="322"/>
        <v>1223413.6793742375</v>
      </c>
      <c r="BU302" s="217">
        <f t="shared" si="322"/>
        <v>2160707.665055746</v>
      </c>
      <c r="BV302" s="217">
        <f t="shared" si="322"/>
        <v>3212989.9381230297</v>
      </c>
      <c r="BW302" s="217">
        <f t="shared" si="322"/>
        <v>4321763.362973197</v>
      </c>
      <c r="BX302" s="217">
        <f t="shared" si="322"/>
        <v>4421816.306762177</v>
      </c>
      <c r="BY302" s="217">
        <f t="shared" si="322"/>
        <v>4622368.748092442</v>
      </c>
      <c r="BZ302" s="217">
        <f t="shared" si="322"/>
        <v>4794124.168781811</v>
      </c>
      <c r="CA302" s="217">
        <f t="shared" si="322"/>
        <v>4972790.057240603</v>
      </c>
      <c r="CB302" s="217">
        <f t="shared" si="322"/>
        <v>5136937.551115126</v>
      </c>
      <c r="CC302" s="217">
        <f t="shared" si="322"/>
        <v>5332378.988264973</v>
      </c>
      <c r="CD302" s="217">
        <f t="shared" si="322"/>
        <v>5521046.608403781</v>
      </c>
      <c r="CE302" s="217">
        <f t="shared" si="322"/>
        <v>5716844.009199839</v>
      </c>
      <c r="CF302" s="217">
        <f t="shared" si="322"/>
        <v>5894027.493939289</v>
      </c>
      <c r="CG302" s="217">
        <f t="shared" si="322"/>
        <v>6095926.69312323</v>
      </c>
      <c r="CH302" s="217">
        <f t="shared" si="322"/>
        <v>6294100.169493964</v>
      </c>
      <c r="CI302" s="217">
        <f t="shared" si="322"/>
        <v>6498983.876770484</v>
      </c>
      <c r="CJ302" s="217">
        <f t="shared" si="322"/>
        <v>6698673.4223949835</v>
      </c>
      <c r="CK302" s="217">
        <f t="shared" si="322"/>
        <v>6918893.182914543</v>
      </c>
    </row>
    <row r="303" spans="5:89" s="1" customFormat="1" ht="12.75">
      <c r="E303" s="218"/>
      <c r="G303" s="122" t="s">
        <v>73</v>
      </c>
      <c r="L303" s="123" t="s">
        <v>184</v>
      </c>
      <c r="M303" s="124"/>
      <c r="Q303" s="217">
        <f aca="true" t="shared" si="323" ref="Q303:AK303">Q72+Q149+Q265+Q276+Q291</f>
        <v>887111.6116075811</v>
      </c>
      <c r="R303" s="237">
        <f t="shared" si="323"/>
        <v>969053.0944681678</v>
      </c>
      <c r="S303" s="217">
        <f t="shared" si="323"/>
        <v>1070863.99154633</v>
      </c>
      <c r="T303" s="217">
        <f t="shared" si="323"/>
        <v>1261609.9959360599</v>
      </c>
      <c r="U303" s="237">
        <f t="shared" si="323"/>
        <v>1448230.7047266436</v>
      </c>
      <c r="V303" s="217">
        <f t="shared" si="323"/>
        <v>1600776.4873841123</v>
      </c>
      <c r="W303" s="217">
        <f t="shared" si="323"/>
        <v>1716273.3850961714</v>
      </c>
      <c r="X303" s="217">
        <f t="shared" si="323"/>
        <v>1708923.3807816706</v>
      </c>
      <c r="Y303" s="217">
        <f t="shared" si="323"/>
        <v>1777001.997216745</v>
      </c>
      <c r="Z303" s="217">
        <f t="shared" si="323"/>
        <v>1830502.7568067324</v>
      </c>
      <c r="AA303" s="217">
        <f t="shared" si="323"/>
        <v>1885354.5711005323</v>
      </c>
      <c r="AB303" s="217">
        <f t="shared" si="323"/>
        <v>1939447.9250492146</v>
      </c>
      <c r="AC303" s="217">
        <f t="shared" si="323"/>
        <v>1997406.0242609945</v>
      </c>
      <c r="AD303" s="217">
        <f t="shared" si="323"/>
        <v>2055451.38969585</v>
      </c>
      <c r="AE303" s="217">
        <f t="shared" si="323"/>
        <v>2115010.3380833482</v>
      </c>
      <c r="AF303" s="217">
        <f t="shared" si="323"/>
        <v>2167368.369079937</v>
      </c>
      <c r="AG303" s="217">
        <f t="shared" si="323"/>
        <v>2222747.323153984</v>
      </c>
      <c r="AH303" s="217">
        <f t="shared" si="323"/>
        <v>2278320.6856969674</v>
      </c>
      <c r="AI303" s="217">
        <f t="shared" si="323"/>
        <v>2335154.452921573</v>
      </c>
      <c r="AJ303" s="217">
        <f t="shared" si="323"/>
        <v>2392076.7619565004</v>
      </c>
      <c r="AK303" s="217">
        <f t="shared" si="323"/>
        <v>2451683.353490712</v>
      </c>
      <c r="AM303" s="207"/>
      <c r="AR303" s="217">
        <f aca="true" t="shared" si="324" ref="AR303:BL303">AR72+AR149+AR265+AR276+AR291</f>
        <v>887111.6116075811</v>
      </c>
      <c r="AS303" s="217">
        <f t="shared" si="324"/>
        <v>968120.7818913516</v>
      </c>
      <c r="AT303" s="217">
        <f t="shared" si="324"/>
        <v>1057401.8017045094</v>
      </c>
      <c r="AU303" s="217">
        <f t="shared" si="324"/>
        <v>1196161.5596502027</v>
      </c>
      <c r="AV303" s="237">
        <f t="shared" si="324"/>
        <v>1336203.3279000355</v>
      </c>
      <c r="AW303" s="217">
        <f t="shared" si="324"/>
        <v>1435903.2261031535</v>
      </c>
      <c r="AX303" s="217">
        <f t="shared" si="324"/>
        <v>1496532.1680352811</v>
      </c>
      <c r="AY303" s="217">
        <f t="shared" si="324"/>
        <v>1487214.4353915618</v>
      </c>
      <c r="AZ303" s="217">
        <f t="shared" si="324"/>
        <v>1546766.4779047428</v>
      </c>
      <c r="BA303" s="217">
        <f t="shared" si="324"/>
        <v>1594096.2094863954</v>
      </c>
      <c r="BB303" s="217">
        <f t="shared" si="324"/>
        <v>1642429.2837092262</v>
      </c>
      <c r="BC303" s="217">
        <f t="shared" si="324"/>
        <v>1691817.9686775296</v>
      </c>
      <c r="BD303" s="217">
        <f t="shared" si="324"/>
        <v>1742314.0703970215</v>
      </c>
      <c r="BE303" s="217">
        <f t="shared" si="324"/>
        <v>1793969.0647211757</v>
      </c>
      <c r="BF303" s="217">
        <f t="shared" si="324"/>
        <v>1846834.2217394742</v>
      </c>
      <c r="BG303" s="217">
        <f t="shared" si="324"/>
        <v>1894266.4990278694</v>
      </c>
      <c r="BH303" s="217">
        <f t="shared" si="324"/>
        <v>1942639.5252532985</v>
      </c>
      <c r="BI303" s="217">
        <f t="shared" si="324"/>
        <v>1991990.8210419598</v>
      </c>
      <c r="BJ303" s="217">
        <f t="shared" si="324"/>
        <v>2042357.5764346812</v>
      </c>
      <c r="BK303" s="217">
        <f t="shared" si="324"/>
        <v>2093776.7356168667</v>
      </c>
      <c r="BL303" s="217">
        <f t="shared" si="324"/>
        <v>2146285.0764586036</v>
      </c>
      <c r="BN303" s="207"/>
      <c r="BQ303" s="217">
        <f aca="true" t="shared" si="325" ref="BQ303:CK303">BQ72+BQ149+BQ265+BQ276+BQ291</f>
        <v>0</v>
      </c>
      <c r="BR303" s="217">
        <f t="shared" si="325"/>
        <v>932.3125768163479</v>
      </c>
      <c r="BS303" s="217">
        <f t="shared" si="325"/>
        <v>13462.189841820813</v>
      </c>
      <c r="BT303" s="217">
        <f t="shared" si="325"/>
        <v>65448.436285857315</v>
      </c>
      <c r="BU303" s="217">
        <f t="shared" si="325"/>
        <v>112027.37682660807</v>
      </c>
      <c r="BV303" s="217">
        <f t="shared" si="325"/>
        <v>164873.26128095866</v>
      </c>
      <c r="BW303" s="217">
        <f t="shared" si="325"/>
        <v>219741.2170608903</v>
      </c>
      <c r="BX303" s="217">
        <f t="shared" si="325"/>
        <v>221708.94539010868</v>
      </c>
      <c r="BY303" s="217">
        <f t="shared" si="325"/>
        <v>230235.5193120021</v>
      </c>
      <c r="BZ303" s="217">
        <f t="shared" si="325"/>
        <v>236406.54732033698</v>
      </c>
      <c r="CA303" s="217">
        <f t="shared" si="325"/>
        <v>242925.28739130596</v>
      </c>
      <c r="CB303" s="217">
        <f t="shared" si="325"/>
        <v>247629.95637168497</v>
      </c>
      <c r="CC303" s="217">
        <f t="shared" si="325"/>
        <v>255091.95386397332</v>
      </c>
      <c r="CD303" s="217">
        <f t="shared" si="325"/>
        <v>261482.3249746739</v>
      </c>
      <c r="CE303" s="217">
        <f t="shared" si="325"/>
        <v>268176.116343874</v>
      </c>
      <c r="CF303" s="217">
        <f t="shared" si="325"/>
        <v>273101.87005206785</v>
      </c>
      <c r="CG303" s="217">
        <f t="shared" si="325"/>
        <v>280107.797900685</v>
      </c>
      <c r="CH303" s="217">
        <f t="shared" si="325"/>
        <v>286329.8646550077</v>
      </c>
      <c r="CI303" s="217">
        <f t="shared" si="325"/>
        <v>292796.8764868922</v>
      </c>
      <c r="CJ303" s="217">
        <f t="shared" si="325"/>
        <v>298300.02633963386</v>
      </c>
      <c r="CK303" s="217">
        <f t="shared" si="325"/>
        <v>305398.27703210845</v>
      </c>
    </row>
    <row r="304" spans="5:89" s="1" customFormat="1" ht="12.75">
      <c r="E304" s="218"/>
      <c r="G304" s="122" t="s">
        <v>72</v>
      </c>
      <c r="L304" s="123" t="s">
        <v>184</v>
      </c>
      <c r="M304" s="124"/>
      <c r="Q304" s="217">
        <f aca="true" t="shared" si="326" ref="Q304:AK304">Q73+Q150+Q266+Q277+Q292</f>
        <v>1518933.07966669</v>
      </c>
      <c r="R304" s="237">
        <f t="shared" si="326"/>
        <v>1659175.2857011245</v>
      </c>
      <c r="S304" s="217">
        <f t="shared" si="326"/>
        <v>1833255.4438712844</v>
      </c>
      <c r="T304" s="217">
        <f t="shared" si="326"/>
        <v>2158700.7338445876</v>
      </c>
      <c r="U304" s="237">
        <f t="shared" si="326"/>
        <v>2479473.8278617607</v>
      </c>
      <c r="V304" s="217">
        <f t="shared" si="326"/>
        <v>2740661.472583971</v>
      </c>
      <c r="W304" s="217">
        <f t="shared" si="326"/>
        <v>2938229.4421297885</v>
      </c>
      <c r="X304" s="217">
        <f t="shared" si="326"/>
        <v>2926580.1622306947</v>
      </c>
      <c r="Y304" s="217">
        <f t="shared" si="326"/>
        <v>3042456.067291988</v>
      </c>
      <c r="Z304" s="217">
        <f t="shared" si="326"/>
        <v>3134057.907891733</v>
      </c>
      <c r="AA304" s="217">
        <f t="shared" si="326"/>
        <v>3227835.6173246633</v>
      </c>
      <c r="AB304" s="217">
        <f t="shared" si="326"/>
        <v>3321155.5236366354</v>
      </c>
      <c r="AC304" s="217">
        <f t="shared" si="326"/>
        <v>3419876.8069712194</v>
      </c>
      <c r="AD304" s="217">
        <f t="shared" si="326"/>
        <v>3519261.024023587</v>
      </c>
      <c r="AE304" s="217">
        <f t="shared" si="326"/>
        <v>3621134.013926354</v>
      </c>
      <c r="AF304" s="217">
        <f t="shared" si="326"/>
        <v>3711306.418280404</v>
      </c>
      <c r="AG304" s="217">
        <f t="shared" si="326"/>
        <v>3805741.731655244</v>
      </c>
      <c r="AH304" s="217">
        <f t="shared" si="326"/>
        <v>3900894.044583045</v>
      </c>
      <c r="AI304" s="217">
        <f t="shared" si="326"/>
        <v>3998127.5314033288</v>
      </c>
      <c r="AJ304" s="217">
        <f t="shared" si="326"/>
        <v>4095983.134548702</v>
      </c>
      <c r="AK304" s="217">
        <f t="shared" si="326"/>
        <v>4197754.405563864</v>
      </c>
      <c r="AM304" s="207"/>
      <c r="AR304" s="217">
        <f aca="true" t="shared" si="327" ref="AR304:BL304">AR73+AR150+AR266+AR277+AR292</f>
        <v>1518933.07966669</v>
      </c>
      <c r="AS304" s="217">
        <f t="shared" si="327"/>
        <v>1657638.8601911825</v>
      </c>
      <c r="AT304" s="217">
        <f t="shared" si="327"/>
        <v>1810507.8933614693</v>
      </c>
      <c r="AU304" s="217">
        <f t="shared" si="327"/>
        <v>2048095.5697174515</v>
      </c>
      <c r="AV304" s="237">
        <f t="shared" si="327"/>
        <v>2287878.333854894</v>
      </c>
      <c r="AW304" s="217">
        <f t="shared" si="327"/>
        <v>2458586.812290534</v>
      </c>
      <c r="AX304" s="217">
        <f t="shared" si="327"/>
        <v>2562397.093072465</v>
      </c>
      <c r="AY304" s="217">
        <f t="shared" si="327"/>
        <v>2546443.055097065</v>
      </c>
      <c r="AZ304" s="217">
        <f t="shared" si="327"/>
        <v>2648409.4437130764</v>
      </c>
      <c r="BA304" s="217">
        <f t="shared" si="327"/>
        <v>2729448.5080320104</v>
      </c>
      <c r="BB304" s="217">
        <f t="shared" si="327"/>
        <v>2812205.51889557</v>
      </c>
      <c r="BC304" s="217">
        <f t="shared" si="327"/>
        <v>2896769.970964546</v>
      </c>
      <c r="BD304" s="217">
        <f t="shared" si="327"/>
        <v>2983230.567683576</v>
      </c>
      <c r="BE304" s="217">
        <f t="shared" si="327"/>
        <v>3071675.447202986</v>
      </c>
      <c r="BF304" s="217">
        <f t="shared" si="327"/>
        <v>3162192.395359498</v>
      </c>
      <c r="BG304" s="217">
        <f t="shared" si="327"/>
        <v>3243407.0408162232</v>
      </c>
      <c r="BH304" s="217">
        <f t="shared" si="327"/>
        <v>3326232.458425432</v>
      </c>
      <c r="BI304" s="217">
        <f t="shared" si="327"/>
        <v>3410732.891873554</v>
      </c>
      <c r="BJ304" s="217">
        <f t="shared" si="327"/>
        <v>3496972.018811586</v>
      </c>
      <c r="BK304" s="217">
        <f t="shared" si="327"/>
        <v>3585013.095930328</v>
      </c>
      <c r="BL304" s="217">
        <f t="shared" si="327"/>
        <v>3674919.0951522435</v>
      </c>
      <c r="BN304" s="207"/>
      <c r="BQ304" s="217">
        <f aca="true" t="shared" si="328" ref="BQ304:CK304">BQ73+BQ150+BQ266+BQ277+BQ292</f>
        <v>0</v>
      </c>
      <c r="BR304" s="217">
        <f t="shared" si="328"/>
        <v>1536.42550994209</v>
      </c>
      <c r="BS304" s="217">
        <f t="shared" si="328"/>
        <v>22747.55050981543</v>
      </c>
      <c r="BT304" s="217">
        <f t="shared" si="328"/>
        <v>110605.16412713598</v>
      </c>
      <c r="BU304" s="217">
        <f t="shared" si="328"/>
        <v>191595.49400686668</v>
      </c>
      <c r="BV304" s="217">
        <f t="shared" si="328"/>
        <v>282074.66029343713</v>
      </c>
      <c r="BW304" s="217">
        <f t="shared" si="328"/>
        <v>375832.34905732365</v>
      </c>
      <c r="BX304" s="217">
        <f t="shared" si="328"/>
        <v>380137.10713363014</v>
      </c>
      <c r="BY304" s="217">
        <f t="shared" si="328"/>
        <v>394046.62357891136</v>
      </c>
      <c r="BZ304" s="217">
        <f t="shared" si="328"/>
        <v>404609.39985972294</v>
      </c>
      <c r="CA304" s="217">
        <f t="shared" si="328"/>
        <v>415630.09842909285</v>
      </c>
      <c r="CB304" s="217">
        <f t="shared" si="328"/>
        <v>424385.55267208914</v>
      </c>
      <c r="CC304" s="217">
        <f t="shared" si="328"/>
        <v>436646.23928764387</v>
      </c>
      <c r="CD304" s="217">
        <f t="shared" si="328"/>
        <v>447585.5768206002</v>
      </c>
      <c r="CE304" s="217">
        <f t="shared" si="328"/>
        <v>458941.6185668558</v>
      </c>
      <c r="CF304" s="217">
        <f t="shared" si="328"/>
        <v>467899.3774641805</v>
      </c>
      <c r="CG304" s="217">
        <f t="shared" si="328"/>
        <v>479509.27322981175</v>
      </c>
      <c r="CH304" s="217">
        <f t="shared" si="328"/>
        <v>490161.1527094914</v>
      </c>
      <c r="CI304" s="217">
        <f t="shared" si="328"/>
        <v>501155.5125917432</v>
      </c>
      <c r="CJ304" s="217">
        <f t="shared" si="328"/>
        <v>510970.03861837374</v>
      </c>
      <c r="CK304" s="217">
        <f t="shared" si="328"/>
        <v>522835.3104116207</v>
      </c>
    </row>
    <row r="305" spans="5:89" s="1" customFormat="1" ht="12.75">
      <c r="E305" s="218"/>
      <c r="G305" s="122" t="s">
        <v>85</v>
      </c>
      <c r="L305" s="123" t="s">
        <v>184</v>
      </c>
      <c r="M305" s="124"/>
      <c r="Q305" s="217">
        <f aca="true" t="shared" si="329" ref="Q305:AK305">Q74+Q151+Q267+Q278+Q293</f>
        <v>654895.1121264442</v>
      </c>
      <c r="R305" s="237">
        <f t="shared" si="329"/>
        <v>715381.8481054467</v>
      </c>
      <c r="S305" s="217">
        <f t="shared" si="329"/>
        <v>790521.0397657722</v>
      </c>
      <c r="T305" s="217">
        <f t="shared" si="329"/>
        <v>931236.3112294134</v>
      </c>
      <c r="U305" s="237">
        <f t="shared" si="329"/>
        <v>1069112.7337684312</v>
      </c>
      <c r="V305" s="217">
        <f t="shared" si="329"/>
        <v>1181726.659202369</v>
      </c>
      <c r="W305" s="217">
        <f t="shared" si="329"/>
        <v>1266974.0019417936</v>
      </c>
      <c r="X305" s="217">
        <f t="shared" si="329"/>
        <v>1261628.8104066139</v>
      </c>
      <c r="Y305" s="217">
        <f t="shared" si="329"/>
        <v>1311827.0956918246</v>
      </c>
      <c r="Z305" s="217">
        <f t="shared" si="329"/>
        <v>1351322.8308880362</v>
      </c>
      <c r="AA305" s="217">
        <f t="shared" si="329"/>
        <v>1391804.0858937805</v>
      </c>
      <c r="AB305" s="217">
        <f t="shared" si="329"/>
        <v>1431798.0622333675</v>
      </c>
      <c r="AC305" s="217">
        <f t="shared" si="329"/>
        <v>1474540.0759967712</v>
      </c>
      <c r="AD305" s="217">
        <f t="shared" si="329"/>
        <v>1517390.8755575016</v>
      </c>
      <c r="AE305" s="217">
        <f t="shared" si="329"/>
        <v>1561350.169452947</v>
      </c>
      <c r="AF305" s="217">
        <f t="shared" si="329"/>
        <v>1600047.8473476092</v>
      </c>
      <c r="AG305" s="217">
        <f t="shared" si="329"/>
        <v>1640897.0905719702</v>
      </c>
      <c r="AH305" s="217">
        <f t="shared" si="329"/>
        <v>1681923.0377994715</v>
      </c>
      <c r="AI305" s="217">
        <f t="shared" si="329"/>
        <v>1723872.8122109058</v>
      </c>
      <c r="AJ305" s="217">
        <f t="shared" si="329"/>
        <v>1765928.5991627295</v>
      </c>
      <c r="AK305" s="217">
        <f t="shared" si="329"/>
        <v>1809907.2298156242</v>
      </c>
      <c r="AM305" s="207"/>
      <c r="AR305" s="217">
        <f aca="true" t="shared" si="330" ref="AR305:BL305">AR74+AR151+AR267+AR278+AR293</f>
        <v>654895.1121264442</v>
      </c>
      <c r="AS305" s="217">
        <f t="shared" si="330"/>
        <v>714698.7591107525</v>
      </c>
      <c r="AT305" s="217">
        <f t="shared" si="330"/>
        <v>780608.9588153253</v>
      </c>
      <c r="AU305" s="217">
        <f t="shared" si="330"/>
        <v>883045.9983596592</v>
      </c>
      <c r="AV305" s="237">
        <f t="shared" si="330"/>
        <v>986429.46028297</v>
      </c>
      <c r="AW305" s="217">
        <f t="shared" si="330"/>
        <v>1060031.2203753726</v>
      </c>
      <c r="AX305" s="217">
        <f t="shared" si="330"/>
        <v>1104789.5091918116</v>
      </c>
      <c r="AY305" s="217">
        <f t="shared" si="330"/>
        <v>1097910.8509884633</v>
      </c>
      <c r="AZ305" s="217">
        <f t="shared" si="330"/>
        <v>1141874.1370606048</v>
      </c>
      <c r="BA305" s="217">
        <f t="shared" si="330"/>
        <v>1176814.5092364496</v>
      </c>
      <c r="BB305" s="217">
        <f t="shared" si="330"/>
        <v>1212495.5821120674</v>
      </c>
      <c r="BC305" s="217">
        <f t="shared" si="330"/>
        <v>1248955.941729597</v>
      </c>
      <c r="BD305" s="217">
        <f t="shared" si="330"/>
        <v>1286233.8329947202</v>
      </c>
      <c r="BE305" s="217">
        <f t="shared" si="330"/>
        <v>1324367.2570838127</v>
      </c>
      <c r="BF305" s="217">
        <f t="shared" si="330"/>
        <v>1363394.0632715647</v>
      </c>
      <c r="BG305" s="217">
        <f t="shared" si="330"/>
        <v>1398410.1380774032</v>
      </c>
      <c r="BH305" s="217">
        <f t="shared" si="330"/>
        <v>1434120.7048418089</v>
      </c>
      <c r="BI305" s="217">
        <f t="shared" si="330"/>
        <v>1470553.4625311447</v>
      </c>
      <c r="BJ305" s="217">
        <f t="shared" si="330"/>
        <v>1507735.8660627422</v>
      </c>
      <c r="BK305" s="217">
        <f t="shared" si="330"/>
        <v>1545695.1888553507</v>
      </c>
      <c r="BL305" s="217">
        <f t="shared" si="330"/>
        <v>1584458.5815482272</v>
      </c>
      <c r="BN305" s="207"/>
      <c r="BQ305" s="217">
        <f aca="true" t="shared" si="331" ref="BQ305:CK305">BQ74+BQ151+BQ267+BQ278+BQ293</f>
        <v>0</v>
      </c>
      <c r="BR305" s="217">
        <f t="shared" si="331"/>
        <v>683.0889946942085</v>
      </c>
      <c r="BS305" s="217">
        <f t="shared" si="331"/>
        <v>9912.080950446958</v>
      </c>
      <c r="BT305" s="217">
        <f t="shared" si="331"/>
        <v>48190.31286975401</v>
      </c>
      <c r="BU305" s="217">
        <f t="shared" si="331"/>
        <v>82683.27348546141</v>
      </c>
      <c r="BV305" s="217">
        <f t="shared" si="331"/>
        <v>121695.4388269965</v>
      </c>
      <c r="BW305" s="217">
        <f t="shared" si="331"/>
        <v>162184.49274998181</v>
      </c>
      <c r="BX305" s="217">
        <f t="shared" si="331"/>
        <v>163717.95941815077</v>
      </c>
      <c r="BY305" s="217">
        <f t="shared" si="331"/>
        <v>169952.9586312198</v>
      </c>
      <c r="BZ305" s="217">
        <f t="shared" si="331"/>
        <v>174508.32165158703</v>
      </c>
      <c r="CA305" s="217">
        <f t="shared" si="331"/>
        <v>179308.50378171325</v>
      </c>
      <c r="CB305" s="217">
        <f t="shared" si="331"/>
        <v>182842.12050377057</v>
      </c>
      <c r="CC305" s="217">
        <f t="shared" si="331"/>
        <v>188306.24300205093</v>
      </c>
      <c r="CD305" s="217">
        <f t="shared" si="331"/>
        <v>193023.6184736886</v>
      </c>
      <c r="CE305" s="217">
        <f t="shared" si="331"/>
        <v>197956.10618138258</v>
      </c>
      <c r="CF305" s="217">
        <f t="shared" si="331"/>
        <v>201637.70927020593</v>
      </c>
      <c r="CG305" s="217">
        <f t="shared" si="331"/>
        <v>206776.3857301613</v>
      </c>
      <c r="CH305" s="217">
        <f t="shared" si="331"/>
        <v>211369.57526832665</v>
      </c>
      <c r="CI305" s="217">
        <f t="shared" si="331"/>
        <v>216136.94614816378</v>
      </c>
      <c r="CJ305" s="217">
        <f t="shared" si="331"/>
        <v>220233.41030737877</v>
      </c>
      <c r="CK305" s="217">
        <f t="shared" si="331"/>
        <v>225448.64826739707</v>
      </c>
    </row>
    <row r="306" spans="5:89" s="1" customFormat="1" ht="12.75">
      <c r="E306" s="218"/>
      <c r="G306" s="122" t="s">
        <v>81</v>
      </c>
      <c r="L306" s="123" t="s">
        <v>184</v>
      </c>
      <c r="M306" s="124"/>
      <c r="Q306" s="217">
        <f aca="true" t="shared" si="332" ref="Q306:AK306">Q75+Q152+Q268+Q279+Q294</f>
        <v>904563.2141102041</v>
      </c>
      <c r="R306" s="237">
        <f t="shared" si="332"/>
        <v>988150.4610546562</v>
      </c>
      <c r="S306" s="217">
        <f t="shared" si="332"/>
        <v>1092101.1525002867</v>
      </c>
      <c r="T306" s="217">
        <f t="shared" si="332"/>
        <v>1287250.5957045783</v>
      </c>
      <c r="U306" s="237">
        <f t="shared" si="332"/>
        <v>1476845.1344194468</v>
      </c>
      <c r="V306" s="217">
        <f t="shared" si="332"/>
        <v>1632394.5538520974</v>
      </c>
      <c r="W306" s="217">
        <f t="shared" si="332"/>
        <v>1750269.848243239</v>
      </c>
      <c r="X306" s="217">
        <f t="shared" si="332"/>
        <v>1742247.6696017266</v>
      </c>
      <c r="Y306" s="217">
        <f t="shared" si="332"/>
        <v>1812054.5902754245</v>
      </c>
      <c r="Z306" s="217">
        <f t="shared" si="332"/>
        <v>1866609.75538023</v>
      </c>
      <c r="AA306" s="217">
        <f t="shared" si="332"/>
        <v>1922620.0574208864</v>
      </c>
      <c r="AB306" s="217">
        <f t="shared" si="332"/>
        <v>1977382.809067313</v>
      </c>
      <c r="AC306" s="217">
        <f t="shared" si="332"/>
        <v>2036772.0173991623</v>
      </c>
      <c r="AD306" s="217">
        <f t="shared" si="332"/>
        <v>2095960.629420823</v>
      </c>
      <c r="AE306" s="217">
        <f t="shared" si="332"/>
        <v>2156750.5815074546</v>
      </c>
      <c r="AF306" s="217">
        <f t="shared" si="332"/>
        <v>2209843.257881706</v>
      </c>
      <c r="AG306" s="217">
        <f t="shared" si="332"/>
        <v>2266529.2163767326</v>
      </c>
      <c r="AH306" s="217">
        <f t="shared" si="332"/>
        <v>2323196.791224597</v>
      </c>
      <c r="AI306" s="217">
        <f t="shared" si="332"/>
        <v>2381192.9425135516</v>
      </c>
      <c r="AJ306" s="217">
        <f t="shared" si="332"/>
        <v>2439014.047417947</v>
      </c>
      <c r="AK306" s="217">
        <f t="shared" si="332"/>
        <v>2499955.9427441075</v>
      </c>
      <c r="AM306" s="207"/>
      <c r="AR306" s="217">
        <f aca="true" t="shared" si="333" ref="AR306:BL306">AR75+AR152+AR268+AR279+AR294</f>
        <v>904563.2141102041</v>
      </c>
      <c r="AS306" s="217">
        <f t="shared" si="333"/>
        <v>987166.0281027928</v>
      </c>
      <c r="AT306" s="217">
        <f t="shared" si="333"/>
        <v>1078203.4186458823</v>
      </c>
      <c r="AU306" s="217">
        <f t="shared" si="333"/>
        <v>1219692.9121821623</v>
      </c>
      <c r="AV306" s="237">
        <f t="shared" si="333"/>
        <v>1362489.6362247975</v>
      </c>
      <c r="AW306" s="217">
        <f t="shared" si="333"/>
        <v>1464150.8693605508</v>
      </c>
      <c r="AX306" s="217">
        <f t="shared" si="333"/>
        <v>1525972.5272721662</v>
      </c>
      <c r="AY306" s="217">
        <f t="shared" si="333"/>
        <v>1516471.492590474</v>
      </c>
      <c r="AZ306" s="217">
        <f t="shared" si="333"/>
        <v>1577195.0659015279</v>
      </c>
      <c r="BA306" s="217">
        <f t="shared" si="333"/>
        <v>1625455.8862563686</v>
      </c>
      <c r="BB306" s="217">
        <f t="shared" si="333"/>
        <v>1674739.787396581</v>
      </c>
      <c r="BC306" s="217">
        <f t="shared" si="333"/>
        <v>1725100.0656649175</v>
      </c>
      <c r="BD306" s="217">
        <f t="shared" si="333"/>
        <v>1776589.5462147759</v>
      </c>
      <c r="BE306" s="217">
        <f t="shared" si="333"/>
        <v>1829260.7175525196</v>
      </c>
      <c r="BF306" s="217">
        <f t="shared" si="333"/>
        <v>1883165.858372682</v>
      </c>
      <c r="BG306" s="217">
        <f t="shared" si="333"/>
        <v>1931531.241753036</v>
      </c>
      <c r="BH306" s="217">
        <f t="shared" si="333"/>
        <v>1980855.8808471453</v>
      </c>
      <c r="BI306" s="217">
        <f t="shared" si="333"/>
        <v>2031178.0344013742</v>
      </c>
      <c r="BJ306" s="217">
        <f t="shared" si="333"/>
        <v>2082535.6240735473</v>
      </c>
      <c r="BK306" s="217">
        <f t="shared" si="333"/>
        <v>2134966.3208292485</v>
      </c>
      <c r="BL306" s="217">
        <f t="shared" si="333"/>
        <v>2188507.626047151</v>
      </c>
      <c r="BN306" s="207"/>
      <c r="BQ306" s="217">
        <f aca="true" t="shared" si="334" ref="BQ306:CK306">BQ75+BQ152+BQ268+BQ279+BQ294</f>
        <v>0</v>
      </c>
      <c r="BR306" s="217">
        <f t="shared" si="334"/>
        <v>984.4329518634827</v>
      </c>
      <c r="BS306" s="217">
        <f t="shared" si="334"/>
        <v>13897.73385440436</v>
      </c>
      <c r="BT306" s="217">
        <f t="shared" si="334"/>
        <v>67557.68352241596</v>
      </c>
      <c r="BU306" s="217">
        <f t="shared" si="334"/>
        <v>114355.49819464945</v>
      </c>
      <c r="BV306" s="217">
        <f t="shared" si="334"/>
        <v>168243.68449154674</v>
      </c>
      <c r="BW306" s="217">
        <f t="shared" si="334"/>
        <v>224297.3209710728</v>
      </c>
      <c r="BX306" s="217">
        <f t="shared" si="334"/>
        <v>225776.1770112526</v>
      </c>
      <c r="BY306" s="217">
        <f t="shared" si="334"/>
        <v>234859.52437389691</v>
      </c>
      <c r="BZ306" s="217">
        <f t="shared" si="334"/>
        <v>241153.869123861</v>
      </c>
      <c r="CA306" s="217">
        <f t="shared" si="334"/>
        <v>247880.27002430533</v>
      </c>
      <c r="CB306" s="217">
        <f t="shared" si="334"/>
        <v>252282.7434023955</v>
      </c>
      <c r="CC306" s="217">
        <f t="shared" si="334"/>
        <v>260182.47118438667</v>
      </c>
      <c r="CD306" s="217">
        <f t="shared" si="334"/>
        <v>266699.9118683033</v>
      </c>
      <c r="CE306" s="217">
        <f t="shared" si="334"/>
        <v>273584.7231347725</v>
      </c>
      <c r="CF306" s="217">
        <f t="shared" si="334"/>
        <v>278312.01612867</v>
      </c>
      <c r="CG306" s="217">
        <f t="shared" si="334"/>
        <v>285673.3355295876</v>
      </c>
      <c r="CH306" s="217">
        <f t="shared" si="334"/>
        <v>292018.7568232227</v>
      </c>
      <c r="CI306" s="217">
        <f t="shared" si="334"/>
        <v>298657.31844000414</v>
      </c>
      <c r="CJ306" s="217">
        <f t="shared" si="334"/>
        <v>304047.7265886986</v>
      </c>
      <c r="CK306" s="217">
        <f t="shared" si="334"/>
        <v>311448.31669695623</v>
      </c>
    </row>
    <row r="307" spans="5:89" s="1" customFormat="1" ht="12.75">
      <c r="E307" s="218"/>
      <c r="G307" s="122" t="s">
        <v>82</v>
      </c>
      <c r="L307" s="123" t="s">
        <v>184</v>
      </c>
      <c r="M307" s="124"/>
      <c r="Q307" s="217">
        <f aca="true" t="shared" si="335" ref="Q307:AK307">Q76+Q153+Q269+Q280+Q295</f>
        <v>89981.75710041555</v>
      </c>
      <c r="R307" s="237">
        <f t="shared" si="335"/>
        <v>98303.99671817377</v>
      </c>
      <c r="S307" s="217">
        <f t="shared" si="335"/>
        <v>108674.39564511136</v>
      </c>
      <c r="T307" s="217">
        <f t="shared" si="335"/>
        <v>128228.94869105783</v>
      </c>
      <c r="U307" s="237">
        <f t="shared" si="335"/>
        <v>146936.8163072582</v>
      </c>
      <c r="V307" s="217">
        <f t="shared" si="335"/>
        <v>162410.7400663653</v>
      </c>
      <c r="W307" s="217">
        <f t="shared" si="335"/>
        <v>174159.6124430047</v>
      </c>
      <c r="X307" s="217">
        <f t="shared" si="335"/>
        <v>173246.5331656369</v>
      </c>
      <c r="Y307" s="217">
        <f t="shared" si="335"/>
        <v>180275.45406374708</v>
      </c>
      <c r="Z307" s="217">
        <f t="shared" si="335"/>
        <v>185702.76740693764</v>
      </c>
      <c r="AA307" s="217">
        <f t="shared" si="335"/>
        <v>191291.73525260302</v>
      </c>
      <c r="AB307" s="217">
        <f t="shared" si="335"/>
        <v>196653.18224562958</v>
      </c>
      <c r="AC307" s="217">
        <f t="shared" si="335"/>
        <v>202624.40087101044</v>
      </c>
      <c r="AD307" s="217">
        <f t="shared" si="335"/>
        <v>208512.50542951247</v>
      </c>
      <c r="AE307" s="217">
        <f t="shared" si="335"/>
        <v>214572.55009221646</v>
      </c>
      <c r="AF307" s="217">
        <f t="shared" si="335"/>
        <v>219789.54257669696</v>
      </c>
      <c r="AG307" s="217">
        <f t="shared" si="335"/>
        <v>225475.85252664195</v>
      </c>
      <c r="AH307" s="217">
        <f t="shared" si="335"/>
        <v>231113.08785426928</v>
      </c>
      <c r="AI307" s="217">
        <f t="shared" si="335"/>
        <v>236891.94460970265</v>
      </c>
      <c r="AJ307" s="217">
        <f t="shared" si="335"/>
        <v>242595.51785077841</v>
      </c>
      <c r="AK307" s="217">
        <f t="shared" si="335"/>
        <v>248693.2214278474</v>
      </c>
      <c r="AM307" s="207"/>
      <c r="AR307" s="217">
        <f aca="true" t="shared" si="336" ref="AR307:BL307">AR76+AR153+AR269+AR280+AR295</f>
        <v>89981.75710041555</v>
      </c>
      <c r="AS307" s="217">
        <f t="shared" si="336"/>
        <v>98198.70228296258</v>
      </c>
      <c r="AT307" s="217">
        <f t="shared" si="336"/>
        <v>107254.6800577849</v>
      </c>
      <c r="AU307" s="217">
        <f t="shared" si="336"/>
        <v>121329.39926042907</v>
      </c>
      <c r="AV307" s="237">
        <f t="shared" si="336"/>
        <v>135534.15569658228</v>
      </c>
      <c r="AW307" s="217">
        <f t="shared" si="336"/>
        <v>145646.94410523816</v>
      </c>
      <c r="AX307" s="217">
        <f t="shared" si="336"/>
        <v>151796.67617368177</v>
      </c>
      <c r="AY307" s="217">
        <f t="shared" si="336"/>
        <v>150851.5572681202</v>
      </c>
      <c r="AZ307" s="217">
        <f t="shared" si="336"/>
        <v>156892.05696865413</v>
      </c>
      <c r="BA307" s="217">
        <f t="shared" si="336"/>
        <v>161692.81975327083</v>
      </c>
      <c r="BB307" s="217">
        <f t="shared" si="336"/>
        <v>166595.3538738122</v>
      </c>
      <c r="BC307" s="217">
        <f t="shared" si="336"/>
        <v>171604.96100348653</v>
      </c>
      <c r="BD307" s="217">
        <f t="shared" si="336"/>
        <v>176726.89594379047</v>
      </c>
      <c r="BE307" s="217">
        <f t="shared" si="336"/>
        <v>181966.38000812032</v>
      </c>
      <c r="BF307" s="217">
        <f t="shared" si="336"/>
        <v>187328.61363876233</v>
      </c>
      <c r="BG307" s="217">
        <f t="shared" si="336"/>
        <v>192139.77786865077</v>
      </c>
      <c r="BH307" s="217">
        <f t="shared" si="336"/>
        <v>197046.36441207153</v>
      </c>
      <c r="BI307" s="217">
        <f t="shared" si="336"/>
        <v>202052.17907185171</v>
      </c>
      <c r="BJ307" s="217">
        <f t="shared" si="336"/>
        <v>207160.9941187812</v>
      </c>
      <c r="BK307" s="217">
        <f t="shared" si="336"/>
        <v>212376.55688595818</v>
      </c>
      <c r="BL307" s="217">
        <f t="shared" si="336"/>
        <v>217702.59783678898</v>
      </c>
      <c r="BN307" s="207"/>
      <c r="BQ307" s="217">
        <f aca="true" t="shared" si="337" ref="BQ307:CK307">BQ76+BQ153+BQ269+BQ280+BQ295</f>
        <v>0</v>
      </c>
      <c r="BR307" s="217">
        <f t="shared" si="337"/>
        <v>105.29443521119316</v>
      </c>
      <c r="BS307" s="217">
        <f t="shared" si="337"/>
        <v>1419.7155873264628</v>
      </c>
      <c r="BT307" s="217">
        <f t="shared" si="337"/>
        <v>6899.549430628772</v>
      </c>
      <c r="BU307" s="217">
        <f t="shared" si="337"/>
        <v>11402.660610675968</v>
      </c>
      <c r="BV307" s="217">
        <f t="shared" si="337"/>
        <v>16763.79596112715</v>
      </c>
      <c r="BW307" s="217">
        <f t="shared" si="337"/>
        <v>22362.936269322963</v>
      </c>
      <c r="BX307" s="217">
        <f t="shared" si="337"/>
        <v>22394.975897516728</v>
      </c>
      <c r="BY307" s="217">
        <f t="shared" si="337"/>
        <v>23383.397095092972</v>
      </c>
      <c r="BZ307" s="217">
        <f t="shared" si="337"/>
        <v>24009.947653666786</v>
      </c>
      <c r="CA307" s="217">
        <f t="shared" si="337"/>
        <v>24696.381378790782</v>
      </c>
      <c r="CB307" s="217">
        <f t="shared" si="337"/>
        <v>25048.221242143063</v>
      </c>
      <c r="CC307" s="217">
        <f t="shared" si="337"/>
        <v>25897.504927219943</v>
      </c>
      <c r="CD307" s="217">
        <f t="shared" si="337"/>
        <v>26546.12542139217</v>
      </c>
      <c r="CE307" s="217">
        <f t="shared" si="337"/>
        <v>27243.93645345413</v>
      </c>
      <c r="CF307" s="217">
        <f t="shared" si="337"/>
        <v>27649.764708046176</v>
      </c>
      <c r="CG307" s="217">
        <f t="shared" si="337"/>
        <v>28429.488114570417</v>
      </c>
      <c r="CH307" s="217">
        <f t="shared" si="337"/>
        <v>29060.90878241758</v>
      </c>
      <c r="CI307" s="217">
        <f t="shared" si="337"/>
        <v>29730.950490921474</v>
      </c>
      <c r="CJ307" s="217">
        <f t="shared" si="337"/>
        <v>30218.96096482025</v>
      </c>
      <c r="CK307" s="217">
        <f t="shared" si="337"/>
        <v>30990.623591058455</v>
      </c>
    </row>
    <row r="308" spans="5:89" s="1" customFormat="1" ht="12.75">
      <c r="E308" s="218"/>
      <c r="G308" s="122" t="s">
        <v>189</v>
      </c>
      <c r="L308" s="123" t="s">
        <v>184</v>
      </c>
      <c r="M308" s="124"/>
      <c r="Q308" s="217">
        <f aca="true" t="shared" si="338" ref="Q308:AK308">Q77+Q154+Q270+Q281+Q296</f>
        <v>1362988.4107256264</v>
      </c>
      <c r="R308" s="237">
        <f t="shared" si="338"/>
        <v>1488861.4290790549</v>
      </c>
      <c r="S308" s="217">
        <f t="shared" si="338"/>
        <v>1645187.1898129662</v>
      </c>
      <c r="T308" s="217">
        <f t="shared" si="338"/>
        <v>1937780.593180931</v>
      </c>
      <c r="U308" s="237">
        <f t="shared" si="338"/>
        <v>2225020.122741272</v>
      </c>
      <c r="V308" s="217">
        <f t="shared" si="338"/>
        <v>2459394.6754801963</v>
      </c>
      <c r="W308" s="217">
        <f t="shared" si="338"/>
        <v>2636770.435209271</v>
      </c>
      <c r="X308" s="217">
        <f t="shared" si="338"/>
        <v>2625862.773434783</v>
      </c>
      <c r="Y308" s="217">
        <f t="shared" si="338"/>
        <v>2730177.0765555343</v>
      </c>
      <c r="Z308" s="217">
        <f t="shared" si="338"/>
        <v>2812376.0606768215</v>
      </c>
      <c r="AA308" s="217">
        <f t="shared" si="338"/>
        <v>2896594.2734623705</v>
      </c>
      <c r="AB308" s="217">
        <f t="shared" si="338"/>
        <v>2979993.3051604726</v>
      </c>
      <c r="AC308" s="217">
        <f t="shared" si="338"/>
        <v>3068829.715068324</v>
      </c>
      <c r="AD308" s="217">
        <f t="shared" si="338"/>
        <v>3158011.5963507867</v>
      </c>
      <c r="AE308" s="217">
        <f t="shared" si="338"/>
        <v>3249476.6715804166</v>
      </c>
      <c r="AF308" s="217">
        <f t="shared" si="338"/>
        <v>3330136.9427456497</v>
      </c>
      <c r="AG308" s="217">
        <f t="shared" si="338"/>
        <v>3415064.224126611</v>
      </c>
      <c r="AH308" s="217">
        <f t="shared" si="338"/>
        <v>3500448.3311866815</v>
      </c>
      <c r="AI308" s="217">
        <f t="shared" si="338"/>
        <v>3587737.30193962</v>
      </c>
      <c r="AJ308" s="217">
        <f t="shared" si="338"/>
        <v>3675356.0019974294</v>
      </c>
      <c r="AK308" s="217">
        <f t="shared" si="338"/>
        <v>3766818.823004021</v>
      </c>
      <c r="AM308" s="207"/>
      <c r="AR308" s="217">
        <f aca="true" t="shared" si="339" ref="AR308:BL308">AR77+AR154+AR270+AR281+AR296</f>
        <v>1362988.4107256264</v>
      </c>
      <c r="AS308" s="217">
        <f t="shared" si="339"/>
        <v>1487453.651417481</v>
      </c>
      <c r="AT308" s="217">
        <f t="shared" si="339"/>
        <v>1624628.0426787813</v>
      </c>
      <c r="AU308" s="217">
        <f t="shared" si="339"/>
        <v>1837823.2477469984</v>
      </c>
      <c r="AV308" s="237">
        <f t="shared" si="339"/>
        <v>2052988.176989835</v>
      </c>
      <c r="AW308" s="217">
        <f t="shared" si="339"/>
        <v>2206170.4868855695</v>
      </c>
      <c r="AX308" s="217">
        <f t="shared" si="339"/>
        <v>2299322.852525664</v>
      </c>
      <c r="AY308" s="217">
        <f t="shared" si="339"/>
        <v>2285006.771616059</v>
      </c>
      <c r="AZ308" s="217">
        <f t="shared" si="339"/>
        <v>2376504.5524121295</v>
      </c>
      <c r="BA308" s="217">
        <f t="shared" si="339"/>
        <v>2449223.5595634794</v>
      </c>
      <c r="BB308" s="217">
        <f t="shared" si="339"/>
        <v>2523484.1364271473</v>
      </c>
      <c r="BC308" s="217">
        <f t="shared" si="339"/>
        <v>2599366.589493904</v>
      </c>
      <c r="BD308" s="217">
        <f t="shared" si="339"/>
        <v>2676950.5152704725</v>
      </c>
      <c r="BE308" s="217">
        <f t="shared" si="339"/>
        <v>2756315.0030064927</v>
      </c>
      <c r="BF308" s="217">
        <f t="shared" si="339"/>
        <v>2837538.825808894</v>
      </c>
      <c r="BG308" s="217">
        <f t="shared" si="339"/>
        <v>2910415.387667037</v>
      </c>
      <c r="BH308" s="217">
        <f t="shared" si="339"/>
        <v>2984737.3481444614</v>
      </c>
      <c r="BI308" s="217">
        <f t="shared" si="339"/>
        <v>3060562.3552056113</v>
      </c>
      <c r="BJ308" s="217">
        <f t="shared" si="339"/>
        <v>3137947.548892619</v>
      </c>
      <c r="BK308" s="217">
        <f t="shared" si="339"/>
        <v>3216949.6915063006</v>
      </c>
      <c r="BL308" s="217">
        <f t="shared" si="339"/>
        <v>3297625.289815952</v>
      </c>
      <c r="BN308" s="207"/>
      <c r="BQ308" s="217">
        <f aca="true" t="shared" si="340" ref="BQ308:CK308">BQ77+BQ154+BQ270+BQ281+BQ296</f>
        <v>0</v>
      </c>
      <c r="BR308" s="217">
        <f t="shared" si="340"/>
        <v>1407.7776615738608</v>
      </c>
      <c r="BS308" s="217">
        <f t="shared" si="340"/>
        <v>20559.14713418486</v>
      </c>
      <c r="BT308" s="217">
        <f t="shared" si="340"/>
        <v>99957.34543393253</v>
      </c>
      <c r="BU308" s="217">
        <f t="shared" si="340"/>
        <v>172031.94575143736</v>
      </c>
      <c r="BV308" s="217">
        <f t="shared" si="340"/>
        <v>253224.18859462612</v>
      </c>
      <c r="BW308" s="217">
        <f t="shared" si="340"/>
        <v>337447.58268360706</v>
      </c>
      <c r="BX308" s="217">
        <f t="shared" si="340"/>
        <v>340856.00181872427</v>
      </c>
      <c r="BY308" s="217">
        <f t="shared" si="340"/>
        <v>353672.5241434049</v>
      </c>
      <c r="BZ308" s="217">
        <f t="shared" si="340"/>
        <v>363152.5011133425</v>
      </c>
      <c r="CA308" s="217">
        <f t="shared" si="340"/>
        <v>373110.1370352234</v>
      </c>
      <c r="CB308" s="217">
        <f t="shared" si="340"/>
        <v>380626.71566656907</v>
      </c>
      <c r="CC308" s="217">
        <f t="shared" si="340"/>
        <v>391879.19979785115</v>
      </c>
      <c r="CD308" s="217">
        <f t="shared" si="340"/>
        <v>401696.5933442942</v>
      </c>
      <c r="CE308" s="217">
        <f t="shared" si="340"/>
        <v>411937.84577152255</v>
      </c>
      <c r="CF308" s="217">
        <f t="shared" si="340"/>
        <v>419721.5550786131</v>
      </c>
      <c r="CG308" s="217">
        <f t="shared" si="340"/>
        <v>430326.875982149</v>
      </c>
      <c r="CH308" s="217">
        <f t="shared" si="340"/>
        <v>439885.9759810695</v>
      </c>
      <c r="CI308" s="217">
        <f t="shared" si="340"/>
        <v>449789.7530470004</v>
      </c>
      <c r="CJ308" s="217">
        <f t="shared" si="340"/>
        <v>458406.31049112894</v>
      </c>
      <c r="CK308" s="217">
        <f t="shared" si="340"/>
        <v>469193.53318806866</v>
      </c>
    </row>
    <row r="309" spans="5:89" s="1" customFormat="1" ht="12.75">
      <c r="E309" s="218"/>
      <c r="G309" s="122" t="s">
        <v>84</v>
      </c>
      <c r="L309" s="123" t="s">
        <v>184</v>
      </c>
      <c r="M309" s="124"/>
      <c r="Q309" s="217">
        <f aca="true" t="shared" si="341" ref="Q309:AK309">Q78+Q155+Q271+Q282+Q297</f>
        <v>769509.12067753</v>
      </c>
      <c r="R309" s="237">
        <f t="shared" si="341"/>
        <v>840624.925912785</v>
      </c>
      <c r="S309" s="217">
        <f t="shared" si="341"/>
        <v>929089.4812037055</v>
      </c>
      <c r="T309" s="217">
        <f t="shared" si="341"/>
        <v>1095264.2694969214</v>
      </c>
      <c r="U309" s="237">
        <f t="shared" si="341"/>
        <v>1256378.4551654647</v>
      </c>
      <c r="V309" s="217">
        <f t="shared" si="341"/>
        <v>1388704.5340214882</v>
      </c>
      <c r="W309" s="217">
        <f t="shared" si="341"/>
        <v>1489007.0939490264</v>
      </c>
      <c r="X309" s="217">
        <f t="shared" si="341"/>
        <v>1482051.5583687034</v>
      </c>
      <c r="Y309" s="217">
        <f t="shared" si="341"/>
        <v>1541532.7563929292</v>
      </c>
      <c r="Z309" s="217">
        <f t="shared" si="341"/>
        <v>1587943.1426971543</v>
      </c>
      <c r="AA309" s="217">
        <f t="shared" si="341"/>
        <v>1635610.6675358058</v>
      </c>
      <c r="AB309" s="217">
        <f t="shared" si="341"/>
        <v>1682099.0840097012</v>
      </c>
      <c r="AC309" s="217">
        <f t="shared" si="341"/>
        <v>1732693.590569853</v>
      </c>
      <c r="AD309" s="217">
        <f t="shared" si="341"/>
        <v>1783045.4961076917</v>
      </c>
      <c r="AE309" s="217">
        <f t="shared" si="341"/>
        <v>1834774.0638127476</v>
      </c>
      <c r="AF309" s="217">
        <f t="shared" si="341"/>
        <v>1879866.4476716237</v>
      </c>
      <c r="AG309" s="217">
        <f t="shared" si="341"/>
        <v>1928143.077881876</v>
      </c>
      <c r="AH309" s="217">
        <f t="shared" si="341"/>
        <v>1976350.2445083966</v>
      </c>
      <c r="AI309" s="217">
        <f t="shared" si="341"/>
        <v>2025698.4051641778</v>
      </c>
      <c r="AJ309" s="217">
        <f t="shared" si="341"/>
        <v>2074831.7254677992</v>
      </c>
      <c r="AK309" s="217">
        <f t="shared" si="341"/>
        <v>2126715.2343088626</v>
      </c>
      <c r="AM309" s="207"/>
      <c r="AR309" s="217">
        <f aca="true" t="shared" si="342" ref="AR309:BL309">AR78+AR155+AR271+AR282+AR297</f>
        <v>769509.12067753</v>
      </c>
      <c r="AS309" s="217">
        <f t="shared" si="342"/>
        <v>839779.0783426269</v>
      </c>
      <c r="AT309" s="217">
        <f t="shared" si="342"/>
        <v>917224.3041188028</v>
      </c>
      <c r="AU309" s="217">
        <f t="shared" si="342"/>
        <v>1037588.977430565</v>
      </c>
      <c r="AV309" s="237">
        <f t="shared" si="342"/>
        <v>1159065.7076796151</v>
      </c>
      <c r="AW309" s="217">
        <f t="shared" si="342"/>
        <v>1245548.603398783</v>
      </c>
      <c r="AX309" s="217">
        <f t="shared" si="342"/>
        <v>1298140.0960400016</v>
      </c>
      <c r="AY309" s="217">
        <f t="shared" si="342"/>
        <v>1290057.5953044149</v>
      </c>
      <c r="AZ309" s="217">
        <f t="shared" si="342"/>
        <v>1341714.9507817149</v>
      </c>
      <c r="BA309" s="217">
        <f t="shared" si="342"/>
        <v>1382770.2809732673</v>
      </c>
      <c r="BB309" s="217">
        <f t="shared" si="342"/>
        <v>1424695.9428158114</v>
      </c>
      <c r="BC309" s="217">
        <f t="shared" si="342"/>
        <v>1467537.2753427369</v>
      </c>
      <c r="BD309" s="217">
        <f t="shared" si="342"/>
        <v>1511339.2167482644</v>
      </c>
      <c r="BE309" s="217">
        <f t="shared" si="342"/>
        <v>1556146.4188419697</v>
      </c>
      <c r="BF309" s="217">
        <f t="shared" si="342"/>
        <v>1602003.3549471763</v>
      </c>
      <c r="BG309" s="217">
        <f t="shared" si="342"/>
        <v>1643147.636580172</v>
      </c>
      <c r="BH309" s="217">
        <f t="shared" si="342"/>
        <v>1685107.9540737043</v>
      </c>
      <c r="BI309" s="217">
        <f t="shared" si="342"/>
        <v>1727916.8540246412</v>
      </c>
      <c r="BJ309" s="217">
        <f t="shared" si="342"/>
        <v>1771606.5962696252</v>
      </c>
      <c r="BK309" s="217">
        <f t="shared" si="342"/>
        <v>1816209.2273821956</v>
      </c>
      <c r="BL309" s="217">
        <f t="shared" si="342"/>
        <v>1861756.6496689743</v>
      </c>
      <c r="BN309" s="207"/>
      <c r="BQ309" s="217">
        <f aca="true" t="shared" si="343" ref="BQ309:CK309">BQ78+BQ155+BQ271+BQ282+BQ297</f>
        <v>0</v>
      </c>
      <c r="BR309" s="217">
        <f t="shared" si="343"/>
        <v>845.8475701579749</v>
      </c>
      <c r="BS309" s="217">
        <f t="shared" si="343"/>
        <v>11865.177084902949</v>
      </c>
      <c r="BT309" s="217">
        <f t="shared" si="343"/>
        <v>57675.29206635652</v>
      </c>
      <c r="BU309" s="217">
        <f t="shared" si="343"/>
        <v>97312.74748584956</v>
      </c>
      <c r="BV309" s="217">
        <f t="shared" si="343"/>
        <v>143155.93062270497</v>
      </c>
      <c r="BW309" s="217">
        <f t="shared" si="343"/>
        <v>190866.9979090247</v>
      </c>
      <c r="BX309" s="217">
        <f t="shared" si="343"/>
        <v>191993.96306428857</v>
      </c>
      <c r="BY309" s="217">
        <f t="shared" si="343"/>
        <v>199817.8056112141</v>
      </c>
      <c r="BZ309" s="217">
        <f t="shared" si="343"/>
        <v>205172.86172388712</v>
      </c>
      <c r="CA309" s="217">
        <f t="shared" si="343"/>
        <v>210914.72471999456</v>
      </c>
      <c r="CB309" s="217">
        <f t="shared" si="343"/>
        <v>214561.80866696412</v>
      </c>
      <c r="CC309" s="217">
        <f t="shared" si="343"/>
        <v>221354.37382158887</v>
      </c>
      <c r="CD309" s="217">
        <f t="shared" si="343"/>
        <v>226899.07726572183</v>
      </c>
      <c r="CE309" s="217">
        <f t="shared" si="343"/>
        <v>232770.70886557113</v>
      </c>
      <c r="CF309" s="217">
        <f t="shared" si="343"/>
        <v>236718.81109145188</v>
      </c>
      <c r="CG309" s="217">
        <f t="shared" si="343"/>
        <v>243035.1238081716</v>
      </c>
      <c r="CH309" s="217">
        <f t="shared" si="343"/>
        <v>248433.39048375492</v>
      </c>
      <c r="CI309" s="217">
        <f t="shared" si="343"/>
        <v>254091.80889455247</v>
      </c>
      <c r="CJ309" s="217">
        <f t="shared" si="343"/>
        <v>258622.49808560376</v>
      </c>
      <c r="CK309" s="217">
        <f t="shared" si="343"/>
        <v>264958.584639888</v>
      </c>
    </row>
    <row r="310" spans="5:89" s="1" customFormat="1" ht="12.75">
      <c r="E310" s="218"/>
      <c r="G310" s="122" t="s">
        <v>190</v>
      </c>
      <c r="L310" s="123" t="s">
        <v>184</v>
      </c>
      <c r="M310" s="124"/>
      <c r="Q310" s="217">
        <f aca="true" t="shared" si="344" ref="Q310:AK310">Q79+Q156+Q272+Q283+Q298</f>
        <v>557743.9792531757</v>
      </c>
      <c r="R310" s="237">
        <f t="shared" si="344"/>
        <v>609292.9207271449</v>
      </c>
      <c r="S310" s="217">
        <f t="shared" si="344"/>
        <v>673428.1008963204</v>
      </c>
      <c r="T310" s="217">
        <f t="shared" si="344"/>
        <v>793946.7452641987</v>
      </c>
      <c r="U310" s="237">
        <f t="shared" si="344"/>
        <v>910643.4492910131</v>
      </c>
      <c r="V310" s="217">
        <f t="shared" si="344"/>
        <v>1006554.3473105188</v>
      </c>
      <c r="W310" s="217">
        <f t="shared" si="344"/>
        <v>1079266.2728767642</v>
      </c>
      <c r="X310" s="217">
        <f t="shared" si="344"/>
        <v>1074164.617803628</v>
      </c>
      <c r="Y310" s="217">
        <f t="shared" si="344"/>
        <v>1117321.3084882614</v>
      </c>
      <c r="Z310" s="217">
        <f t="shared" si="344"/>
        <v>1150960.0027908604</v>
      </c>
      <c r="AA310" s="217">
        <f t="shared" si="344"/>
        <v>1185518.728032786</v>
      </c>
      <c r="AB310" s="217">
        <f t="shared" si="344"/>
        <v>1219168.6805794076</v>
      </c>
      <c r="AC310" s="217">
        <f t="shared" si="344"/>
        <v>1255873.0509028845</v>
      </c>
      <c r="AD310" s="217">
        <f t="shared" si="344"/>
        <v>1292368.5134504205</v>
      </c>
      <c r="AE310" s="217">
        <f t="shared" si="344"/>
        <v>1329868.40882868</v>
      </c>
      <c r="AF310" s="217">
        <f t="shared" si="344"/>
        <v>1362517.8597362917</v>
      </c>
      <c r="AG310" s="217">
        <f t="shared" si="344"/>
        <v>1397533.84359429</v>
      </c>
      <c r="AH310" s="217">
        <f t="shared" si="344"/>
        <v>1432474.742729477</v>
      </c>
      <c r="AI310" s="217">
        <f t="shared" si="344"/>
        <v>1468247.59344405</v>
      </c>
      <c r="AJ310" s="217">
        <f t="shared" si="344"/>
        <v>1503834.4266670584</v>
      </c>
      <c r="AK310" s="217">
        <f t="shared" si="344"/>
        <v>1541458.4279666892</v>
      </c>
      <c r="AM310" s="207"/>
      <c r="AR310" s="217">
        <f aca="true" t="shared" si="345" ref="AR310:BL310">AR79+AR156+AR272+AR283+AR298</f>
        <v>557743.9792531757</v>
      </c>
      <c r="AS310" s="217">
        <f t="shared" si="345"/>
        <v>608675.988708211</v>
      </c>
      <c r="AT310" s="217">
        <f t="shared" si="345"/>
        <v>664808.66763024</v>
      </c>
      <c r="AU310" s="217">
        <f t="shared" si="345"/>
        <v>752049.5723193267</v>
      </c>
      <c r="AV310" s="237">
        <f t="shared" si="345"/>
        <v>840096.5013227352</v>
      </c>
      <c r="AW310" s="217">
        <f t="shared" si="345"/>
        <v>902779.7276804377</v>
      </c>
      <c r="AX310" s="217">
        <f t="shared" si="345"/>
        <v>940898.2991078306</v>
      </c>
      <c r="AY310" s="217">
        <f t="shared" si="345"/>
        <v>935040.0629915199</v>
      </c>
      <c r="AZ310" s="217">
        <f t="shared" si="345"/>
        <v>972481.5672276816</v>
      </c>
      <c r="BA310" s="217">
        <f t="shared" si="345"/>
        <v>1002238.6716144626</v>
      </c>
      <c r="BB310" s="217">
        <f t="shared" si="345"/>
        <v>1032626.5966442422</v>
      </c>
      <c r="BC310" s="217">
        <f t="shared" si="345"/>
        <v>1063678.2042704646</v>
      </c>
      <c r="BD310" s="217">
        <f t="shared" si="345"/>
        <v>1095426.0659163783</v>
      </c>
      <c r="BE310" s="217">
        <f t="shared" si="345"/>
        <v>1127902.545432233</v>
      </c>
      <c r="BF310" s="217">
        <f t="shared" si="345"/>
        <v>1161139.8773005619</v>
      </c>
      <c r="BG310" s="217">
        <f t="shared" si="345"/>
        <v>1190961.454127751</v>
      </c>
      <c r="BH310" s="217">
        <f t="shared" si="345"/>
        <v>1221374.4977431053</v>
      </c>
      <c r="BI310" s="217">
        <f t="shared" si="345"/>
        <v>1252402.5980793699</v>
      </c>
      <c r="BJ310" s="217">
        <f t="shared" si="345"/>
        <v>1284069.1372242507</v>
      </c>
      <c r="BK310" s="217">
        <f t="shared" si="345"/>
        <v>1316397.3426911263</v>
      </c>
      <c r="BL310" s="217">
        <f t="shared" si="345"/>
        <v>1349410.337428102</v>
      </c>
      <c r="BN310" s="207"/>
      <c r="BQ310" s="217">
        <f aca="true" t="shared" si="346" ref="BQ310:CK310">BQ79+BQ156+BQ272+BQ283+BQ298</f>
        <v>0</v>
      </c>
      <c r="BR310" s="217">
        <f t="shared" si="346"/>
        <v>616.9320189337805</v>
      </c>
      <c r="BS310" s="217">
        <f t="shared" si="346"/>
        <v>8619.4332660804</v>
      </c>
      <c r="BT310" s="217">
        <f t="shared" si="346"/>
        <v>41897.17294487203</v>
      </c>
      <c r="BU310" s="217">
        <f t="shared" si="346"/>
        <v>70546.94796827785</v>
      </c>
      <c r="BV310" s="217">
        <f t="shared" si="346"/>
        <v>103774.61963008122</v>
      </c>
      <c r="BW310" s="217">
        <f t="shared" si="346"/>
        <v>138367.9737689335</v>
      </c>
      <c r="BX310" s="217">
        <f t="shared" si="346"/>
        <v>139124.55481210814</v>
      </c>
      <c r="BY310" s="217">
        <f t="shared" si="346"/>
        <v>144839.74126057987</v>
      </c>
      <c r="BZ310" s="217">
        <f t="shared" si="346"/>
        <v>148721.33117639762</v>
      </c>
      <c r="CA310" s="217">
        <f t="shared" si="346"/>
        <v>152892.13138854378</v>
      </c>
      <c r="CB310" s="217">
        <f t="shared" si="346"/>
        <v>155490.47630894324</v>
      </c>
      <c r="CC310" s="217">
        <f t="shared" si="346"/>
        <v>160446.9849865063</v>
      </c>
      <c r="CD310" s="217">
        <f t="shared" si="346"/>
        <v>164465.96801818736</v>
      </c>
      <c r="CE310" s="217">
        <f t="shared" si="346"/>
        <v>168728.5315281179</v>
      </c>
      <c r="CF310" s="217">
        <f t="shared" si="346"/>
        <v>171556.40560854087</v>
      </c>
      <c r="CG310" s="217">
        <f t="shared" si="346"/>
        <v>176159.34585118463</v>
      </c>
      <c r="CH310" s="217">
        <f t="shared" si="346"/>
        <v>180072.144650107</v>
      </c>
      <c r="CI310" s="217">
        <f t="shared" si="346"/>
        <v>184178.4562197992</v>
      </c>
      <c r="CJ310" s="217">
        <f t="shared" si="346"/>
        <v>187437.08397593212</v>
      </c>
      <c r="CK310" s="217">
        <f t="shared" si="346"/>
        <v>192048.09053858733</v>
      </c>
    </row>
    <row r="311" spans="5:89" s="1" customFormat="1" ht="12.75">
      <c r="E311" s="218"/>
      <c r="G311" s="122" t="s">
        <v>384</v>
      </c>
      <c r="L311" s="123" t="s">
        <v>184</v>
      </c>
      <c r="M311" s="124"/>
      <c r="Q311" s="217">
        <f>SUM(Q302:Q310)</f>
        <v>23200001.739548225</v>
      </c>
      <c r="R311" s="237">
        <f>SUM(R302:R310)</f>
        <v>25518904.901629943</v>
      </c>
      <c r="S311" s="217">
        <f aca="true" t="shared" si="347" ref="S311:AK311">SUM(S302:S310)</f>
        <v>28392973.049359895</v>
      </c>
      <c r="T311" s="217">
        <f t="shared" si="347"/>
        <v>33663551.70204933</v>
      </c>
      <c r="U311" s="237">
        <f t="shared" si="347"/>
        <v>38944434.4717486</v>
      </c>
      <c r="V311" s="217">
        <f t="shared" si="347"/>
        <v>43351054.311022244</v>
      </c>
      <c r="W311" s="217">
        <f t="shared" si="347"/>
        <v>46804507.085648686</v>
      </c>
      <c r="X311" s="217">
        <f t="shared" si="347"/>
        <v>46955213.1426522</v>
      </c>
      <c r="Y311" s="217">
        <f t="shared" si="347"/>
        <v>49158191.05191703</v>
      </c>
      <c r="Z311" s="217">
        <f t="shared" si="347"/>
        <v>50999972.51763875</v>
      </c>
      <c r="AA311" s="217">
        <f t="shared" si="347"/>
        <v>52901340.9476667</v>
      </c>
      <c r="AB311" s="217">
        <f t="shared" si="347"/>
        <v>54826451.97309396</v>
      </c>
      <c r="AC311" s="217">
        <f t="shared" si="347"/>
        <v>56859096.17425549</v>
      </c>
      <c r="AD311" s="217">
        <f t="shared" si="347"/>
        <v>58933923.15937651</v>
      </c>
      <c r="AE311" s="217">
        <f t="shared" si="347"/>
        <v>61078067.856122665</v>
      </c>
      <c r="AF311" s="217">
        <f t="shared" si="347"/>
        <v>63057618.64706554</v>
      </c>
      <c r="AG311" s="217">
        <f t="shared" si="347"/>
        <v>65129424.974988036</v>
      </c>
      <c r="AH311" s="217">
        <f t="shared" si="347"/>
        <v>67244820.97566506</v>
      </c>
      <c r="AI311" s="217">
        <f t="shared" si="347"/>
        <v>69424322.52390082</v>
      </c>
      <c r="AJ311" s="217">
        <f t="shared" si="347"/>
        <v>71648750.06647882</v>
      </c>
      <c r="AK311" s="217">
        <f t="shared" si="347"/>
        <v>73965891.19280927</v>
      </c>
      <c r="AM311" s="207"/>
      <c r="AR311" s="217">
        <f aca="true" t="shared" si="348" ref="AR311:BL311">SUM(AR302:AR310)</f>
        <v>23200001.739548225</v>
      </c>
      <c r="AS311" s="217">
        <f t="shared" si="348"/>
        <v>25495491.933045957</v>
      </c>
      <c r="AT311" s="217">
        <f t="shared" si="348"/>
        <v>28040999.18618559</v>
      </c>
      <c r="AU311" s="217">
        <f t="shared" si="348"/>
        <v>31941907.06599412</v>
      </c>
      <c r="AV311" s="237">
        <f t="shared" si="348"/>
        <v>35931770.862363026</v>
      </c>
      <c r="AW311" s="217">
        <f t="shared" si="348"/>
        <v>38884258.79319774</v>
      </c>
      <c r="AX311" s="217">
        <f t="shared" si="348"/>
        <v>40811642.85220533</v>
      </c>
      <c r="AY311" s="217">
        <f t="shared" si="348"/>
        <v>40847687.15134426</v>
      </c>
      <c r="AZ311" s="217">
        <f t="shared" si="348"/>
        <v>42785014.209818274</v>
      </c>
      <c r="BA311" s="217">
        <f t="shared" si="348"/>
        <v>44408113.56923415</v>
      </c>
      <c r="BB311" s="217">
        <f t="shared" si="348"/>
        <v>46081193.35627713</v>
      </c>
      <c r="BC311" s="217">
        <f t="shared" si="348"/>
        <v>47806646.82714429</v>
      </c>
      <c r="BD311" s="217">
        <f t="shared" si="348"/>
        <v>49586912.2151193</v>
      </c>
      <c r="BE311" s="217">
        <f t="shared" si="348"/>
        <v>51424477.35478587</v>
      </c>
      <c r="BF311" s="217">
        <f t="shared" si="348"/>
        <v>53321884.26007727</v>
      </c>
      <c r="BG311" s="217">
        <f t="shared" si="348"/>
        <v>55086993.64372447</v>
      </c>
      <c r="BH311" s="217">
        <f t="shared" si="348"/>
        <v>56903480.655718505</v>
      </c>
      <c r="BI311" s="217">
        <f t="shared" si="348"/>
        <v>58773389.036817685</v>
      </c>
      <c r="BJ311" s="217">
        <f t="shared" si="348"/>
        <v>60698801.02481125</v>
      </c>
      <c r="BK311" s="217">
        <f t="shared" si="348"/>
        <v>62681840.58871226</v>
      </c>
      <c r="BL311" s="217">
        <f t="shared" si="348"/>
        <v>64724676.62552905</v>
      </c>
      <c r="BN311" s="207"/>
      <c r="BQ311" s="217">
        <f>SUM(BQ302:BQ310)</f>
        <v>0</v>
      </c>
      <c r="BR311" s="217">
        <f>(SUM(BR302:BR310))*$K$330</f>
        <v>23412.968583984613</v>
      </c>
      <c r="BS311" s="217">
        <f aca="true" t="shared" si="349" ref="BS311:CK311">(SUM(BS302:BS310))*$K$330</f>
        <v>351973.8631743047</v>
      </c>
      <c r="BT311" s="217">
        <f t="shared" si="349"/>
        <v>1721644.6360551903</v>
      </c>
      <c r="BU311" s="217">
        <f t="shared" si="349"/>
        <v>3012663.6093855724</v>
      </c>
      <c r="BV311" s="217">
        <f t="shared" si="349"/>
        <v>4466795.517824508</v>
      </c>
      <c r="BW311" s="217">
        <f t="shared" si="349"/>
        <v>5992864.233443353</v>
      </c>
      <c r="BX311" s="217">
        <f t="shared" si="349"/>
        <v>6107525.991307956</v>
      </c>
      <c r="BY311" s="217">
        <f t="shared" si="349"/>
        <v>6373176.842098764</v>
      </c>
      <c r="BZ311" s="217">
        <f t="shared" si="349"/>
        <v>6591858.948404613</v>
      </c>
      <c r="CA311" s="217">
        <f t="shared" si="349"/>
        <v>6820147.591389573</v>
      </c>
      <c r="CB311" s="217">
        <f t="shared" si="349"/>
        <v>7019805.145949684</v>
      </c>
      <c r="CC311" s="217">
        <f t="shared" si="349"/>
        <v>7272183.959136195</v>
      </c>
      <c r="CD311" s="217">
        <f t="shared" si="349"/>
        <v>7509445.8045906415</v>
      </c>
      <c r="CE311" s="217">
        <f t="shared" si="349"/>
        <v>7756183.59604539</v>
      </c>
      <c r="CF311" s="217">
        <f t="shared" si="349"/>
        <v>7970625.003341066</v>
      </c>
      <c r="CG311" s="217">
        <f t="shared" si="349"/>
        <v>8225944.31926955</v>
      </c>
      <c r="CH311" s="217">
        <f t="shared" si="349"/>
        <v>8471431.938847361</v>
      </c>
      <c r="CI311" s="217">
        <f t="shared" si="349"/>
        <v>8725521.499089561</v>
      </c>
      <c r="CJ311" s="217">
        <f t="shared" si="349"/>
        <v>8966909.477766553</v>
      </c>
      <c r="CK311" s="217">
        <f t="shared" si="349"/>
        <v>9241214.567280227</v>
      </c>
    </row>
    <row r="312" spans="2:13" ht="12.75">
      <c r="B312" s="4"/>
      <c r="E312" s="18"/>
      <c r="L312" s="4"/>
      <c r="M312" s="63"/>
    </row>
    <row r="313" spans="2:13" ht="12.75">
      <c r="B313" s="4"/>
      <c r="E313" s="18"/>
      <c r="L313" s="4"/>
      <c r="M313" s="63"/>
    </row>
    <row r="314" spans="2:73" s="193" customFormat="1" ht="12.75">
      <c r="B314" s="193" t="s">
        <v>240</v>
      </c>
      <c r="L314" s="184"/>
      <c r="M314" s="195"/>
      <c r="Q314" s="189" t="s">
        <v>462</v>
      </c>
      <c r="R314" s="299" t="s">
        <v>463</v>
      </c>
      <c r="S314" s="316">
        <v>1</v>
      </c>
      <c r="T314" s="316">
        <f>S314+1</f>
        <v>2</v>
      </c>
      <c r="U314" s="316">
        <f>T314+1</f>
        <v>3</v>
      </c>
      <c r="V314" s="316">
        <f>U314+1</f>
        <v>4</v>
      </c>
      <c r="W314" s="316">
        <f>V314+1</f>
        <v>5</v>
      </c>
      <c r="AM314" s="205"/>
      <c r="AV314" s="221"/>
      <c r="BN314" s="205"/>
      <c r="BU314" s="221"/>
    </row>
    <row r="315" spans="4:89" s="193" customFormat="1" ht="12.75">
      <c r="D315" s="193" t="s">
        <v>451</v>
      </c>
      <c r="L315" s="184" t="s">
        <v>184</v>
      </c>
      <c r="M315" s="195"/>
      <c r="R315" s="250">
        <v>124288.83116476896</v>
      </c>
      <c r="S315" s="250">
        <v>1796639.2377394894</v>
      </c>
      <c r="T315" s="250">
        <v>5675709.335409838</v>
      </c>
      <c r="U315" s="250">
        <v>4692096.176040552</v>
      </c>
      <c r="V315" s="250">
        <v>3365654.336093341</v>
      </c>
      <c r="W315" s="250">
        <v>991282.0976473355</v>
      </c>
      <c r="X315" s="193">
        <v>0</v>
      </c>
      <c r="Y315" s="193">
        <v>0</v>
      </c>
      <c r="Z315" s="193">
        <v>0</v>
      </c>
      <c r="AA315" s="193">
        <v>0</v>
      </c>
      <c r="AB315" s="193">
        <v>0</v>
      </c>
      <c r="AC315" s="193">
        <v>0</v>
      </c>
      <c r="AD315" s="193">
        <v>0</v>
      </c>
      <c r="AE315" s="193">
        <v>0</v>
      </c>
      <c r="AF315" s="193">
        <v>0</v>
      </c>
      <c r="AG315" s="193">
        <v>0</v>
      </c>
      <c r="AH315" s="193">
        <v>0</v>
      </c>
      <c r="AI315" s="193">
        <v>0</v>
      </c>
      <c r="AJ315" s="193">
        <v>0</v>
      </c>
      <c r="AK315" s="193">
        <v>0</v>
      </c>
      <c r="AM315" s="205"/>
      <c r="AV315" s="221"/>
      <c r="BN315" s="205"/>
      <c r="BR315" s="215">
        <f>R315-AS315</f>
        <v>124288.83116476896</v>
      </c>
      <c r="BS315" s="215">
        <f aca="true" t="shared" si="350" ref="BS315:CK316">S315-AT315</f>
        <v>1796639.2377394894</v>
      </c>
      <c r="BT315" s="215">
        <f t="shared" si="350"/>
        <v>5675709.335409838</v>
      </c>
      <c r="BU315" s="215">
        <f t="shared" si="350"/>
        <v>4692096.176040552</v>
      </c>
      <c r="BV315" s="215">
        <f t="shared" si="350"/>
        <v>3365654.336093341</v>
      </c>
      <c r="BW315" s="215">
        <f t="shared" si="350"/>
        <v>991282.0976473355</v>
      </c>
      <c r="BX315" s="215">
        <f t="shared" si="350"/>
        <v>0</v>
      </c>
      <c r="BY315" s="215">
        <f t="shared" si="350"/>
        <v>0</v>
      </c>
      <c r="BZ315" s="215">
        <f t="shared" si="350"/>
        <v>0</v>
      </c>
      <c r="CA315" s="215">
        <f t="shared" si="350"/>
        <v>0</v>
      </c>
      <c r="CB315" s="215">
        <f t="shared" si="350"/>
        <v>0</v>
      </c>
      <c r="CC315" s="215">
        <f t="shared" si="350"/>
        <v>0</v>
      </c>
      <c r="CD315" s="215">
        <f t="shared" si="350"/>
        <v>0</v>
      </c>
      <c r="CE315" s="215">
        <f t="shared" si="350"/>
        <v>0</v>
      </c>
      <c r="CF315" s="215">
        <f t="shared" si="350"/>
        <v>0</v>
      </c>
      <c r="CG315" s="215">
        <f t="shared" si="350"/>
        <v>0</v>
      </c>
      <c r="CH315" s="215">
        <f t="shared" si="350"/>
        <v>0</v>
      </c>
      <c r="CI315" s="215">
        <f t="shared" si="350"/>
        <v>0</v>
      </c>
      <c r="CJ315" s="215">
        <f t="shared" si="350"/>
        <v>0</v>
      </c>
      <c r="CK315" s="215">
        <f t="shared" si="350"/>
        <v>0</v>
      </c>
    </row>
    <row r="316" spans="4:89" s="193" customFormat="1" ht="12.75">
      <c r="D316" s="193" t="s">
        <v>464</v>
      </c>
      <c r="L316" s="184" t="s">
        <v>184</v>
      </c>
      <c r="M316" s="195"/>
      <c r="R316" s="250">
        <v>236206.65312249935</v>
      </c>
      <c r="S316" s="250">
        <v>298894.9242928967</v>
      </c>
      <c r="T316" s="250">
        <v>255857.738499309</v>
      </c>
      <c r="U316" s="250">
        <v>243572.97032407238</v>
      </c>
      <c r="V316" s="250">
        <v>220083.946715999</v>
      </c>
      <c r="W316" s="250">
        <v>379349.05209907744</v>
      </c>
      <c r="AM316" s="205"/>
      <c r="AV316" s="221"/>
      <c r="BN316" s="205"/>
      <c r="BR316" s="215">
        <f>R316-AS316</f>
        <v>236206.65312249935</v>
      </c>
      <c r="BS316" s="215">
        <f t="shared" si="350"/>
        <v>298894.9242928967</v>
      </c>
      <c r="BT316" s="215">
        <f t="shared" si="350"/>
        <v>255857.738499309</v>
      </c>
      <c r="BU316" s="215">
        <f t="shared" si="350"/>
        <v>243572.97032407238</v>
      </c>
      <c r="BV316" s="215">
        <f t="shared" si="350"/>
        <v>220083.946715999</v>
      </c>
      <c r="BW316" s="215">
        <f t="shared" si="350"/>
        <v>379349.05209907744</v>
      </c>
      <c r="BX316" s="215">
        <f t="shared" si="350"/>
        <v>0</v>
      </c>
      <c r="BY316" s="215">
        <f t="shared" si="350"/>
        <v>0</v>
      </c>
      <c r="BZ316" s="215">
        <f t="shared" si="350"/>
        <v>0</v>
      </c>
      <c r="CA316" s="215">
        <f t="shared" si="350"/>
        <v>0</v>
      </c>
      <c r="CB316" s="215">
        <f t="shared" si="350"/>
        <v>0</v>
      </c>
      <c r="CC316" s="215">
        <f t="shared" si="350"/>
        <v>0</v>
      </c>
      <c r="CD316" s="215">
        <f t="shared" si="350"/>
        <v>0</v>
      </c>
      <c r="CE316" s="215">
        <f t="shared" si="350"/>
        <v>0</v>
      </c>
      <c r="CF316" s="215">
        <f t="shared" si="350"/>
        <v>0</v>
      </c>
      <c r="CG316" s="215">
        <f t="shared" si="350"/>
        <v>0</v>
      </c>
      <c r="CH316" s="215">
        <f t="shared" si="350"/>
        <v>0</v>
      </c>
      <c r="CI316" s="215">
        <f t="shared" si="350"/>
        <v>0</v>
      </c>
      <c r="CJ316" s="215">
        <f t="shared" si="350"/>
        <v>0</v>
      </c>
      <c r="CK316" s="215">
        <f t="shared" si="350"/>
        <v>0</v>
      </c>
    </row>
    <row r="317" spans="4:89" s="193" customFormat="1" ht="12.75">
      <c r="D317" s="193" t="s">
        <v>384</v>
      </c>
      <c r="L317" s="184"/>
      <c r="M317" s="195"/>
      <c r="R317" s="251">
        <f>SUM(R315:R316)</f>
        <v>360495.4842872683</v>
      </c>
      <c r="S317" s="219">
        <f>SUM(S315:S316)</f>
        <v>2095534.162032386</v>
      </c>
      <c r="T317" s="219">
        <f aca="true" t="shared" si="351" ref="T317:AK317">SUM(T315:T316)</f>
        <v>5931567.073909147</v>
      </c>
      <c r="U317" s="251">
        <f t="shared" si="351"/>
        <v>4935669.146364624</v>
      </c>
      <c r="V317" s="219">
        <f t="shared" si="351"/>
        <v>3585738.28280934</v>
      </c>
      <c r="W317" s="219">
        <f t="shared" si="351"/>
        <v>1370631.1497464129</v>
      </c>
      <c r="X317" s="219">
        <f t="shared" si="351"/>
        <v>0</v>
      </c>
      <c r="Y317" s="219">
        <f t="shared" si="351"/>
        <v>0</v>
      </c>
      <c r="Z317" s="219">
        <f t="shared" si="351"/>
        <v>0</v>
      </c>
      <c r="AA317" s="219">
        <f t="shared" si="351"/>
        <v>0</v>
      </c>
      <c r="AB317" s="219">
        <f t="shared" si="351"/>
        <v>0</v>
      </c>
      <c r="AC317" s="219">
        <f t="shared" si="351"/>
        <v>0</v>
      </c>
      <c r="AD317" s="219">
        <f t="shared" si="351"/>
        <v>0</v>
      </c>
      <c r="AE317" s="219">
        <f t="shared" si="351"/>
        <v>0</v>
      </c>
      <c r="AF317" s="219">
        <f t="shared" si="351"/>
        <v>0</v>
      </c>
      <c r="AG317" s="219">
        <f t="shared" si="351"/>
        <v>0</v>
      </c>
      <c r="AH317" s="219">
        <f t="shared" si="351"/>
        <v>0</v>
      </c>
      <c r="AI317" s="219">
        <f t="shared" si="351"/>
        <v>0</v>
      </c>
      <c r="AJ317" s="219">
        <f t="shared" si="351"/>
        <v>0</v>
      </c>
      <c r="AK317" s="219">
        <f t="shared" si="351"/>
        <v>0</v>
      </c>
      <c r="AM317" s="205"/>
      <c r="AV317" s="221"/>
      <c r="BN317" s="205"/>
      <c r="BR317" s="215">
        <f aca="true" t="shared" si="352" ref="BR317:CK317">(BR315+BR316)*$K$327</f>
        <v>360495.4842872683</v>
      </c>
      <c r="BS317" s="215">
        <f t="shared" si="352"/>
        <v>2095534.162032386</v>
      </c>
      <c r="BT317" s="215">
        <f t="shared" si="352"/>
        <v>5931567.073909147</v>
      </c>
      <c r="BU317" s="215">
        <f t="shared" si="352"/>
        <v>4935669.146364624</v>
      </c>
      <c r="BV317" s="215">
        <f t="shared" si="352"/>
        <v>3585738.28280934</v>
      </c>
      <c r="BW317" s="215">
        <f t="shared" si="352"/>
        <v>1370631.1497464129</v>
      </c>
      <c r="BX317" s="215">
        <f t="shared" si="352"/>
        <v>0</v>
      </c>
      <c r="BY317" s="215">
        <f t="shared" si="352"/>
        <v>0</v>
      </c>
      <c r="BZ317" s="215">
        <f t="shared" si="352"/>
        <v>0</v>
      </c>
      <c r="CA317" s="215">
        <f t="shared" si="352"/>
        <v>0</v>
      </c>
      <c r="CB317" s="215">
        <f t="shared" si="352"/>
        <v>0</v>
      </c>
      <c r="CC317" s="215">
        <f t="shared" si="352"/>
        <v>0</v>
      </c>
      <c r="CD317" s="215">
        <f t="shared" si="352"/>
        <v>0</v>
      </c>
      <c r="CE317" s="215">
        <f t="shared" si="352"/>
        <v>0</v>
      </c>
      <c r="CF317" s="215">
        <f t="shared" si="352"/>
        <v>0</v>
      </c>
      <c r="CG317" s="215">
        <f t="shared" si="352"/>
        <v>0</v>
      </c>
      <c r="CH317" s="215">
        <f t="shared" si="352"/>
        <v>0</v>
      </c>
      <c r="CI317" s="215">
        <f t="shared" si="352"/>
        <v>0</v>
      </c>
      <c r="CJ317" s="215">
        <f t="shared" si="352"/>
        <v>0</v>
      </c>
      <c r="CK317" s="215">
        <f t="shared" si="352"/>
        <v>0</v>
      </c>
    </row>
    <row r="318" spans="12:73" s="193" customFormat="1" ht="12.75">
      <c r="L318" s="184"/>
      <c r="M318" s="195"/>
      <c r="R318" s="221"/>
      <c r="S318" s="184"/>
      <c r="T318" s="184"/>
      <c r="U318" s="254"/>
      <c r="V318" s="184"/>
      <c r="W318" s="184"/>
      <c r="AM318" s="205"/>
      <c r="AV318" s="221"/>
      <c r="BN318" s="205"/>
      <c r="BU318" s="221"/>
    </row>
    <row r="319" spans="12:13" ht="12.75">
      <c r="L319" s="4"/>
      <c r="M319" s="63"/>
    </row>
    <row r="320" spans="2:89" s="1" customFormat="1" ht="13.5" thickBot="1">
      <c r="B320" s="1" t="s">
        <v>434</v>
      </c>
      <c r="L320" s="193"/>
      <c r="M320" s="124"/>
      <c r="R320" s="237"/>
      <c r="S320" s="217"/>
      <c r="T320" s="217"/>
      <c r="U320" s="237"/>
      <c r="V320" s="217"/>
      <c r="W320" s="217"/>
      <c r="X320" s="217"/>
      <c r="Y320" s="217"/>
      <c r="Z320" s="217"/>
      <c r="AA320" s="217"/>
      <c r="AB320" s="217"/>
      <c r="AC320" s="217"/>
      <c r="AD320" s="217"/>
      <c r="AE320" s="217"/>
      <c r="AF320" s="217"/>
      <c r="AG320" s="217"/>
      <c r="AH320" s="217"/>
      <c r="AI320" s="217"/>
      <c r="AJ320" s="217"/>
      <c r="AK320" s="217"/>
      <c r="AM320" s="207"/>
      <c r="AV320" s="233"/>
      <c r="BN320" s="207"/>
      <c r="BR320" s="217">
        <f>BR311-BR317</f>
        <v>-337082.5157032837</v>
      </c>
      <c r="BS320" s="217">
        <f aca="true" t="shared" si="353" ref="BS320:CK320">BS311-BS317</f>
        <v>-1743560.2988580815</v>
      </c>
      <c r="BT320" s="217">
        <f t="shared" si="353"/>
        <v>-4209922.437853957</v>
      </c>
      <c r="BU320" s="217">
        <f t="shared" si="353"/>
        <v>-1923005.5369790513</v>
      </c>
      <c r="BV320" s="217">
        <f t="shared" si="353"/>
        <v>881057.2350151683</v>
      </c>
      <c r="BW320" s="217">
        <f t="shared" si="353"/>
        <v>4622233.083696941</v>
      </c>
      <c r="BX320" s="217">
        <f t="shared" si="353"/>
        <v>6107525.991307956</v>
      </c>
      <c r="BY320" s="217">
        <f t="shared" si="353"/>
        <v>6373176.842098764</v>
      </c>
      <c r="BZ320" s="217">
        <f t="shared" si="353"/>
        <v>6591858.948404613</v>
      </c>
      <c r="CA320" s="217">
        <f t="shared" si="353"/>
        <v>6820147.591389573</v>
      </c>
      <c r="CB320" s="217">
        <f t="shared" si="353"/>
        <v>7019805.145949684</v>
      </c>
      <c r="CC320" s="217">
        <f t="shared" si="353"/>
        <v>7272183.959136195</v>
      </c>
      <c r="CD320" s="217">
        <f t="shared" si="353"/>
        <v>7509445.8045906415</v>
      </c>
      <c r="CE320" s="217">
        <f t="shared" si="353"/>
        <v>7756183.59604539</v>
      </c>
      <c r="CF320" s="217">
        <f t="shared" si="353"/>
        <v>7970625.003341066</v>
      </c>
      <c r="CG320" s="217">
        <f t="shared" si="353"/>
        <v>8225944.31926955</v>
      </c>
      <c r="CH320" s="217">
        <f t="shared" si="353"/>
        <v>8471431.938847361</v>
      </c>
      <c r="CI320" s="217">
        <f t="shared" si="353"/>
        <v>8725521.499089561</v>
      </c>
      <c r="CJ320" s="217">
        <f t="shared" si="353"/>
        <v>8966909.477766553</v>
      </c>
      <c r="CK320" s="217">
        <f t="shared" si="353"/>
        <v>9241214.567280227</v>
      </c>
    </row>
    <row r="321" spans="2:13" ht="13.5" thickBot="1">
      <c r="B321" s="257" t="s">
        <v>444</v>
      </c>
      <c r="C321" s="258"/>
      <c r="D321" s="452">
        <f>IRR(BR320:CK320)</f>
        <v>0.38530608241803443</v>
      </c>
      <c r="E321" s="453"/>
      <c r="F321" t="s">
        <v>449</v>
      </c>
      <c r="M321" s="63"/>
    </row>
    <row r="322" spans="6:13" ht="12.75">
      <c r="F322" t="s">
        <v>465</v>
      </c>
      <c r="M322" s="63"/>
    </row>
    <row r="323" ht="12.75">
      <c r="M323" s="63"/>
    </row>
    <row r="324" spans="2:89" s="1" customFormat="1" ht="12.75">
      <c r="B324" s="1" t="s">
        <v>466</v>
      </c>
      <c r="M324" s="124"/>
      <c r="R324" s="233"/>
      <c r="U324" s="233"/>
      <c r="AM324" s="207"/>
      <c r="AV324" s="233"/>
      <c r="BN324" s="207"/>
      <c r="BR324" s="317">
        <f>BR320+BR317</f>
        <v>23412.96858398459</v>
      </c>
      <c r="BS324" s="317">
        <f aca="true" t="shared" si="354" ref="BS324:CK324">BS320+BS317</f>
        <v>351973.8631743046</v>
      </c>
      <c r="BT324" s="317">
        <f t="shared" si="354"/>
        <v>1721644.63605519</v>
      </c>
      <c r="BU324" s="317">
        <f t="shared" si="354"/>
        <v>3012663.6093855724</v>
      </c>
      <c r="BV324" s="317">
        <f t="shared" si="354"/>
        <v>4466795.517824508</v>
      </c>
      <c r="BW324" s="317">
        <f t="shared" si="354"/>
        <v>5992864.233443353</v>
      </c>
      <c r="BX324" s="317">
        <f t="shared" si="354"/>
        <v>6107525.991307956</v>
      </c>
      <c r="BY324" s="317">
        <f t="shared" si="354"/>
        <v>6373176.842098764</v>
      </c>
      <c r="BZ324" s="317">
        <f t="shared" si="354"/>
        <v>6591858.948404613</v>
      </c>
      <c r="CA324" s="317">
        <f t="shared" si="354"/>
        <v>6820147.591389573</v>
      </c>
      <c r="CB324" s="317">
        <f t="shared" si="354"/>
        <v>7019805.145949684</v>
      </c>
      <c r="CC324" s="317">
        <f t="shared" si="354"/>
        <v>7272183.959136195</v>
      </c>
      <c r="CD324" s="317">
        <f t="shared" si="354"/>
        <v>7509445.8045906415</v>
      </c>
      <c r="CE324" s="317">
        <f t="shared" si="354"/>
        <v>7756183.59604539</v>
      </c>
      <c r="CF324" s="317">
        <f t="shared" si="354"/>
        <v>7970625.003341066</v>
      </c>
      <c r="CG324" s="317">
        <f t="shared" si="354"/>
        <v>8225944.31926955</v>
      </c>
      <c r="CH324" s="317">
        <f t="shared" si="354"/>
        <v>8471431.938847361</v>
      </c>
      <c r="CI324" s="317">
        <f t="shared" si="354"/>
        <v>8725521.499089561</v>
      </c>
      <c r="CJ324" s="317">
        <f t="shared" si="354"/>
        <v>8966909.477766553</v>
      </c>
      <c r="CK324" s="317">
        <f t="shared" si="354"/>
        <v>9241214.567280227</v>
      </c>
    </row>
    <row r="325" spans="2:89" ht="12.75">
      <c r="B325" s="15"/>
      <c r="C325" s="15"/>
      <c r="D325" s="15"/>
      <c r="E325" s="15"/>
      <c r="F325" s="15"/>
      <c r="G325" s="15"/>
      <c r="H325" s="15"/>
      <c r="I325" s="15"/>
      <c r="J325" s="15"/>
      <c r="M325" s="63"/>
      <c r="BR325" s="297"/>
      <c r="BS325" s="297"/>
      <c r="BT325" s="297"/>
      <c r="BU325" s="298"/>
      <c r="BV325" s="297"/>
      <c r="BW325" s="297"/>
      <c r="BX325" s="297"/>
      <c r="BY325" s="297"/>
      <c r="BZ325" s="297"/>
      <c r="CA325" s="297"/>
      <c r="CB325" s="297"/>
      <c r="CC325" s="297"/>
      <c r="CD325" s="297"/>
      <c r="CE325" s="297"/>
      <c r="CF325" s="297"/>
      <c r="CG325" s="297"/>
      <c r="CH325" s="297"/>
      <c r="CI325" s="297"/>
      <c r="CJ325" s="297"/>
      <c r="CK325" s="297"/>
    </row>
    <row r="326" spans="1:76" ht="12.75">
      <c r="A326" s="303"/>
      <c r="B326" s="360" t="s">
        <v>41</v>
      </c>
      <c r="C326" s="304"/>
      <c r="D326" s="304"/>
      <c r="E326" s="304"/>
      <c r="F326" s="304"/>
      <c r="G326" s="304"/>
      <c r="H326" s="304"/>
      <c r="I326" s="304"/>
      <c r="J326" s="304"/>
      <c r="K326" s="305"/>
      <c r="L326" s="305"/>
      <c r="M326" s="306"/>
      <c r="N326" s="305"/>
      <c r="O326" s="305"/>
      <c r="P326" s="305"/>
      <c r="Q326" s="305"/>
      <c r="R326" s="307"/>
      <c r="S326" s="305"/>
      <c r="T326" s="305"/>
      <c r="U326" s="307"/>
      <c r="V326" s="305"/>
      <c r="W326" s="305"/>
      <c r="X326" s="305"/>
      <c r="BS326" s="305"/>
      <c r="BT326" s="305"/>
      <c r="BU326" s="307"/>
      <c r="BV326" s="305"/>
      <c r="BW326" s="305"/>
      <c r="BX326" s="303"/>
    </row>
    <row r="327" spans="1:76" ht="12.75">
      <c r="A327" s="305"/>
      <c r="B327" s="450" t="s">
        <v>39</v>
      </c>
      <c r="C327" s="450"/>
      <c r="D327" s="450"/>
      <c r="E327" s="450"/>
      <c r="F327" s="450"/>
      <c r="G327" s="450"/>
      <c r="H327" s="450"/>
      <c r="I327" s="450"/>
      <c r="J327" s="450"/>
      <c r="K327" s="361">
        <f>'ERR &amp; Sensitivity Analysis'!G10</f>
        <v>1</v>
      </c>
      <c r="L327" s="305"/>
      <c r="M327" s="305"/>
      <c r="N327" s="305"/>
      <c r="O327" s="305"/>
      <c r="P327" s="305"/>
      <c r="Q327" s="305"/>
      <c r="R327" s="307"/>
      <c r="S327" s="305"/>
      <c r="T327" s="305"/>
      <c r="U327" s="307"/>
      <c r="V327" s="305"/>
      <c r="W327" s="305"/>
      <c r="X327" s="303"/>
      <c r="BS327" s="310"/>
      <c r="BT327" s="310"/>
      <c r="BU327" s="310"/>
      <c r="BV327" s="310"/>
      <c r="BW327" s="310"/>
      <c r="BX327" s="311"/>
    </row>
    <row r="328" spans="1:76" ht="12.75">
      <c r="A328" s="305"/>
      <c r="B328" s="12"/>
      <c r="C328" s="309"/>
      <c r="D328" s="304"/>
      <c r="E328" s="304"/>
      <c r="F328" s="304"/>
      <c r="G328" s="304"/>
      <c r="H328" s="304"/>
      <c r="I328" s="304"/>
      <c r="J328" s="304"/>
      <c r="K328" s="305"/>
      <c r="L328" s="305"/>
      <c r="M328" s="306"/>
      <c r="N328" s="305"/>
      <c r="O328" s="305"/>
      <c r="P328" s="305"/>
      <c r="Q328" s="305"/>
      <c r="R328" s="307"/>
      <c r="S328" s="310"/>
      <c r="T328" s="310"/>
      <c r="U328" s="310"/>
      <c r="V328" s="310"/>
      <c r="W328" s="310"/>
      <c r="X328" s="311"/>
      <c r="BS328" s="310"/>
      <c r="BT328" s="310"/>
      <c r="BU328" s="310"/>
      <c r="BV328" s="310"/>
      <c r="BW328" s="310"/>
      <c r="BX328" s="311"/>
    </row>
    <row r="329" spans="1:76" ht="12.75">
      <c r="A329" s="305"/>
      <c r="B329" s="1" t="s">
        <v>42</v>
      </c>
      <c r="C329" s="312"/>
      <c r="D329" s="305"/>
      <c r="E329" s="305"/>
      <c r="F329" s="305"/>
      <c r="G329" s="305"/>
      <c r="H329" s="305"/>
      <c r="I329" s="305"/>
      <c r="J329" s="305"/>
      <c r="K329" s="305"/>
      <c r="L329" s="305"/>
      <c r="M329" s="306"/>
      <c r="N329" s="305"/>
      <c r="O329" s="305"/>
      <c r="P329" s="305"/>
      <c r="Q329" s="305"/>
      <c r="R329" s="307"/>
      <c r="S329" s="310"/>
      <c r="T329" s="310"/>
      <c r="U329" s="310"/>
      <c r="V329" s="310"/>
      <c r="W329" s="310"/>
      <c r="X329" s="311"/>
      <c r="BS329" s="310"/>
      <c r="BT329" s="310"/>
      <c r="BU329" s="310"/>
      <c r="BV329" s="310"/>
      <c r="BW329" s="310"/>
      <c r="BX329" s="311"/>
    </row>
    <row r="330" spans="1:76" ht="12.75">
      <c r="A330" s="305"/>
      <c r="B330" s="451" t="s">
        <v>40</v>
      </c>
      <c r="C330" s="451"/>
      <c r="D330" s="451"/>
      <c r="E330" s="451"/>
      <c r="F330" s="451"/>
      <c r="G330" s="451"/>
      <c r="H330" s="451"/>
      <c r="I330" s="451"/>
      <c r="J330" s="451"/>
      <c r="K330" s="361">
        <f>'ERR &amp; Sensitivity Analysis'!G11</f>
        <v>1</v>
      </c>
      <c r="L330" s="305"/>
      <c r="M330" s="306"/>
      <c r="N330" s="305"/>
      <c r="O330" s="305"/>
      <c r="P330" s="305"/>
      <c r="Q330" s="305"/>
      <c r="R330" s="307"/>
      <c r="S330" s="310"/>
      <c r="T330" s="310"/>
      <c r="U330" s="310"/>
      <c r="V330" s="310"/>
      <c r="W330" s="310"/>
      <c r="X330" s="311"/>
      <c r="BS330" s="310"/>
      <c r="BT330" s="310"/>
      <c r="BU330" s="310"/>
      <c r="BV330" s="310"/>
      <c r="BW330" s="310"/>
      <c r="BX330" s="311"/>
    </row>
    <row r="331" spans="1:76" ht="12.75">
      <c r="A331" s="305"/>
      <c r="B331" s="305"/>
      <c r="C331" s="309"/>
      <c r="D331" s="305"/>
      <c r="E331" s="305"/>
      <c r="F331" s="305"/>
      <c r="G331" s="305"/>
      <c r="H331" s="305"/>
      <c r="I331" s="305"/>
      <c r="J331" s="305"/>
      <c r="K331" s="305"/>
      <c r="L331" s="305"/>
      <c r="M331" s="306"/>
      <c r="N331" s="305"/>
      <c r="O331" s="305"/>
      <c r="P331" s="305"/>
      <c r="Q331" s="305"/>
      <c r="R331" s="307"/>
      <c r="S331" s="310"/>
      <c r="T331" s="310"/>
      <c r="U331" s="310"/>
      <c r="V331" s="310"/>
      <c r="W331" s="310"/>
      <c r="X331" s="311"/>
      <c r="BS331" s="310"/>
      <c r="BT331" s="310"/>
      <c r="BU331" s="310"/>
      <c r="BV331" s="310"/>
      <c r="BW331" s="310"/>
      <c r="BX331" s="311"/>
    </row>
    <row r="332" spans="1:76" ht="12.75">
      <c r="A332" s="305"/>
      <c r="B332" s="305"/>
      <c r="C332" s="309"/>
      <c r="D332" s="305"/>
      <c r="E332" s="305"/>
      <c r="F332" s="305"/>
      <c r="G332" s="305"/>
      <c r="H332" s="305"/>
      <c r="I332" s="305"/>
      <c r="J332" s="305"/>
      <c r="K332" s="305"/>
      <c r="L332" s="305"/>
      <c r="M332" s="306"/>
      <c r="N332" s="305"/>
      <c r="O332" s="305"/>
      <c r="P332" s="305"/>
      <c r="Q332" s="305"/>
      <c r="R332" s="307"/>
      <c r="S332" s="310"/>
      <c r="T332" s="310"/>
      <c r="U332" s="310"/>
      <c r="V332" s="310"/>
      <c r="W332" s="310"/>
      <c r="X332" s="311"/>
      <c r="BS332" s="310"/>
      <c r="BT332" s="310"/>
      <c r="BU332" s="310"/>
      <c r="BV332" s="310"/>
      <c r="BW332" s="310"/>
      <c r="BX332" s="311"/>
    </row>
    <row r="333" spans="1:76" ht="12.75">
      <c r="A333" s="305"/>
      <c r="B333" s="305"/>
      <c r="C333" s="309"/>
      <c r="D333" s="305"/>
      <c r="E333" s="305"/>
      <c r="F333" s="305"/>
      <c r="G333" s="305"/>
      <c r="H333" s="305"/>
      <c r="I333" s="305"/>
      <c r="J333" s="305"/>
      <c r="K333" s="305"/>
      <c r="L333" s="305"/>
      <c r="M333" s="306"/>
      <c r="N333" s="305"/>
      <c r="O333" s="305"/>
      <c r="P333" s="305"/>
      <c r="Q333" s="305"/>
      <c r="R333" s="307"/>
      <c r="S333" s="310"/>
      <c r="T333" s="310"/>
      <c r="U333" s="310"/>
      <c r="V333" s="310"/>
      <c r="W333" s="310"/>
      <c r="X333" s="311"/>
      <c r="BS333" s="310"/>
      <c r="BT333" s="310"/>
      <c r="BU333" s="310"/>
      <c r="BV333" s="310"/>
      <c r="BW333" s="310"/>
      <c r="BX333" s="311"/>
    </row>
    <row r="334" spans="1:76" ht="12.75">
      <c r="A334" s="305"/>
      <c r="B334" s="305"/>
      <c r="C334" s="309"/>
      <c r="D334" s="305"/>
      <c r="E334" s="305"/>
      <c r="F334" s="305"/>
      <c r="G334" s="305"/>
      <c r="H334" s="305"/>
      <c r="I334" s="305"/>
      <c r="J334" s="305"/>
      <c r="K334" s="305"/>
      <c r="L334" s="305"/>
      <c r="M334" s="306"/>
      <c r="N334" s="305"/>
      <c r="O334" s="305"/>
      <c r="P334" s="305"/>
      <c r="Q334" s="305"/>
      <c r="R334" s="307"/>
      <c r="S334" s="310"/>
      <c r="T334" s="310"/>
      <c r="U334" s="310"/>
      <c r="V334" s="310"/>
      <c r="W334" s="310"/>
      <c r="X334" s="311"/>
      <c r="BS334" s="310"/>
      <c r="BT334" s="310"/>
      <c r="BU334" s="310"/>
      <c r="BV334" s="310"/>
      <c r="BW334" s="310"/>
      <c r="BX334" s="311"/>
    </row>
    <row r="335" spans="1:76" ht="12.75">
      <c r="A335" s="305"/>
      <c r="B335" s="305"/>
      <c r="C335" s="309"/>
      <c r="D335" s="305"/>
      <c r="E335" s="305"/>
      <c r="F335" s="305"/>
      <c r="G335" s="305"/>
      <c r="H335" s="305"/>
      <c r="I335" s="305"/>
      <c r="J335" s="305"/>
      <c r="K335" s="305"/>
      <c r="L335" s="305"/>
      <c r="M335" s="305"/>
      <c r="N335" s="305"/>
      <c r="O335" s="305"/>
      <c r="P335" s="305"/>
      <c r="Q335" s="305"/>
      <c r="R335" s="307"/>
      <c r="S335" s="310"/>
      <c r="T335" s="310"/>
      <c r="U335" s="310"/>
      <c r="V335" s="310"/>
      <c r="W335" s="310"/>
      <c r="X335" s="311"/>
      <c r="BS335" s="310"/>
      <c r="BT335" s="310"/>
      <c r="BU335" s="310"/>
      <c r="BV335" s="310"/>
      <c r="BW335" s="310"/>
      <c r="BX335" s="311"/>
    </row>
    <row r="336" spans="1:76" ht="12.75">
      <c r="A336" s="305"/>
      <c r="B336" s="305"/>
      <c r="C336" s="309"/>
      <c r="D336" s="305"/>
      <c r="E336" s="305"/>
      <c r="F336" s="305"/>
      <c r="G336" s="305"/>
      <c r="H336" s="305"/>
      <c r="I336" s="305"/>
      <c r="J336" s="305"/>
      <c r="K336" s="305"/>
      <c r="L336" s="305"/>
      <c r="M336" s="306"/>
      <c r="N336" s="305"/>
      <c r="O336" s="305"/>
      <c r="P336" s="305"/>
      <c r="Q336" s="305"/>
      <c r="R336" s="307"/>
      <c r="S336" s="310"/>
      <c r="T336" s="310"/>
      <c r="U336" s="310"/>
      <c r="V336" s="310"/>
      <c r="W336" s="310"/>
      <c r="X336" s="311"/>
      <c r="BS336" s="310"/>
      <c r="BT336" s="310"/>
      <c r="BU336" s="313"/>
      <c r="BV336" s="310"/>
      <c r="BW336" s="310"/>
      <c r="BX336" s="303"/>
    </row>
    <row r="337" spans="1:76" ht="12.75">
      <c r="A337" s="305"/>
      <c r="B337" s="305"/>
      <c r="C337" s="305"/>
      <c r="D337" s="305"/>
      <c r="E337" s="305"/>
      <c r="F337" s="305"/>
      <c r="G337" s="305"/>
      <c r="H337" s="305"/>
      <c r="I337" s="305"/>
      <c r="J337" s="305"/>
      <c r="K337" s="305"/>
      <c r="L337" s="305"/>
      <c r="M337" s="305"/>
      <c r="N337" s="305"/>
      <c r="O337" s="305"/>
      <c r="P337" s="305"/>
      <c r="Q337" s="305"/>
      <c r="R337" s="307"/>
      <c r="S337" s="310"/>
      <c r="T337" s="310"/>
      <c r="U337" s="313"/>
      <c r="V337" s="310"/>
      <c r="W337" s="310"/>
      <c r="X337" s="303"/>
      <c r="BS337" s="310"/>
      <c r="BT337" s="310"/>
      <c r="BU337" s="313"/>
      <c r="BV337" s="310"/>
      <c r="BW337" s="310"/>
      <c r="BX337" s="303"/>
    </row>
    <row r="338" spans="1:76" ht="12.75">
      <c r="A338" s="305"/>
      <c r="B338" s="308"/>
      <c r="C338" s="305"/>
      <c r="D338" s="305"/>
      <c r="E338" s="305"/>
      <c r="F338" s="305"/>
      <c r="G338" s="305"/>
      <c r="H338" s="305"/>
      <c r="I338" s="305"/>
      <c r="J338" s="305"/>
      <c r="K338" s="305"/>
      <c r="L338" s="305"/>
      <c r="M338" s="305"/>
      <c r="N338" s="305"/>
      <c r="O338" s="305"/>
      <c r="P338" s="305"/>
      <c r="Q338" s="305"/>
      <c r="R338" s="307"/>
      <c r="S338" s="310"/>
      <c r="T338" s="310"/>
      <c r="U338" s="313"/>
      <c r="V338" s="310"/>
      <c r="W338" s="310"/>
      <c r="X338" s="303"/>
      <c r="BS338" s="310"/>
      <c r="BT338" s="310"/>
      <c r="BU338" s="310"/>
      <c r="BV338" s="310"/>
      <c r="BW338" s="310"/>
      <c r="BX338" s="311"/>
    </row>
    <row r="339" spans="1:76" ht="12.75">
      <c r="A339" s="305"/>
      <c r="B339" s="305"/>
      <c r="C339" s="312"/>
      <c r="D339" s="314"/>
      <c r="E339" s="304"/>
      <c r="F339" s="304"/>
      <c r="G339" s="304"/>
      <c r="H339" s="304"/>
      <c r="I339" s="304"/>
      <c r="J339" s="304"/>
      <c r="K339" s="305"/>
      <c r="L339" s="305"/>
      <c r="M339" s="306"/>
      <c r="N339" s="305"/>
      <c r="O339" s="305"/>
      <c r="P339" s="305"/>
      <c r="Q339" s="305"/>
      <c r="R339" s="307"/>
      <c r="S339" s="310"/>
      <c r="T339" s="310"/>
      <c r="U339" s="310"/>
      <c r="V339" s="310"/>
      <c r="W339" s="310"/>
      <c r="X339" s="311"/>
      <c r="BS339" s="310"/>
      <c r="BT339" s="310"/>
      <c r="BU339" s="310"/>
      <c r="BV339" s="310"/>
      <c r="BW339" s="310"/>
      <c r="BX339" s="311"/>
    </row>
    <row r="340" spans="1:76" ht="12.75">
      <c r="A340" s="305"/>
      <c r="B340" s="305"/>
      <c r="C340" s="309"/>
      <c r="D340" s="305"/>
      <c r="E340" s="305"/>
      <c r="F340" s="305"/>
      <c r="G340" s="305"/>
      <c r="H340" s="305"/>
      <c r="I340" s="305"/>
      <c r="J340" s="305"/>
      <c r="K340" s="305"/>
      <c r="L340" s="305"/>
      <c r="M340" s="306"/>
      <c r="N340" s="305"/>
      <c r="O340" s="305"/>
      <c r="P340" s="305"/>
      <c r="Q340" s="305"/>
      <c r="R340" s="307"/>
      <c r="S340" s="310"/>
      <c r="T340" s="310"/>
      <c r="U340" s="310"/>
      <c r="V340" s="310"/>
      <c r="W340" s="310"/>
      <c r="X340" s="311"/>
      <c r="BS340" s="310"/>
      <c r="BT340" s="310"/>
      <c r="BU340" s="310"/>
      <c r="BV340" s="310"/>
      <c r="BW340" s="310"/>
      <c r="BX340" s="311"/>
    </row>
    <row r="341" spans="1:76" ht="12.75">
      <c r="A341" s="305"/>
      <c r="B341" s="305"/>
      <c r="C341" s="309"/>
      <c r="D341" s="305"/>
      <c r="E341" s="305"/>
      <c r="F341" s="305"/>
      <c r="G341" s="305"/>
      <c r="H341" s="305"/>
      <c r="I341" s="305"/>
      <c r="J341" s="305"/>
      <c r="K341" s="305"/>
      <c r="L341" s="305"/>
      <c r="M341" s="306"/>
      <c r="N341" s="305"/>
      <c r="O341" s="305"/>
      <c r="P341" s="305"/>
      <c r="Q341" s="305"/>
      <c r="R341" s="307"/>
      <c r="S341" s="310"/>
      <c r="T341" s="310"/>
      <c r="U341" s="310"/>
      <c r="V341" s="310"/>
      <c r="W341" s="310"/>
      <c r="X341" s="311"/>
      <c r="BS341" s="310"/>
      <c r="BT341" s="310"/>
      <c r="BU341" s="310"/>
      <c r="BV341" s="310"/>
      <c r="BW341" s="310"/>
      <c r="BX341" s="311"/>
    </row>
    <row r="342" spans="1:76" ht="12.75">
      <c r="A342" s="305"/>
      <c r="B342" s="305"/>
      <c r="C342" s="309"/>
      <c r="D342" s="305"/>
      <c r="E342" s="305"/>
      <c r="F342" s="305"/>
      <c r="G342" s="305"/>
      <c r="H342" s="305"/>
      <c r="I342" s="305"/>
      <c r="J342" s="305"/>
      <c r="K342" s="305"/>
      <c r="L342" s="305"/>
      <c r="M342" s="305"/>
      <c r="N342" s="305"/>
      <c r="O342" s="305"/>
      <c r="P342" s="305"/>
      <c r="Q342" s="305"/>
      <c r="R342" s="307"/>
      <c r="S342" s="310"/>
      <c r="T342" s="310"/>
      <c r="U342" s="310"/>
      <c r="V342" s="310"/>
      <c r="W342" s="310"/>
      <c r="X342" s="311"/>
      <c r="BS342" s="310"/>
      <c r="BT342" s="310"/>
      <c r="BU342" s="310"/>
      <c r="BV342" s="310"/>
      <c r="BW342" s="310"/>
      <c r="BX342" s="311"/>
    </row>
    <row r="343" spans="1:76" ht="12.75">
      <c r="A343" s="305"/>
      <c r="B343" s="305"/>
      <c r="C343" s="309"/>
      <c r="D343" s="305"/>
      <c r="E343" s="305"/>
      <c r="F343" s="305"/>
      <c r="G343" s="305"/>
      <c r="H343" s="305"/>
      <c r="I343" s="305"/>
      <c r="J343" s="305"/>
      <c r="K343" s="305"/>
      <c r="L343" s="305"/>
      <c r="M343" s="305"/>
      <c r="N343" s="305"/>
      <c r="O343" s="305"/>
      <c r="P343" s="305"/>
      <c r="Q343" s="305"/>
      <c r="R343" s="307"/>
      <c r="S343" s="310"/>
      <c r="T343" s="310"/>
      <c r="U343" s="310"/>
      <c r="V343" s="310"/>
      <c r="W343" s="310"/>
      <c r="X343" s="311"/>
      <c r="BS343" s="310"/>
      <c r="BT343" s="310"/>
      <c r="BU343" s="310"/>
      <c r="BV343" s="310"/>
      <c r="BW343" s="310"/>
      <c r="BX343" s="311"/>
    </row>
    <row r="344" spans="1:76" ht="12.75">
      <c r="A344" s="305"/>
      <c r="B344" s="305"/>
      <c r="C344" s="309"/>
      <c r="D344" s="305"/>
      <c r="E344" s="305"/>
      <c r="F344" s="305"/>
      <c r="G344" s="305"/>
      <c r="H344" s="305"/>
      <c r="I344" s="305"/>
      <c r="J344" s="305"/>
      <c r="K344" s="305"/>
      <c r="L344" s="305"/>
      <c r="M344" s="305"/>
      <c r="N344" s="305"/>
      <c r="O344" s="305"/>
      <c r="P344" s="305"/>
      <c r="Q344" s="305"/>
      <c r="R344" s="307"/>
      <c r="S344" s="310"/>
      <c r="T344" s="310"/>
      <c r="U344" s="310"/>
      <c r="V344" s="310"/>
      <c r="W344" s="310"/>
      <c r="X344" s="311"/>
      <c r="BS344" s="310"/>
      <c r="BT344" s="310"/>
      <c r="BU344" s="310"/>
      <c r="BV344" s="310"/>
      <c r="BW344" s="310"/>
      <c r="BX344" s="311"/>
    </row>
    <row r="345" spans="1:76" ht="12.75">
      <c r="A345" s="305"/>
      <c r="B345" s="305"/>
      <c r="C345" s="309"/>
      <c r="D345" s="305"/>
      <c r="E345" s="305"/>
      <c r="F345" s="305"/>
      <c r="G345" s="305"/>
      <c r="H345" s="305"/>
      <c r="I345" s="305"/>
      <c r="J345" s="305"/>
      <c r="K345" s="305"/>
      <c r="L345" s="305"/>
      <c r="M345" s="305"/>
      <c r="N345" s="305"/>
      <c r="O345" s="305"/>
      <c r="P345" s="305"/>
      <c r="Q345" s="305"/>
      <c r="R345" s="307"/>
      <c r="S345" s="310"/>
      <c r="T345" s="310"/>
      <c r="U345" s="310"/>
      <c r="V345" s="310"/>
      <c r="W345" s="310"/>
      <c r="X345" s="311"/>
      <c r="BS345" s="310"/>
      <c r="BT345" s="310"/>
      <c r="BU345" s="310"/>
      <c r="BV345" s="310"/>
      <c r="BW345" s="310"/>
      <c r="BX345" s="311"/>
    </row>
    <row r="346" spans="1:76" ht="12.75">
      <c r="A346" s="305"/>
      <c r="B346" s="305"/>
      <c r="C346" s="309"/>
      <c r="D346" s="305"/>
      <c r="E346" s="305"/>
      <c r="F346" s="305"/>
      <c r="G346" s="305"/>
      <c r="H346" s="305"/>
      <c r="I346" s="305"/>
      <c r="J346" s="305"/>
      <c r="K346" s="305"/>
      <c r="L346" s="305"/>
      <c r="M346" s="305"/>
      <c r="N346" s="305"/>
      <c r="O346" s="305"/>
      <c r="P346" s="305"/>
      <c r="Q346" s="305"/>
      <c r="R346" s="307"/>
      <c r="S346" s="310"/>
      <c r="T346" s="310"/>
      <c r="U346" s="310"/>
      <c r="V346" s="310"/>
      <c r="W346" s="310"/>
      <c r="X346" s="311"/>
      <c r="BS346" s="310"/>
      <c r="BT346" s="310"/>
      <c r="BU346" s="310"/>
      <c r="BV346" s="310"/>
      <c r="BW346" s="310"/>
      <c r="BX346" s="311"/>
    </row>
    <row r="347" spans="1:24" ht="12.75">
      <c r="A347" s="305"/>
      <c r="B347" s="305"/>
      <c r="C347" s="309"/>
      <c r="D347" s="305"/>
      <c r="E347" s="305"/>
      <c r="F347" s="305"/>
      <c r="G347" s="305"/>
      <c r="H347" s="305"/>
      <c r="I347" s="305"/>
      <c r="J347" s="305"/>
      <c r="K347" s="305"/>
      <c r="L347" s="305"/>
      <c r="M347" s="305"/>
      <c r="N347" s="305"/>
      <c r="O347" s="305"/>
      <c r="P347" s="305"/>
      <c r="Q347" s="305"/>
      <c r="R347" s="307"/>
      <c r="S347" s="310"/>
      <c r="T347" s="310"/>
      <c r="U347" s="310"/>
      <c r="V347" s="310"/>
      <c r="W347" s="310"/>
      <c r="X347" s="311"/>
    </row>
    <row r="350" ht="12.75">
      <c r="M350" s="63"/>
    </row>
    <row r="351" ht="12.75">
      <c r="M351" s="63"/>
    </row>
    <row r="352" ht="12.75">
      <c r="M352" s="63"/>
    </row>
    <row r="353" ht="12.75">
      <c r="M353" s="63"/>
    </row>
    <row r="354" ht="12.75">
      <c r="M354" s="63"/>
    </row>
    <row r="355" ht="12.75">
      <c r="M355" s="63"/>
    </row>
    <row r="356" ht="12.75">
      <c r="M356" s="63"/>
    </row>
    <row r="357" ht="12.75">
      <c r="M357" s="63"/>
    </row>
    <row r="358" ht="12.75">
      <c r="M358" s="63"/>
    </row>
    <row r="359" ht="12.75">
      <c r="M359" s="63"/>
    </row>
    <row r="360" ht="12.75">
      <c r="M360" s="63"/>
    </row>
    <row r="361" ht="12.75">
      <c r="M361" s="63"/>
    </row>
    <row r="362" ht="12.75">
      <c r="M362" s="63"/>
    </row>
    <row r="363" ht="12.75">
      <c r="M363" s="63"/>
    </row>
    <row r="364" ht="12.75">
      <c r="M364" s="63"/>
    </row>
    <row r="365" ht="12.75">
      <c r="M365" s="63"/>
    </row>
    <row r="366" ht="12.75">
      <c r="M366" s="63"/>
    </row>
    <row r="367" ht="12.75">
      <c r="M367" s="63"/>
    </row>
    <row r="368" ht="12.75">
      <c r="M368" s="63"/>
    </row>
    <row r="369" ht="12.75">
      <c r="M369" s="63"/>
    </row>
    <row r="370" ht="12.75">
      <c r="M370" s="63"/>
    </row>
    <row r="371" ht="12.75">
      <c r="M371" s="63"/>
    </row>
    <row r="372" ht="12.75">
      <c r="M372" s="63"/>
    </row>
    <row r="373" ht="12.75">
      <c r="M373" s="63"/>
    </row>
    <row r="374" ht="12.75">
      <c r="M374" s="63"/>
    </row>
    <row r="375" ht="12.75">
      <c r="M375" s="63"/>
    </row>
    <row r="376" ht="12.75">
      <c r="M376" s="63"/>
    </row>
    <row r="377" ht="12.75">
      <c r="M377" s="63"/>
    </row>
    <row r="378" ht="12.75">
      <c r="M378" s="63"/>
    </row>
    <row r="379" ht="12.75">
      <c r="M379" s="63"/>
    </row>
    <row r="380" ht="12.75">
      <c r="M380" s="63"/>
    </row>
    <row r="381" ht="12.75">
      <c r="M381" s="63"/>
    </row>
    <row r="382" ht="12.75">
      <c r="M382" s="63"/>
    </row>
    <row r="383" ht="12.75">
      <c r="M383" s="63"/>
    </row>
    <row r="384" ht="12.75">
      <c r="M384" s="63"/>
    </row>
    <row r="385" ht="12.75">
      <c r="M385" s="63"/>
    </row>
    <row r="386" ht="12.75">
      <c r="M386" s="63"/>
    </row>
    <row r="387" ht="12.75">
      <c r="M387" s="63"/>
    </row>
    <row r="388" ht="12.75">
      <c r="M388" s="63"/>
    </row>
    <row r="389" ht="12.75">
      <c r="M389" s="63"/>
    </row>
    <row r="390" ht="12.75">
      <c r="M390" s="63"/>
    </row>
    <row r="391" ht="12.75">
      <c r="M391" s="63"/>
    </row>
    <row r="392" ht="12.75">
      <c r="M392" s="63"/>
    </row>
    <row r="393" ht="12.75">
      <c r="M393" s="63"/>
    </row>
    <row r="394" ht="12.75">
      <c r="M394" s="63"/>
    </row>
    <row r="395" ht="12.75">
      <c r="M395" s="63"/>
    </row>
    <row r="396" ht="12.75">
      <c r="M396" s="63"/>
    </row>
    <row r="397" ht="12.75">
      <c r="M397" s="63"/>
    </row>
    <row r="398" ht="12.75">
      <c r="M398" s="63"/>
    </row>
    <row r="399" ht="12.75">
      <c r="M399" s="63"/>
    </row>
    <row r="400" ht="12.75">
      <c r="M400" s="63"/>
    </row>
    <row r="401" ht="12.75">
      <c r="M401" s="63"/>
    </row>
    <row r="402" ht="12.75">
      <c r="M402" s="63"/>
    </row>
    <row r="403" ht="12.75">
      <c r="M403" s="63"/>
    </row>
    <row r="404" ht="12.75">
      <c r="M404" s="63"/>
    </row>
    <row r="405" ht="12.75">
      <c r="M405" s="63"/>
    </row>
    <row r="406" ht="12.75">
      <c r="M406" s="63"/>
    </row>
    <row r="407" ht="12.75">
      <c r="M407" s="63"/>
    </row>
    <row r="408" ht="12.75">
      <c r="M408" s="63"/>
    </row>
    <row r="409" ht="12.75">
      <c r="M409" s="63"/>
    </row>
    <row r="410" ht="12.75">
      <c r="M410" s="63"/>
    </row>
    <row r="411" ht="12.75">
      <c r="M411" s="63"/>
    </row>
    <row r="412" ht="12.75">
      <c r="M412" s="63"/>
    </row>
    <row r="413" ht="12.75">
      <c r="M413" s="63"/>
    </row>
    <row r="414" ht="12.75">
      <c r="M414" s="63"/>
    </row>
    <row r="415" ht="12.75">
      <c r="M415" s="63"/>
    </row>
    <row r="416" ht="12.75">
      <c r="M416" s="63"/>
    </row>
    <row r="417" ht="12.75">
      <c r="M417" s="63"/>
    </row>
    <row r="418" ht="12.75">
      <c r="M418" s="63"/>
    </row>
    <row r="419" ht="12.75">
      <c r="M419" s="63"/>
    </row>
    <row r="420" ht="12.75">
      <c r="M420" s="63"/>
    </row>
    <row r="421" ht="12.75">
      <c r="M421" s="63"/>
    </row>
    <row r="422" ht="12.75">
      <c r="M422" s="63"/>
    </row>
    <row r="423" ht="12.75">
      <c r="M423" s="63"/>
    </row>
    <row r="424" ht="12.75">
      <c r="M424" s="63"/>
    </row>
    <row r="425" ht="12.75">
      <c r="M425" s="63"/>
    </row>
    <row r="426" ht="12.75">
      <c r="M426" s="63"/>
    </row>
    <row r="427" ht="12.75">
      <c r="M427" s="63"/>
    </row>
    <row r="428" ht="12.75">
      <c r="M428" s="63"/>
    </row>
    <row r="429" ht="12.75">
      <c r="M429" s="63"/>
    </row>
    <row r="430" ht="12.75">
      <c r="M430" s="63"/>
    </row>
    <row r="431" ht="12.75">
      <c r="M431" s="63"/>
    </row>
    <row r="432" ht="12.75">
      <c r="M432" s="63"/>
    </row>
    <row r="433" ht="12.75">
      <c r="M433" s="63"/>
    </row>
    <row r="434" ht="12.75">
      <c r="M434" s="63"/>
    </row>
    <row r="435" ht="12.75">
      <c r="M435" s="63"/>
    </row>
    <row r="436" ht="12.75">
      <c r="M436" s="63"/>
    </row>
    <row r="437" ht="12.75">
      <c r="M437" s="63"/>
    </row>
    <row r="438" ht="12.75">
      <c r="M438" s="63"/>
    </row>
    <row r="439" ht="12.75">
      <c r="M439" s="63"/>
    </row>
    <row r="440" ht="12.75">
      <c r="M440" s="63"/>
    </row>
    <row r="441" ht="12.75">
      <c r="M441" s="63"/>
    </row>
    <row r="442" ht="12.75">
      <c r="M442" s="63"/>
    </row>
    <row r="443" ht="12.75">
      <c r="M443" s="63"/>
    </row>
    <row r="444" ht="12.75">
      <c r="M444" s="63"/>
    </row>
    <row r="445" ht="12.75">
      <c r="M445" s="63"/>
    </row>
    <row r="446" ht="12.75">
      <c r="M446" s="63"/>
    </row>
    <row r="447" ht="12.75">
      <c r="M447" s="63"/>
    </row>
    <row r="448" ht="12.75">
      <c r="M448" s="63"/>
    </row>
    <row r="449" ht="12.75">
      <c r="M449" s="63"/>
    </row>
    <row r="450" ht="12.75">
      <c r="M450" s="63"/>
    </row>
    <row r="451" ht="12.75">
      <c r="M451" s="63"/>
    </row>
    <row r="452" ht="12.75">
      <c r="M452" s="63"/>
    </row>
    <row r="453" ht="12.75">
      <c r="M453" s="63"/>
    </row>
    <row r="454" ht="12.75">
      <c r="M454" s="63"/>
    </row>
    <row r="455" ht="12.75">
      <c r="M455" s="63"/>
    </row>
    <row r="456" ht="12.75">
      <c r="M456" s="63"/>
    </row>
    <row r="457" ht="12.75">
      <c r="M457" s="63"/>
    </row>
    <row r="458" ht="12.75">
      <c r="M458" s="63"/>
    </row>
    <row r="459" ht="12.75">
      <c r="M459" s="63"/>
    </row>
    <row r="460" ht="12.75">
      <c r="M460" s="63"/>
    </row>
    <row r="461" ht="12.75">
      <c r="M461" s="63"/>
    </row>
    <row r="462" ht="12.75">
      <c r="M462" s="63"/>
    </row>
    <row r="463" ht="12.75">
      <c r="M463" s="63"/>
    </row>
    <row r="464" ht="12.75">
      <c r="M464" s="63"/>
    </row>
    <row r="465" ht="12.75">
      <c r="M465" s="63"/>
    </row>
    <row r="466" ht="12.75">
      <c r="M466" s="63"/>
    </row>
    <row r="467" ht="12.75">
      <c r="M467" s="63"/>
    </row>
    <row r="468" ht="12.75">
      <c r="M468" s="63"/>
    </row>
    <row r="469" ht="12.75">
      <c r="M469" s="63"/>
    </row>
    <row r="470" ht="12.75">
      <c r="M470" s="63"/>
    </row>
    <row r="471" ht="12.75">
      <c r="M471" s="63"/>
    </row>
    <row r="472" ht="12.75">
      <c r="M472" s="63"/>
    </row>
    <row r="473" ht="12.75">
      <c r="M473" s="63"/>
    </row>
    <row r="474" ht="12.75">
      <c r="M474" s="63"/>
    </row>
    <row r="475" ht="12.75">
      <c r="M475" s="63"/>
    </row>
    <row r="476" ht="12.75">
      <c r="M476" s="63"/>
    </row>
    <row r="477" ht="12.75">
      <c r="M477" s="63"/>
    </row>
    <row r="478" ht="12.75">
      <c r="M478" s="63"/>
    </row>
    <row r="479" ht="12.75">
      <c r="M479" s="63"/>
    </row>
    <row r="480" ht="12.75">
      <c r="M480" s="63"/>
    </row>
    <row r="481" ht="12.75">
      <c r="M481" s="63"/>
    </row>
    <row r="482" ht="12.75">
      <c r="M482" s="63"/>
    </row>
    <row r="483" ht="12.75">
      <c r="M483" s="63"/>
    </row>
    <row r="484" ht="12.75">
      <c r="M484" s="63"/>
    </row>
    <row r="485" ht="12.75">
      <c r="M485" s="63"/>
    </row>
    <row r="486" ht="12.75">
      <c r="M486" s="63"/>
    </row>
    <row r="487" ht="12.75">
      <c r="M487" s="63"/>
    </row>
    <row r="488" ht="12.75">
      <c r="M488" s="63"/>
    </row>
    <row r="489" ht="12.75">
      <c r="M489" s="63"/>
    </row>
    <row r="490" ht="12.75">
      <c r="M490" s="63"/>
    </row>
    <row r="491" ht="12.75">
      <c r="M491" s="63"/>
    </row>
    <row r="492" ht="12.75">
      <c r="M492" s="63"/>
    </row>
    <row r="493" ht="12.75">
      <c r="M493" s="63"/>
    </row>
    <row r="494" ht="12.75">
      <c r="M494" s="63"/>
    </row>
    <row r="495" ht="12.75">
      <c r="M495" s="63"/>
    </row>
    <row r="496" ht="12.75">
      <c r="M496" s="63"/>
    </row>
    <row r="497" ht="12.75">
      <c r="M497" s="63"/>
    </row>
    <row r="498" ht="12.75">
      <c r="M498" s="63"/>
    </row>
    <row r="499" ht="12.75">
      <c r="M499" s="63"/>
    </row>
    <row r="500" ht="12.75">
      <c r="M500" s="63"/>
    </row>
    <row r="501" ht="12.75">
      <c r="M501" s="63"/>
    </row>
    <row r="502" ht="12.75">
      <c r="M502" s="63"/>
    </row>
    <row r="503" ht="12.75">
      <c r="M503" s="63"/>
    </row>
    <row r="504" ht="12.75">
      <c r="M504" s="63"/>
    </row>
    <row r="505" ht="12.75">
      <c r="M505" s="63"/>
    </row>
    <row r="506" ht="12.75">
      <c r="M506" s="63"/>
    </row>
    <row r="507" ht="12.75">
      <c r="M507" s="63"/>
    </row>
    <row r="508" ht="12.75">
      <c r="M508" s="63"/>
    </row>
    <row r="509" ht="12.75">
      <c r="M509" s="63"/>
    </row>
    <row r="510" ht="12.75">
      <c r="M510" s="63"/>
    </row>
    <row r="511" ht="12.75">
      <c r="M511" s="63"/>
    </row>
    <row r="512" ht="12.75">
      <c r="M512" s="63"/>
    </row>
    <row r="513" ht="12.75">
      <c r="M513" s="63"/>
    </row>
    <row r="514" ht="12.75">
      <c r="M514" s="63"/>
    </row>
    <row r="515" ht="12.75">
      <c r="M515" s="63"/>
    </row>
    <row r="516" ht="12.75">
      <c r="M516" s="63"/>
    </row>
    <row r="517" ht="12.75">
      <c r="M517" s="63"/>
    </row>
    <row r="518" ht="12.75">
      <c r="M518" s="63"/>
    </row>
    <row r="519" ht="12.75">
      <c r="M519" s="63"/>
    </row>
    <row r="520" ht="12.75">
      <c r="M520" s="63"/>
    </row>
    <row r="521" ht="12.75">
      <c r="M521" s="63"/>
    </row>
    <row r="522" ht="12.75">
      <c r="M522" s="63"/>
    </row>
    <row r="523" ht="12.75">
      <c r="M523" s="63"/>
    </row>
    <row r="524" ht="12.75">
      <c r="M524" s="63"/>
    </row>
    <row r="525" ht="12.75">
      <c r="M525" s="63"/>
    </row>
    <row r="526" ht="12.75">
      <c r="M526" s="63"/>
    </row>
    <row r="527" ht="12.75">
      <c r="M527" s="63"/>
    </row>
    <row r="528" ht="12.75">
      <c r="M528" s="63"/>
    </row>
    <row r="529" ht="12.75">
      <c r="M529" s="63"/>
    </row>
    <row r="530" ht="12.75">
      <c r="M530" s="63"/>
    </row>
    <row r="531" ht="12.75">
      <c r="M531" s="63"/>
    </row>
    <row r="532" ht="12.75">
      <c r="M532" s="63"/>
    </row>
    <row r="533" ht="12.75">
      <c r="M533" s="63"/>
    </row>
    <row r="534" ht="12.75">
      <c r="M534" s="63"/>
    </row>
    <row r="535" ht="12.75">
      <c r="M535" s="63"/>
    </row>
    <row r="536" ht="12.75">
      <c r="M536" s="63"/>
    </row>
    <row r="537" ht="12.75">
      <c r="M537" s="63"/>
    </row>
    <row r="538" ht="12.75">
      <c r="M538" s="63"/>
    </row>
    <row r="539" ht="12.75">
      <c r="M539" s="63"/>
    </row>
    <row r="540" ht="12.75">
      <c r="M540" s="63"/>
    </row>
    <row r="541" ht="12.75">
      <c r="M541" s="63"/>
    </row>
    <row r="542" ht="12.75">
      <c r="M542" s="63"/>
    </row>
    <row r="543" ht="12.75">
      <c r="M543" s="63"/>
    </row>
    <row r="544" ht="12.75">
      <c r="M544" s="63"/>
    </row>
    <row r="545" ht="12.75">
      <c r="M545" s="63"/>
    </row>
    <row r="546" ht="12.75">
      <c r="M546" s="63"/>
    </row>
    <row r="547" ht="12.75">
      <c r="M547" s="63"/>
    </row>
    <row r="548" ht="12.75">
      <c r="M548" s="63"/>
    </row>
    <row r="549" ht="12.75">
      <c r="M549" s="63"/>
    </row>
    <row r="550" ht="12.75">
      <c r="M550" s="63"/>
    </row>
    <row r="551" ht="12.75">
      <c r="M551" s="63"/>
    </row>
    <row r="552" ht="12.75">
      <c r="M552" s="63"/>
    </row>
    <row r="553" ht="12.75">
      <c r="M553" s="63"/>
    </row>
    <row r="554" ht="12.75">
      <c r="M554" s="63"/>
    </row>
    <row r="555" ht="12.75">
      <c r="M555" s="63"/>
    </row>
    <row r="556" ht="12.75">
      <c r="M556" s="63"/>
    </row>
    <row r="557" ht="12.75">
      <c r="M557" s="63"/>
    </row>
    <row r="558" ht="12.75">
      <c r="M558" s="63"/>
    </row>
    <row r="559" ht="12.75">
      <c r="M559" s="63"/>
    </row>
    <row r="560" ht="12.75">
      <c r="M560" s="63"/>
    </row>
    <row r="561" ht="12.75">
      <c r="M561" s="63"/>
    </row>
    <row r="562" ht="12.75">
      <c r="M562" s="63"/>
    </row>
    <row r="563" ht="12.75">
      <c r="M563" s="63"/>
    </row>
    <row r="564" ht="12.75">
      <c r="M564" s="63"/>
    </row>
    <row r="565" ht="12.75">
      <c r="M565" s="63"/>
    </row>
    <row r="566" ht="12.75">
      <c r="M566" s="63"/>
    </row>
    <row r="567" ht="12.75">
      <c r="M567" s="63"/>
    </row>
    <row r="568" ht="12.75">
      <c r="M568" s="63"/>
    </row>
    <row r="569" ht="12.75">
      <c r="M569" s="63"/>
    </row>
    <row r="570" ht="12.75">
      <c r="M570" s="63"/>
    </row>
    <row r="571" ht="12.75">
      <c r="M571" s="63"/>
    </row>
    <row r="572" ht="12.75">
      <c r="M572" s="63"/>
    </row>
    <row r="573" ht="12.75">
      <c r="M573" s="63"/>
    </row>
    <row r="574" ht="12.75">
      <c r="M574" s="63"/>
    </row>
    <row r="575" ht="12.75">
      <c r="M575" s="63"/>
    </row>
    <row r="576" ht="12.75">
      <c r="M576" s="63"/>
    </row>
    <row r="577" ht="12.75">
      <c r="M577" s="63"/>
    </row>
    <row r="578" ht="12.75">
      <c r="M578" s="63"/>
    </row>
    <row r="579" ht="12.75">
      <c r="M579" s="63"/>
    </row>
    <row r="580" ht="12.75">
      <c r="M580" s="63"/>
    </row>
    <row r="581" ht="12.75">
      <c r="M581" s="63"/>
    </row>
  </sheetData>
  <mergeCells count="17">
    <mergeCell ref="F172:J172"/>
    <mergeCell ref="D103:E103"/>
    <mergeCell ref="F147:K147"/>
    <mergeCell ref="C4:D4"/>
    <mergeCell ref="D100:E100"/>
    <mergeCell ref="D101:E101"/>
    <mergeCell ref="F97:K97"/>
    <mergeCell ref="A1:N1"/>
    <mergeCell ref="B327:J327"/>
    <mergeCell ref="B330:J330"/>
    <mergeCell ref="D321:E321"/>
    <mergeCell ref="C5:D5"/>
    <mergeCell ref="D207:K207"/>
    <mergeCell ref="C70:J70"/>
    <mergeCell ref="F289:K289"/>
    <mergeCell ref="D102:E102"/>
    <mergeCell ref="F173:K173"/>
  </mergeCells>
  <conditionalFormatting sqref="A1">
    <cfRule type="cellIs" priority="1" dxfId="0" operator="equal" stopIfTrue="1">
      <formula>0</formula>
    </cfRule>
    <cfRule type="cellIs" priority="2" dxfId="1" operator="notEqual" stopIfTrue="1">
      <formula>0</formula>
    </cfRule>
  </conditionalFormatting>
  <printOptions/>
  <pageMargins left="0.2" right="0.24" top="1" bottom="1" header="0.5" footer="0.5"/>
  <pageSetup fitToHeight="1" fitToWidth="1" horizontalDpi="600" verticalDpi="600" orientation="landscape" scale="10" r:id="rId3"/>
  <ignoredErrors>
    <ignoredError sqref="U15 Y14 AE14:AE15" formula="1"/>
    <ignoredError sqref="CL29 X317:AK317 BQ148:BQ157 Q302 AR302:AS302 AR303:AS310 AT303:BL310 AT302:BL302 Q303:Q310 BR315:CK316" emptyCellReference="1"/>
    <ignoredError sqref="S317" formulaRange="1"/>
  </ignoredErrors>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BB141"/>
  <sheetViews>
    <sheetView view="pageBreakPreview" zoomScale="60" workbookViewId="0" topLeftCell="A1">
      <selection activeCell="C21" sqref="C21"/>
    </sheetView>
  </sheetViews>
  <sheetFormatPr defaultColWidth="9.140625" defaultRowHeight="12.75"/>
  <cols>
    <col min="2" max="2" width="9.421875" style="0" bestFit="1" customWidth="1"/>
    <col min="3" max="3" width="26.8515625" style="0" bestFit="1" customWidth="1"/>
    <col min="4" max="5" width="10.421875" style="0" bestFit="1" customWidth="1"/>
    <col min="6" max="6" width="10.8515625" style="0" bestFit="1" customWidth="1"/>
    <col min="7" max="8" width="11.28125" style="0" bestFit="1" customWidth="1"/>
    <col min="9" max="9" width="10.421875" style="0" bestFit="1" customWidth="1"/>
    <col min="10" max="10" width="27.57421875" style="0" customWidth="1"/>
    <col min="12" max="12" width="37.421875" style="0" customWidth="1"/>
    <col min="13" max="13" width="9.28125" style="0" bestFit="1" customWidth="1"/>
    <col min="15" max="15" width="9.28125" style="0" bestFit="1" customWidth="1"/>
    <col min="16" max="16" width="14.28125" style="0" customWidth="1"/>
    <col min="17" max="17" width="21.00390625" style="0" customWidth="1"/>
    <col min="18" max="18" width="18.7109375" style="0" customWidth="1"/>
    <col min="19" max="19" width="25.28125" style="0" customWidth="1"/>
    <col min="20" max="20" width="17.140625" style="0" customWidth="1"/>
    <col min="21" max="21" width="23.7109375" style="0" customWidth="1"/>
    <col min="22" max="22" width="22.28125" style="0" customWidth="1"/>
    <col min="24" max="24" width="10.8515625" style="0" bestFit="1" customWidth="1"/>
    <col min="25" max="25" width="11.140625" style="0" bestFit="1" customWidth="1"/>
    <col min="26" max="27" width="9.8515625" style="0" bestFit="1" customWidth="1"/>
    <col min="28" max="28" width="10.8515625" style="0" bestFit="1" customWidth="1"/>
    <col min="30" max="30" width="18.28125" style="0" customWidth="1"/>
    <col min="31" max="31" width="10.28125" style="0" bestFit="1" customWidth="1"/>
    <col min="32" max="37" width="12.7109375" style="0" customWidth="1"/>
    <col min="38" max="39" width="18.28125" style="0" customWidth="1"/>
    <col min="41" max="41" width="15.00390625" style="0" customWidth="1"/>
    <col min="42" max="45" width="9.28125" style="0" bestFit="1" customWidth="1"/>
  </cols>
  <sheetData>
    <row r="1" spans="1:10" ht="12.75" customHeight="1">
      <c r="A1" s="438">
        <f>IF('ERR &amp; Sensitivity Analysis'!$I$10="N","Note: Current calculations are based on user input and are not the original MCC estimates.",IF('ERR &amp; Sensitivity Analysis'!$I$11="N","Note: Current calculations are based on user input and are not the original MCC estimates.",0))</f>
        <v>0</v>
      </c>
      <c r="B1" s="438"/>
      <c r="C1" s="438"/>
      <c r="D1" s="438"/>
      <c r="E1" s="438"/>
      <c r="F1" s="438"/>
      <c r="G1" s="438"/>
      <c r="H1" s="438"/>
      <c r="I1" s="333" t="s">
        <v>15</v>
      </c>
      <c r="J1" s="334">
        <v>39310</v>
      </c>
    </row>
    <row r="2" spans="2:5" ht="15.75">
      <c r="B2" s="487" t="s">
        <v>136</v>
      </c>
      <c r="C2" s="487"/>
      <c r="D2" s="487"/>
      <c r="E2" s="487"/>
    </row>
    <row r="3" ht="13.5" thickBot="1">
      <c r="B3" t="s">
        <v>155</v>
      </c>
    </row>
    <row r="4" spans="2:8" ht="16.5" thickBot="1">
      <c r="B4" s="479" t="s">
        <v>115</v>
      </c>
      <c r="C4" s="479" t="s">
        <v>116</v>
      </c>
      <c r="D4" s="22">
        <v>2002</v>
      </c>
      <c r="E4" s="22">
        <v>2003</v>
      </c>
      <c r="F4" s="22">
        <v>2004</v>
      </c>
      <c r="G4" s="23">
        <v>2005</v>
      </c>
      <c r="H4" s="488" t="s">
        <v>117</v>
      </c>
    </row>
    <row r="5" spans="2:8" ht="16.5" thickBot="1">
      <c r="B5" s="480"/>
      <c r="C5" s="480"/>
      <c r="D5" s="24" t="s">
        <v>118</v>
      </c>
      <c r="E5" s="24" t="s">
        <v>118</v>
      </c>
      <c r="F5" s="24" t="s">
        <v>118</v>
      </c>
      <c r="G5" s="24" t="s">
        <v>118</v>
      </c>
      <c r="H5" s="489"/>
    </row>
    <row r="6" spans="2:8" ht="16.5" thickBot="1">
      <c r="B6" s="490" t="s">
        <v>119</v>
      </c>
      <c r="C6" s="491"/>
      <c r="D6" s="25">
        <v>73532</v>
      </c>
      <c r="E6" s="25">
        <v>111827</v>
      </c>
      <c r="F6" s="25">
        <v>141974</v>
      </c>
      <c r="G6" s="25">
        <v>170777</v>
      </c>
      <c r="H6" s="25">
        <v>498110</v>
      </c>
    </row>
    <row r="7" spans="2:8" ht="48" thickBot="1">
      <c r="B7" s="26">
        <v>1</v>
      </c>
      <c r="C7" s="27" t="s">
        <v>120</v>
      </c>
      <c r="D7" s="28">
        <v>13224</v>
      </c>
      <c r="E7" s="28">
        <v>15335</v>
      </c>
      <c r="F7" s="28">
        <v>26793</v>
      </c>
      <c r="G7" s="28">
        <v>41543</v>
      </c>
      <c r="H7" s="28">
        <v>96895</v>
      </c>
    </row>
    <row r="8" spans="2:8" ht="32.25" thickBot="1">
      <c r="B8" s="484" t="s">
        <v>121</v>
      </c>
      <c r="C8" s="24" t="s">
        <v>122</v>
      </c>
      <c r="D8" s="24" t="s">
        <v>123</v>
      </c>
      <c r="E8" s="24" t="s">
        <v>123</v>
      </c>
      <c r="F8" s="29">
        <v>8747</v>
      </c>
      <c r="G8" s="29">
        <v>23278</v>
      </c>
      <c r="H8" s="25">
        <v>32025</v>
      </c>
    </row>
    <row r="9" spans="2:8" ht="48" thickBot="1">
      <c r="B9" s="485"/>
      <c r="C9" s="24" t="s">
        <v>124</v>
      </c>
      <c r="D9" s="29">
        <v>5408</v>
      </c>
      <c r="E9" s="29">
        <v>4539</v>
      </c>
      <c r="F9" s="29">
        <v>5747</v>
      </c>
      <c r="G9" s="29">
        <v>3369</v>
      </c>
      <c r="H9" s="25">
        <v>19063</v>
      </c>
    </row>
    <row r="10" spans="2:8" ht="32.25" thickBot="1">
      <c r="B10" s="486"/>
      <c r="C10" s="24" t="s">
        <v>125</v>
      </c>
      <c r="D10" s="29">
        <v>7816</v>
      </c>
      <c r="E10" s="29">
        <v>10796</v>
      </c>
      <c r="F10" s="29">
        <v>12245</v>
      </c>
      <c r="G10" s="29">
        <v>14896</v>
      </c>
      <c r="H10" s="25">
        <v>45753</v>
      </c>
    </row>
    <row r="11" spans="2:8" ht="16.5" thickBot="1">
      <c r="B11" s="5">
        <v>2</v>
      </c>
      <c r="C11" s="24" t="s">
        <v>126</v>
      </c>
      <c r="D11" s="29">
        <v>7196</v>
      </c>
      <c r="E11" s="29">
        <v>15176</v>
      </c>
      <c r="F11" s="29">
        <v>19940</v>
      </c>
      <c r="G11" s="29">
        <v>21761</v>
      </c>
      <c r="H11" s="25">
        <v>64073</v>
      </c>
    </row>
    <row r="12" spans="2:8" ht="63.75" thickBot="1">
      <c r="B12" s="5">
        <v>3</v>
      </c>
      <c r="C12" s="24" t="s">
        <v>127</v>
      </c>
      <c r="D12" s="29">
        <v>5271</v>
      </c>
      <c r="E12" s="29">
        <v>7710</v>
      </c>
      <c r="F12" s="29">
        <v>1584</v>
      </c>
      <c r="G12" s="29">
        <v>2096</v>
      </c>
      <c r="H12" s="25">
        <v>16661</v>
      </c>
    </row>
    <row r="13" spans="2:8" ht="17.25" thickBot="1">
      <c r="B13" s="30">
        <v>4</v>
      </c>
      <c r="C13" s="31" t="s">
        <v>128</v>
      </c>
      <c r="D13" s="32">
        <v>47841</v>
      </c>
      <c r="E13" s="32">
        <v>73606</v>
      </c>
      <c r="F13" s="32">
        <v>93657</v>
      </c>
      <c r="G13" s="32">
        <v>105377</v>
      </c>
      <c r="H13" s="28">
        <v>320481</v>
      </c>
    </row>
    <row r="14" spans="2:8" ht="16.5" thickBot="1">
      <c r="B14" s="484" t="s">
        <v>129</v>
      </c>
      <c r="C14" s="24" t="s">
        <v>130</v>
      </c>
      <c r="D14" s="29">
        <v>23690</v>
      </c>
      <c r="E14" s="29">
        <v>42061</v>
      </c>
      <c r="F14" s="29">
        <v>52846</v>
      </c>
      <c r="G14" s="29">
        <v>54403</v>
      </c>
      <c r="H14" s="25">
        <v>173000</v>
      </c>
    </row>
    <row r="15" spans="2:8" ht="32.25" thickBot="1">
      <c r="B15" s="485"/>
      <c r="C15" s="24" t="s">
        <v>131</v>
      </c>
      <c r="D15" s="29">
        <v>3312</v>
      </c>
      <c r="E15" s="29">
        <v>3313</v>
      </c>
      <c r="F15" s="29">
        <v>4665</v>
      </c>
      <c r="G15" s="29">
        <v>6451</v>
      </c>
      <c r="H15" s="25">
        <v>17741</v>
      </c>
    </row>
    <row r="16" spans="2:8" ht="16.5" thickBot="1">
      <c r="B16" s="485"/>
      <c r="C16" s="24" t="s">
        <v>132</v>
      </c>
      <c r="D16" s="29">
        <v>7919</v>
      </c>
      <c r="E16" s="29">
        <v>8621</v>
      </c>
      <c r="F16" s="29">
        <v>10843</v>
      </c>
      <c r="G16" s="29">
        <v>13426</v>
      </c>
      <c r="H16" s="25">
        <v>40809</v>
      </c>
    </row>
    <row r="17" spans="2:8" ht="16.5" thickBot="1">
      <c r="B17" s="485"/>
      <c r="C17" s="24" t="s">
        <v>133</v>
      </c>
      <c r="D17" s="24" t="s">
        <v>123</v>
      </c>
      <c r="E17" s="29">
        <v>1030</v>
      </c>
      <c r="F17" s="29">
        <v>1158</v>
      </c>
      <c r="G17" s="29">
        <v>1365</v>
      </c>
      <c r="H17" s="25">
        <v>3553</v>
      </c>
    </row>
    <row r="18" spans="2:8" ht="18" customHeight="1" thickBot="1">
      <c r="B18" s="486"/>
      <c r="C18" s="24" t="s">
        <v>134</v>
      </c>
      <c r="D18" s="29">
        <v>12920</v>
      </c>
      <c r="E18" s="29">
        <v>18581</v>
      </c>
      <c r="F18" s="29">
        <v>24145</v>
      </c>
      <c r="G18" s="29">
        <v>29732</v>
      </c>
      <c r="H18" s="25">
        <v>85378</v>
      </c>
    </row>
    <row r="19" spans="2:8" ht="32.25" thickBot="1">
      <c r="B19" s="5">
        <v>5</v>
      </c>
      <c r="C19" s="33" t="s">
        <v>135</v>
      </c>
      <c r="D19" s="25">
        <v>13218</v>
      </c>
      <c r="E19" s="25">
        <v>15394</v>
      </c>
      <c r="F19" s="25">
        <v>26248</v>
      </c>
      <c r="G19" s="25">
        <v>42694</v>
      </c>
      <c r="H19" s="25">
        <v>192474</v>
      </c>
    </row>
    <row r="21" ht="48.75" customHeight="1">
      <c r="J21" s="34" t="s">
        <v>137</v>
      </c>
    </row>
    <row r="22" ht="32.25" thickBot="1">
      <c r="J22" s="35" t="s">
        <v>156</v>
      </c>
    </row>
    <row r="23" spans="10:13" s="3" customFormat="1" ht="35.25" customHeight="1" thickBot="1">
      <c r="J23" s="40" t="s">
        <v>115</v>
      </c>
      <c r="K23" s="41" t="s">
        <v>138</v>
      </c>
      <c r="L23" s="41" t="s">
        <v>139</v>
      </c>
      <c r="M23" s="41" t="s">
        <v>140</v>
      </c>
    </row>
    <row r="24" spans="10:13" ht="15.75">
      <c r="J24" s="481">
        <v>1</v>
      </c>
      <c r="K24" s="472" t="s">
        <v>141</v>
      </c>
      <c r="L24" s="36" t="s">
        <v>142</v>
      </c>
      <c r="M24" s="36">
        <v>8</v>
      </c>
    </row>
    <row r="25" spans="10:13" ht="18" customHeight="1">
      <c r="J25" s="482"/>
      <c r="K25" s="473"/>
      <c r="L25" s="36" t="s">
        <v>143</v>
      </c>
      <c r="M25" s="36">
        <v>25</v>
      </c>
    </row>
    <row r="26" spans="10:13" ht="17.25" customHeight="1" thickBot="1">
      <c r="J26" s="483"/>
      <c r="K26" s="474"/>
      <c r="L26" s="37" t="s">
        <v>144</v>
      </c>
      <c r="M26" s="37">
        <v>60</v>
      </c>
    </row>
    <row r="27" spans="10:13" ht="18.75" customHeight="1">
      <c r="J27" s="481">
        <v>2</v>
      </c>
      <c r="K27" s="472" t="s">
        <v>145</v>
      </c>
      <c r="L27" s="36" t="s">
        <v>142</v>
      </c>
      <c r="M27" s="36">
        <v>8</v>
      </c>
    </row>
    <row r="28" spans="10:13" ht="15.75">
      <c r="J28" s="482"/>
      <c r="K28" s="473"/>
      <c r="L28" s="36" t="s">
        <v>143</v>
      </c>
      <c r="M28" s="36">
        <v>25</v>
      </c>
    </row>
    <row r="29" spans="10:13" ht="16.5" thickBot="1">
      <c r="J29" s="483"/>
      <c r="K29" s="474"/>
      <c r="L29" s="37" t="s">
        <v>144</v>
      </c>
      <c r="M29" s="37">
        <v>60</v>
      </c>
    </row>
    <row r="30" spans="10:13" ht="51" customHeight="1" thickBot="1">
      <c r="J30" s="38">
        <v>3</v>
      </c>
      <c r="K30" s="39" t="s">
        <v>146</v>
      </c>
      <c r="L30" s="37" t="s">
        <v>147</v>
      </c>
      <c r="M30" s="37">
        <v>15</v>
      </c>
    </row>
    <row r="31" spans="10:13" ht="36" customHeight="1" thickBot="1">
      <c r="J31" s="38">
        <v>4</v>
      </c>
      <c r="K31" s="39" t="s">
        <v>148</v>
      </c>
      <c r="L31" s="37" t="s">
        <v>149</v>
      </c>
      <c r="M31" s="37">
        <v>5</v>
      </c>
    </row>
    <row r="32" spans="10:13" ht="39" customHeight="1" thickBot="1">
      <c r="J32" s="38">
        <v>5</v>
      </c>
      <c r="K32" s="39" t="s">
        <v>150</v>
      </c>
      <c r="L32" s="37" t="s">
        <v>151</v>
      </c>
      <c r="M32" s="37">
        <v>5</v>
      </c>
    </row>
    <row r="33" spans="10:13" ht="42.75" customHeight="1" thickBot="1">
      <c r="J33" s="38">
        <v>6</v>
      </c>
      <c r="K33" s="39" t="s">
        <v>152</v>
      </c>
      <c r="L33" s="37" t="s">
        <v>151</v>
      </c>
      <c r="M33" s="37">
        <v>5</v>
      </c>
    </row>
    <row r="34" spans="10:13" ht="16.5" customHeight="1">
      <c r="J34" s="481">
        <v>7</v>
      </c>
      <c r="K34" s="472" t="s">
        <v>153</v>
      </c>
      <c r="L34" s="36" t="s">
        <v>142</v>
      </c>
      <c r="M34" s="36">
        <v>8</v>
      </c>
    </row>
    <row r="35" spans="10:13" ht="15.75">
      <c r="J35" s="482"/>
      <c r="K35" s="473"/>
      <c r="L35" s="36" t="s">
        <v>143</v>
      </c>
      <c r="M35" s="36">
        <v>25</v>
      </c>
    </row>
    <row r="36" spans="10:13" ht="16.5" thickBot="1">
      <c r="J36" s="483"/>
      <c r="K36" s="474"/>
      <c r="L36" s="37" t="s">
        <v>144</v>
      </c>
      <c r="M36" s="37">
        <v>60</v>
      </c>
    </row>
    <row r="37" spans="15:22" s="44" customFormat="1" ht="28.5" customHeight="1" thickBot="1">
      <c r="O37" s="475"/>
      <c r="P37" s="479" t="s">
        <v>77</v>
      </c>
      <c r="Q37" s="418" t="s">
        <v>161</v>
      </c>
      <c r="R37" s="419"/>
      <c r="S37" s="417" t="s">
        <v>162</v>
      </c>
      <c r="T37" s="419"/>
      <c r="U37" s="417" t="s">
        <v>165</v>
      </c>
      <c r="V37" s="419"/>
    </row>
    <row r="38" spans="15:22" s="3" customFormat="1" ht="41.25" customHeight="1" thickBot="1">
      <c r="O38" s="476"/>
      <c r="P38" s="480"/>
      <c r="Q38" s="42" t="s">
        <v>159</v>
      </c>
      <c r="R38" s="42" t="s">
        <v>160</v>
      </c>
      <c r="S38" s="43" t="s">
        <v>78</v>
      </c>
      <c r="T38" s="43" t="s">
        <v>79</v>
      </c>
      <c r="U38" s="45" t="s">
        <v>163</v>
      </c>
      <c r="V38" s="43" t="s">
        <v>164</v>
      </c>
    </row>
    <row r="39" spans="15:22" ht="16.5" thickBot="1">
      <c r="O39" s="5">
        <v>1</v>
      </c>
      <c r="P39" s="6" t="s">
        <v>80</v>
      </c>
      <c r="Q39" s="7">
        <v>7128</v>
      </c>
      <c r="R39" s="7">
        <v>5660</v>
      </c>
      <c r="S39" s="7">
        <v>3026</v>
      </c>
      <c r="T39" s="7">
        <v>3026</v>
      </c>
      <c r="U39" s="7">
        <v>4102</v>
      </c>
      <c r="V39" s="7">
        <v>2634</v>
      </c>
    </row>
    <row r="40" spans="15:22" ht="32.25" customHeight="1" thickBot="1">
      <c r="O40" s="5">
        <v>2</v>
      </c>
      <c r="P40" s="6" t="s">
        <v>81</v>
      </c>
      <c r="Q40" s="7">
        <v>7289</v>
      </c>
      <c r="R40" s="7">
        <v>7210</v>
      </c>
      <c r="S40" s="7">
        <v>3931</v>
      </c>
      <c r="T40" s="7">
        <v>3809</v>
      </c>
      <c r="U40" s="7">
        <v>3358</v>
      </c>
      <c r="V40" s="7">
        <v>3401</v>
      </c>
    </row>
    <row r="41" spans="15:22" ht="16.5" thickBot="1">
      <c r="O41" s="5">
        <v>3</v>
      </c>
      <c r="P41" s="6" t="s">
        <v>82</v>
      </c>
      <c r="Q41" s="7">
        <v>1155</v>
      </c>
      <c r="R41" s="7">
        <v>1031</v>
      </c>
      <c r="S41" s="7">
        <v>1068</v>
      </c>
      <c r="T41" s="7">
        <v>951</v>
      </c>
      <c r="U41" s="7">
        <v>80</v>
      </c>
      <c r="V41" s="7">
        <v>80</v>
      </c>
    </row>
    <row r="42" spans="15:22" ht="16.5" thickBot="1">
      <c r="O42" s="5">
        <v>4</v>
      </c>
      <c r="P42" s="6" t="s">
        <v>72</v>
      </c>
      <c r="Q42" s="7">
        <v>13039</v>
      </c>
      <c r="R42" s="7">
        <v>7140</v>
      </c>
      <c r="S42" s="7">
        <v>8333</v>
      </c>
      <c r="T42" s="7">
        <v>5940</v>
      </c>
      <c r="U42" s="7">
        <v>4706</v>
      </c>
      <c r="V42" s="7">
        <v>1200</v>
      </c>
    </row>
    <row r="43" spans="15:22" ht="32.25" customHeight="1" thickBot="1">
      <c r="O43" s="5">
        <v>5</v>
      </c>
      <c r="P43" s="6" t="s">
        <v>83</v>
      </c>
      <c r="Q43" s="7">
        <v>7883</v>
      </c>
      <c r="R43" s="7">
        <v>7646</v>
      </c>
      <c r="S43" s="7">
        <v>7415</v>
      </c>
      <c r="T43" s="7">
        <v>7178</v>
      </c>
      <c r="U43" s="7">
        <v>455</v>
      </c>
      <c r="V43" s="7">
        <v>455</v>
      </c>
    </row>
    <row r="44" spans="15:22" ht="16.5" thickBot="1">
      <c r="O44" s="5">
        <v>6</v>
      </c>
      <c r="P44" s="6" t="s">
        <v>84</v>
      </c>
      <c r="Q44" s="7">
        <v>7444</v>
      </c>
      <c r="R44" s="7">
        <v>6491</v>
      </c>
      <c r="S44" s="7">
        <v>4661</v>
      </c>
      <c r="T44" s="7">
        <v>4263</v>
      </c>
      <c r="U44" s="7">
        <v>2702</v>
      </c>
      <c r="V44" s="7">
        <v>2228</v>
      </c>
    </row>
    <row r="45" spans="15:22" ht="16.5" thickBot="1">
      <c r="O45" s="5">
        <v>7</v>
      </c>
      <c r="P45" s="6" t="s">
        <v>85</v>
      </c>
      <c r="Q45" s="7">
        <v>4876</v>
      </c>
      <c r="R45" s="7">
        <v>3958</v>
      </c>
      <c r="S45" s="7">
        <v>4861</v>
      </c>
      <c r="T45" s="7">
        <v>3958</v>
      </c>
      <c r="U45" s="7"/>
      <c r="V45" s="7"/>
    </row>
    <row r="46" spans="15:22" ht="32.25" customHeight="1" thickBot="1">
      <c r="O46" s="5">
        <v>8</v>
      </c>
      <c r="P46" s="6" t="s">
        <v>86</v>
      </c>
      <c r="Q46" s="7">
        <v>5012</v>
      </c>
      <c r="R46" s="7">
        <v>4869</v>
      </c>
      <c r="S46" s="7">
        <v>3264</v>
      </c>
      <c r="T46" s="7">
        <v>3251</v>
      </c>
      <c r="U46" s="7">
        <v>1741</v>
      </c>
      <c r="V46" s="7">
        <v>1617</v>
      </c>
    </row>
    <row r="47" spans="15:22" ht="16.5" thickBot="1">
      <c r="O47" s="8"/>
      <c r="P47" s="9" t="s">
        <v>87</v>
      </c>
      <c r="Q47" s="10">
        <v>53826</v>
      </c>
      <c r="R47" s="10">
        <v>44005</v>
      </c>
      <c r="S47" s="10">
        <v>36559</v>
      </c>
      <c r="T47" s="10">
        <v>32376</v>
      </c>
      <c r="U47" s="10">
        <v>17144</v>
      </c>
      <c r="V47" s="10">
        <v>11615</v>
      </c>
    </row>
    <row r="49" ht="13.5" thickBot="1"/>
    <row r="50" spans="15:22" s="52" customFormat="1" ht="25.5" customHeight="1" thickBot="1">
      <c r="O50" s="477"/>
      <c r="P50" s="466" t="s">
        <v>166</v>
      </c>
      <c r="Q50" s="468" t="s">
        <v>177</v>
      </c>
      <c r="R50" s="469"/>
      <c r="S50" s="470" t="s">
        <v>178</v>
      </c>
      <c r="T50" s="471"/>
      <c r="U50" s="470" t="s">
        <v>179</v>
      </c>
      <c r="V50" s="471"/>
    </row>
    <row r="51" spans="15:22" s="50" customFormat="1" ht="47.25" customHeight="1" thickBot="1">
      <c r="O51" s="478"/>
      <c r="P51" s="467"/>
      <c r="Q51" s="54" t="s">
        <v>176</v>
      </c>
      <c r="R51" s="55" t="s">
        <v>241</v>
      </c>
      <c r="S51" s="56" t="s">
        <v>78</v>
      </c>
      <c r="T51" s="57" t="s">
        <v>79</v>
      </c>
      <c r="U51" s="56" t="s">
        <v>163</v>
      </c>
      <c r="V51" s="57" t="s">
        <v>164</v>
      </c>
    </row>
    <row r="52" spans="15:22" ht="16.5" thickBot="1">
      <c r="O52" s="5">
        <v>1</v>
      </c>
      <c r="P52" s="6" t="s">
        <v>167</v>
      </c>
      <c r="Q52" s="7">
        <v>4490</v>
      </c>
      <c r="R52" s="7">
        <v>4461</v>
      </c>
      <c r="S52" s="7">
        <v>4490</v>
      </c>
      <c r="T52" s="7">
        <v>4461</v>
      </c>
      <c r="U52" s="53"/>
      <c r="V52" s="53"/>
    </row>
    <row r="53" spans="15:22" ht="16.5" thickBot="1">
      <c r="O53" s="5">
        <v>2</v>
      </c>
      <c r="P53" s="6" t="s">
        <v>168</v>
      </c>
      <c r="Q53" s="7">
        <v>11400</v>
      </c>
      <c r="R53" s="7">
        <v>11007</v>
      </c>
      <c r="S53" s="7">
        <v>11400</v>
      </c>
      <c r="T53" s="7">
        <v>11007</v>
      </c>
      <c r="U53" s="53"/>
      <c r="V53" s="53"/>
    </row>
    <row r="54" spans="15:22" s="49" customFormat="1" ht="16.5" thickBot="1">
      <c r="O54" s="46">
        <v>3</v>
      </c>
      <c r="P54" s="47" t="s">
        <v>169</v>
      </c>
      <c r="Q54" s="48">
        <v>6240</v>
      </c>
      <c r="R54" s="48">
        <v>6188</v>
      </c>
      <c r="S54" s="7">
        <v>6240</v>
      </c>
      <c r="T54" s="7">
        <v>6188</v>
      </c>
      <c r="U54" s="53"/>
      <c r="V54" s="53"/>
    </row>
    <row r="55" spans="15:22" s="49" customFormat="1" ht="32.25" thickBot="1">
      <c r="O55" s="46">
        <v>4</v>
      </c>
      <c r="P55" s="47" t="s">
        <v>170</v>
      </c>
      <c r="Q55" s="48">
        <v>14215</v>
      </c>
      <c r="R55" s="48">
        <v>13551</v>
      </c>
      <c r="S55" s="7">
        <v>13500</v>
      </c>
      <c r="T55" s="7">
        <v>13322</v>
      </c>
      <c r="U55" s="7">
        <v>715</v>
      </c>
      <c r="V55" s="7">
        <v>229</v>
      </c>
    </row>
    <row r="56" spans="15:22" ht="16.5" thickBot="1">
      <c r="O56" s="5">
        <v>5</v>
      </c>
      <c r="P56" s="6" t="s">
        <v>171</v>
      </c>
      <c r="Q56" s="7">
        <v>7452</v>
      </c>
      <c r="R56" s="7">
        <v>7312</v>
      </c>
      <c r="S56" s="7">
        <v>6310</v>
      </c>
      <c r="T56" s="7">
        <v>6281</v>
      </c>
      <c r="U56" s="7">
        <v>1142</v>
      </c>
      <c r="V56" s="7">
        <v>1031</v>
      </c>
    </row>
    <row r="57" spans="15:22" ht="16.5" thickBot="1">
      <c r="O57" s="5">
        <v>6</v>
      </c>
      <c r="P57" s="6" t="s">
        <v>172</v>
      </c>
      <c r="Q57" s="7">
        <v>9960</v>
      </c>
      <c r="R57" s="7">
        <v>9760</v>
      </c>
      <c r="S57" s="7">
        <v>9960</v>
      </c>
      <c r="T57" s="7">
        <v>9760</v>
      </c>
      <c r="U57" s="7"/>
      <c r="V57" s="7"/>
    </row>
    <row r="58" spans="15:22" ht="16.5" thickBot="1">
      <c r="O58" s="5">
        <v>7</v>
      </c>
      <c r="P58" s="6" t="s">
        <v>173</v>
      </c>
      <c r="Q58" s="7">
        <v>1810</v>
      </c>
      <c r="R58" s="7">
        <v>1807</v>
      </c>
      <c r="S58" s="7">
        <v>1810</v>
      </c>
      <c r="T58" s="7">
        <v>1807</v>
      </c>
      <c r="U58" s="7"/>
      <c r="V58" s="7"/>
    </row>
    <row r="59" spans="15:22" s="49" customFormat="1" ht="32.25" thickBot="1">
      <c r="O59" s="46">
        <v>8</v>
      </c>
      <c r="P59" s="47" t="s">
        <v>174</v>
      </c>
      <c r="Q59" s="48">
        <v>149</v>
      </c>
      <c r="R59" s="48">
        <v>143</v>
      </c>
      <c r="S59" s="7">
        <v>149</v>
      </c>
      <c r="T59" s="7">
        <v>143</v>
      </c>
      <c r="U59" s="7"/>
      <c r="V59" s="7"/>
    </row>
    <row r="60" spans="15:22" ht="16.5" thickBot="1">
      <c r="O60" s="5">
        <v>9</v>
      </c>
      <c r="P60" s="6" t="s">
        <v>175</v>
      </c>
      <c r="Q60" s="7">
        <v>2291</v>
      </c>
      <c r="R60" s="7">
        <v>2291</v>
      </c>
      <c r="S60" s="51">
        <v>2291</v>
      </c>
      <c r="T60" s="51">
        <v>2291</v>
      </c>
      <c r="U60" s="7"/>
      <c r="V60" s="7"/>
    </row>
    <row r="61" spans="15:22" ht="16.5" thickBot="1">
      <c r="O61" s="8"/>
      <c r="P61" s="9" t="s">
        <v>87</v>
      </c>
      <c r="Q61" s="10">
        <v>58007</v>
      </c>
      <c r="R61" s="10">
        <v>56520</v>
      </c>
      <c r="S61" s="10">
        <v>56150</v>
      </c>
      <c r="T61" s="10">
        <v>55260</v>
      </c>
      <c r="U61" s="10">
        <v>1857</v>
      </c>
      <c r="V61" s="10">
        <v>1260</v>
      </c>
    </row>
    <row r="63" ht="13.5" thickBot="1"/>
    <row r="64" spans="24:29" ht="26.25" customHeight="1" thickBot="1">
      <c r="X64" s="417"/>
      <c r="Y64" s="418"/>
      <c r="Z64" s="418"/>
      <c r="AA64" s="418"/>
      <c r="AB64" s="419"/>
      <c r="AC64" s="130"/>
    </row>
    <row r="65" spans="24:29" ht="13.5" thickBot="1">
      <c r="X65" s="420"/>
      <c r="Y65" s="421"/>
      <c r="Z65" s="421"/>
      <c r="AA65" s="421"/>
      <c r="AB65" s="422"/>
      <c r="AC65" s="130"/>
    </row>
    <row r="66" spans="24:29" ht="26.25" customHeight="1">
      <c r="X66" s="492" t="s">
        <v>401</v>
      </c>
      <c r="Y66" s="493"/>
      <c r="Z66" s="494" t="s">
        <v>212</v>
      </c>
      <c r="AA66" s="496" t="s">
        <v>213</v>
      </c>
      <c r="AB66" s="424" t="s">
        <v>402</v>
      </c>
      <c r="AC66" s="130"/>
    </row>
    <row r="67" spans="24:29" ht="13.5" thickBot="1">
      <c r="X67" s="412" t="s">
        <v>211</v>
      </c>
      <c r="Y67" s="62" t="s">
        <v>75</v>
      </c>
      <c r="Z67" s="495"/>
      <c r="AA67" s="497"/>
      <c r="AB67" s="413"/>
      <c r="AC67" s="15"/>
    </row>
    <row r="68" spans="24:29" ht="12.75">
      <c r="X68" s="454"/>
      <c r="Y68" s="454"/>
      <c r="Z68" s="454"/>
      <c r="AA68" s="454"/>
      <c r="AB68" s="455"/>
      <c r="AC68" s="164"/>
    </row>
    <row r="69" spans="24:31" ht="12.75">
      <c r="X69" s="165">
        <f>3250000/'Data &amp; Assumptions'!$D$5</f>
        <v>2792.0962199312717</v>
      </c>
      <c r="Y69" s="165"/>
      <c r="Z69" s="165">
        <f>500000/'Data &amp; Assumptions'!$D$5</f>
        <v>429.553264604811</v>
      </c>
      <c r="AA69" s="166"/>
      <c r="AB69" s="167">
        <f>Z69+AA77</f>
        <v>933.5624284077892</v>
      </c>
      <c r="AC69" s="15"/>
      <c r="AE69" s="115"/>
    </row>
    <row r="70" spans="24:31" ht="12.75">
      <c r="X70" s="165">
        <f>2250000/'Data &amp; Assumptions'!$D$5</f>
        <v>1932.9896907216496</v>
      </c>
      <c r="Y70" s="165">
        <f>850000/'Data &amp; Assumptions'!$D$5</f>
        <v>730.2405498281787</v>
      </c>
      <c r="Z70" s="165">
        <f>900000/'Data &amp; Assumptions'!$D$5</f>
        <v>773.1958762886597</v>
      </c>
      <c r="AA70" s="166">
        <f>700000/'Data &amp; Assumptions'!$D$5</f>
        <v>601.3745704467354</v>
      </c>
      <c r="AB70" s="167">
        <f>SUM(Z70:AA70)</f>
        <v>1374.5704467353953</v>
      </c>
      <c r="AC70" s="15"/>
      <c r="AE70" s="115"/>
    </row>
    <row r="71" spans="24:31" ht="12.75">
      <c r="X71" s="165"/>
      <c r="Y71" s="165">
        <f>4000000/'Data &amp; Assumptions'!$D$5</f>
        <v>3436.426116838488</v>
      </c>
      <c r="Z71" s="165">
        <f>600000/'Data &amp; Assumptions'!$D$5</f>
        <v>515.4639175257732</v>
      </c>
      <c r="AA71" s="166">
        <f>750000/'Data &amp; Assumptions'!$D$5</f>
        <v>644.3298969072165</v>
      </c>
      <c r="AB71" s="167">
        <f aca="true" t="shared" si="0" ref="AB71:AB77">SUM(Z71:AA71)</f>
        <v>1159.7938144329896</v>
      </c>
      <c r="AC71" s="15"/>
      <c r="AE71" s="115"/>
    </row>
    <row r="72" spans="24:29" ht="12.75">
      <c r="X72" s="165">
        <f>1000000/'Data &amp; Assumptions'!$D$5</f>
        <v>859.106529209622</v>
      </c>
      <c r="Y72" s="165"/>
      <c r="Z72" s="165">
        <f>650000/'Data &amp; Assumptions'!$D$5</f>
        <v>558.4192439862543</v>
      </c>
      <c r="AA72" s="166">
        <f>250000/'Data &amp; Assumptions'!$D$5</f>
        <v>214.7766323024055</v>
      </c>
      <c r="AB72" s="167">
        <f t="shared" si="0"/>
        <v>773.1958762886597</v>
      </c>
      <c r="AC72" s="15"/>
    </row>
    <row r="73" spans="24:29" ht="12.75">
      <c r="X73" s="165">
        <f>3750000/'Data &amp; Assumptions'!$D$5</f>
        <v>3221.6494845360826</v>
      </c>
      <c r="Y73" s="165">
        <f>1750000/'Data &amp; Assumptions'!$D$5</f>
        <v>1503.4364261168384</v>
      </c>
      <c r="Z73" s="165">
        <f>450000/'Data &amp; Assumptions'!$D$5</f>
        <v>386.5979381443299</v>
      </c>
      <c r="AA73" s="166">
        <f>650000/'Data &amp; Assumptions'!$D$5</f>
        <v>558.4192439862543</v>
      </c>
      <c r="AB73" s="167">
        <f t="shared" si="0"/>
        <v>945.0171821305842</v>
      </c>
      <c r="AC73" s="15"/>
    </row>
    <row r="74" spans="24:29" ht="12.75">
      <c r="X74" s="165">
        <f>4000000/'Data &amp; Assumptions'!$D$5</f>
        <v>3436.426116838488</v>
      </c>
      <c r="Y74" s="165">
        <f>2000000/'Data &amp; Assumptions'!$D$5</f>
        <v>1718.213058419244</v>
      </c>
      <c r="Z74" s="165">
        <f>500000/'Data &amp; Assumptions'!$D$5</f>
        <v>429.553264604811</v>
      </c>
      <c r="AA74" s="166">
        <f>620000/'Data &amp; Assumptions'!$D$5</f>
        <v>532.6460481099656</v>
      </c>
      <c r="AB74" s="167">
        <f t="shared" si="0"/>
        <v>962.1993127147766</v>
      </c>
      <c r="AC74" s="15"/>
    </row>
    <row r="75" spans="24:29" ht="12.75">
      <c r="X75" s="165">
        <f>4300000/'Data &amp; Assumptions'!$D$5</f>
        <v>3694.1580756013745</v>
      </c>
      <c r="Y75" s="165"/>
      <c r="Z75" s="165">
        <f>1400000/'Data &amp; Assumptions'!$D$5</f>
        <v>1202.749140893471</v>
      </c>
      <c r="AA75" s="166">
        <f>550000/'Data &amp; Assumptions'!$D$5</f>
        <v>472.5085910652921</v>
      </c>
      <c r="AB75" s="167">
        <f t="shared" si="0"/>
        <v>1675.257731958763</v>
      </c>
      <c r="AC75" s="15"/>
    </row>
    <row r="76" spans="24:29" ht="12.75">
      <c r="X76" s="165"/>
      <c r="Y76" s="165"/>
      <c r="Z76" s="165">
        <f>850000/'Data &amp; Assumptions'!$D$5</f>
        <v>730.2405498281787</v>
      </c>
      <c r="AA76" s="166"/>
      <c r="AB76" s="167">
        <f>Z76+AA77</f>
        <v>1234.249713631157</v>
      </c>
      <c r="AC76" s="15"/>
    </row>
    <row r="77" spans="24:29" ht="12.75">
      <c r="X77" s="168">
        <f>AVERAGE(X69:X76)</f>
        <v>2656.0710194730814</v>
      </c>
      <c r="Y77" s="168">
        <f>AVERAGE(Y69:Y76)</f>
        <v>1847.079037800687</v>
      </c>
      <c r="Z77" s="168">
        <f>AVERAGE(Z69:Z76)</f>
        <v>628.2216494845361</v>
      </c>
      <c r="AA77" s="169">
        <f>AVERAGE(AA69:AA76)</f>
        <v>504.0091638029782</v>
      </c>
      <c r="AB77" s="177">
        <f t="shared" si="0"/>
        <v>1132.2308132875144</v>
      </c>
      <c r="AC77" s="15"/>
    </row>
    <row r="78" spans="24:29" ht="12.75">
      <c r="X78" s="456"/>
      <c r="Y78" s="456"/>
      <c r="Z78" s="456"/>
      <c r="AA78" s="456"/>
      <c r="AB78" s="457"/>
      <c r="AC78" s="164"/>
    </row>
    <row r="79" spans="24:29" ht="12.75">
      <c r="X79" s="165">
        <f>3500000/'Data &amp; Assumptions'!$D$5</f>
        <v>3006.872852233677</v>
      </c>
      <c r="Y79" s="165"/>
      <c r="Z79" s="165">
        <f>600000/'Data &amp; Assumptions'!$D$5</f>
        <v>515.4639175257732</v>
      </c>
      <c r="AA79" s="166">
        <f>800000/'Data &amp; Assumptions'!$D$5</f>
        <v>687.2852233676975</v>
      </c>
      <c r="AB79" s="167">
        <f>SUM(Z79:AA79)</f>
        <v>1202.7491408934707</v>
      </c>
      <c r="AC79" s="15"/>
    </row>
    <row r="80" spans="24:29" ht="12.75">
      <c r="X80" s="165"/>
      <c r="Y80" s="165"/>
      <c r="Z80" s="165"/>
      <c r="AA80" s="166"/>
      <c r="AB80" s="167"/>
      <c r="AC80" s="15"/>
    </row>
    <row r="81" spans="24:29" ht="12.75">
      <c r="X81" s="165">
        <f>2750000/'Data &amp; Assumptions'!$D$5</f>
        <v>2362.5429553264603</v>
      </c>
      <c r="Y81" s="165">
        <f>1750000/'Data &amp; Assumptions'!$D$5</f>
        <v>1503.4364261168384</v>
      </c>
      <c r="Z81" s="165">
        <f>800000/'Data &amp; Assumptions'!$D$5</f>
        <v>687.2852233676975</v>
      </c>
      <c r="AA81" s="166"/>
      <c r="AB81" s="167">
        <f>Z81+AA84</f>
        <v>1302.9782359679266</v>
      </c>
      <c r="AC81" s="15"/>
    </row>
    <row r="82" spans="24:29" ht="12.75">
      <c r="X82" s="165">
        <f>1500000/'Data &amp; Assumptions'!$D$5</f>
        <v>1288.659793814433</v>
      </c>
      <c r="Y82" s="165">
        <f>800000/'Data &amp; Assumptions'!$D$5</f>
        <v>687.2852233676975</v>
      </c>
      <c r="Z82" s="165">
        <f>600000/'Data &amp; Assumptions'!$D$5</f>
        <v>515.4639175257732</v>
      </c>
      <c r="AA82" s="166">
        <f>800000/'Data &amp; Assumptions'!$D$5</f>
        <v>687.2852233676975</v>
      </c>
      <c r="AB82" s="167">
        <f>SUM(Z82:AA82)</f>
        <v>1202.7491408934707</v>
      </c>
      <c r="AC82" s="15"/>
    </row>
    <row r="83" spans="24:29" ht="12.75">
      <c r="X83" s="170"/>
      <c r="Y83" s="170">
        <f>1950000/'Data &amp; Assumptions'!$D$5</f>
        <v>1675.2577319587629</v>
      </c>
      <c r="Z83" s="170">
        <f>250000/'Data &amp; Assumptions'!$D$5</f>
        <v>214.7766323024055</v>
      </c>
      <c r="AA83" s="171">
        <f>550000/'Data &amp; Assumptions'!$D$5</f>
        <v>472.5085910652921</v>
      </c>
      <c r="AB83" s="167">
        <f>SUM(Z83:AA83)</f>
        <v>687.2852233676975</v>
      </c>
      <c r="AC83" s="15"/>
    </row>
    <row r="84" spans="24:29" ht="12.75">
      <c r="X84" s="172">
        <f>AVERAGE(X79:X83)</f>
        <v>2219.3585337915233</v>
      </c>
      <c r="Y84" s="172">
        <f>AVERAGE(Y79:Y83)</f>
        <v>1288.659793814433</v>
      </c>
      <c r="Z84" s="172">
        <f>AVERAGE(Z79:Z83)</f>
        <v>483.24742268041234</v>
      </c>
      <c r="AA84" s="173">
        <f>AVERAGE(AA79:AA83)</f>
        <v>615.693012600229</v>
      </c>
      <c r="AB84" s="177">
        <f>SUM(Z84:AA84)</f>
        <v>1098.9404352806414</v>
      </c>
      <c r="AC84" s="15"/>
    </row>
    <row r="85" spans="24:29" ht="12.75">
      <c r="X85" s="458"/>
      <c r="Y85" s="458"/>
      <c r="Z85" s="458"/>
      <c r="AA85" s="458"/>
      <c r="AB85" s="459"/>
      <c r="AC85" s="164"/>
    </row>
    <row r="86" spans="24:29" ht="12.75">
      <c r="X86" s="165">
        <f>1900000/'Data &amp; Assumptions'!$D$5</f>
        <v>1632.3024054982818</v>
      </c>
      <c r="Y86" s="165"/>
      <c r="Z86" s="165">
        <f>450000/'Data &amp; Assumptions'!$D$5</f>
        <v>386.5979381443299</v>
      </c>
      <c r="AA86" s="166">
        <f>500000/'Data &amp; Assumptions'!$D$5</f>
        <v>429.553264604811</v>
      </c>
      <c r="AB86" s="167">
        <f>SUM(Z86:AA86)</f>
        <v>816.1512027491408</v>
      </c>
      <c r="AC86" s="15"/>
    </row>
    <row r="87" spans="24:29" ht="12.75">
      <c r="X87" s="165"/>
      <c r="Y87" s="165"/>
      <c r="Z87" s="165"/>
      <c r="AA87" s="166"/>
      <c r="AB87" s="167">
        <f>AB89</f>
        <v>902.0618556701031</v>
      </c>
      <c r="AC87" s="15"/>
    </row>
    <row r="88" spans="24:29" ht="12.75">
      <c r="X88" s="165">
        <f>4500000/'Data &amp; Assumptions'!$D$5</f>
        <v>3865.979381443299</v>
      </c>
      <c r="Y88" s="165">
        <f>2650000/'Data &amp; Assumptions'!$D$5</f>
        <v>2276.632302405498</v>
      </c>
      <c r="Z88" s="165">
        <f>850000/'Data &amp; Assumptions'!$D$5</f>
        <v>730.2405498281787</v>
      </c>
      <c r="AA88" s="166">
        <f>300000/'Data &amp; Assumptions'!$D$5</f>
        <v>257.7319587628866</v>
      </c>
      <c r="AB88" s="167">
        <f>SUM(Z88:AA88)</f>
        <v>987.9725085910653</v>
      </c>
      <c r="AC88" s="15"/>
    </row>
    <row r="89" spans="24:29" ht="12.75">
      <c r="X89" s="168">
        <f>AVERAGE(X86:X88)</f>
        <v>2749.1408934707906</v>
      </c>
      <c r="Y89" s="168">
        <f>AVERAGE(Y86:Y88)</f>
        <v>2276.632302405498</v>
      </c>
      <c r="Z89" s="168">
        <f>AVERAGE(Z86:Z88)</f>
        <v>558.4192439862543</v>
      </c>
      <c r="AA89" s="169">
        <f>AVERAGE(AA86:AA88)</f>
        <v>343.6426116838488</v>
      </c>
      <c r="AB89" s="177">
        <f>SUM(Z89:AA89)</f>
        <v>902.0618556701031</v>
      </c>
      <c r="AC89" s="15"/>
    </row>
    <row r="90" spans="24:29" ht="12.75">
      <c r="X90" s="458"/>
      <c r="Y90" s="458"/>
      <c r="Z90" s="458"/>
      <c r="AA90" s="458"/>
      <c r="AB90" s="459"/>
      <c r="AC90" s="164"/>
    </row>
    <row r="91" spans="24:29" ht="12.75">
      <c r="X91" s="165">
        <f>4000000/'Data &amp; Assumptions'!$D$5</f>
        <v>3436.426116838488</v>
      </c>
      <c r="Y91" s="165">
        <f>3000000/'Data &amp; Assumptions'!$D$5</f>
        <v>2577.319587628866</v>
      </c>
      <c r="Z91" s="165">
        <f>500000/'Data &amp; Assumptions'!$D$5</f>
        <v>429.553264604811</v>
      </c>
      <c r="AA91" s="166">
        <f>370000/'Data &amp; Assumptions'!$D$5</f>
        <v>317.86941580756013</v>
      </c>
      <c r="AB91" s="167">
        <f aca="true" t="shared" si="1" ref="AB91:AB96">SUM(Z91:AA91)</f>
        <v>747.4226804123712</v>
      </c>
      <c r="AC91" s="15"/>
    </row>
    <row r="92" spans="24:29" ht="12.75">
      <c r="X92" s="165">
        <f>3500000/'Data &amp; Assumptions'!$D$5</f>
        <v>3006.872852233677</v>
      </c>
      <c r="Y92" s="165">
        <f>2750000/'Data &amp; Assumptions'!$D$5</f>
        <v>2362.5429553264603</v>
      </c>
      <c r="Z92" s="165">
        <f>1050000/'Data &amp; Assumptions'!$D$5</f>
        <v>902.0618556701031</v>
      </c>
      <c r="AA92" s="166">
        <f>750000/'Data &amp; Assumptions'!$D$5</f>
        <v>644.3298969072165</v>
      </c>
      <c r="AB92" s="167">
        <f t="shared" si="1"/>
        <v>1546.3917525773195</v>
      </c>
      <c r="AC92" s="15"/>
    </row>
    <row r="93" spans="24:29" ht="12.75">
      <c r="X93" s="165"/>
      <c r="Y93" s="165">
        <f>2400000/'Data &amp; Assumptions'!$D$5</f>
        <v>2061.855670103093</v>
      </c>
      <c r="Z93" s="165">
        <f>200000/'Data &amp; Assumptions'!$D$5</f>
        <v>171.82130584192439</v>
      </c>
      <c r="AA93" s="166">
        <f>750000/'Data &amp; Assumptions'!$D$5</f>
        <v>644.3298969072165</v>
      </c>
      <c r="AB93" s="167">
        <f t="shared" si="1"/>
        <v>816.1512027491409</v>
      </c>
      <c r="AC93" s="130"/>
    </row>
    <row r="94" spans="24:29" ht="12.75">
      <c r="X94" s="165">
        <f>5000000/'Data &amp; Assumptions'!$D$5</f>
        <v>4295.53264604811</v>
      </c>
      <c r="Y94" s="165"/>
      <c r="Z94" s="165">
        <f>1500000/'Data &amp; Assumptions'!$D$5</f>
        <v>1288.659793814433</v>
      </c>
      <c r="AA94" s="166">
        <f>1200000/'Data &amp; Assumptions'!$D$5</f>
        <v>1030.9278350515465</v>
      </c>
      <c r="AB94" s="167">
        <f t="shared" si="1"/>
        <v>2319.5876288659792</v>
      </c>
      <c r="AC94" s="130"/>
    </row>
    <row r="95" spans="24:29" ht="12.75">
      <c r="X95" s="165">
        <f>2350000/'Data &amp; Assumptions'!$D$5</f>
        <v>2018.9003436426117</v>
      </c>
      <c r="Y95" s="165">
        <f>1750000/'Data &amp; Assumptions'!$D$5</f>
        <v>1503.4364261168384</v>
      </c>
      <c r="Z95" s="165">
        <f>600000/'Data &amp; Assumptions'!$D$5</f>
        <v>515.4639175257732</v>
      </c>
      <c r="AA95" s="166">
        <f>1250000/'Data &amp; Assumptions'!$D$5</f>
        <v>1073.8831615120275</v>
      </c>
      <c r="AB95" s="167">
        <f t="shared" si="1"/>
        <v>1589.3470790378008</v>
      </c>
      <c r="AC95" s="130"/>
    </row>
    <row r="96" spans="24:29" ht="13.5" thickBot="1">
      <c r="X96" s="174">
        <f>AVERAGE(X91:X95)</f>
        <v>3189.4329896907216</v>
      </c>
      <c r="Y96" s="174">
        <f>AVERAGE(Y91:Y95)</f>
        <v>2126.2886597938145</v>
      </c>
      <c r="Z96" s="174">
        <f>AVERAGE(Z91:Z95)</f>
        <v>661.5120274914091</v>
      </c>
      <c r="AA96" s="175">
        <f>AVERAGE(AA91:AA95)</f>
        <v>742.2680412371135</v>
      </c>
      <c r="AB96" s="178">
        <f t="shared" si="1"/>
        <v>1403.7800687285226</v>
      </c>
      <c r="AC96" s="130"/>
    </row>
    <row r="97" spans="30:39" ht="12.75">
      <c r="AD97" s="113" t="s">
        <v>250</v>
      </c>
      <c r="AE97" s="107"/>
      <c r="AF97" s="107"/>
      <c r="AG97" s="107"/>
      <c r="AH97" s="107"/>
      <c r="AI97" s="107"/>
      <c r="AJ97" s="107"/>
      <c r="AK97" s="107"/>
      <c r="AL97" s="108"/>
      <c r="AM97" s="109"/>
    </row>
    <row r="98" spans="30:39" ht="13.5" thickBot="1">
      <c r="AD98" s="114" t="s">
        <v>260</v>
      </c>
      <c r="AE98" s="110"/>
      <c r="AF98" s="110"/>
      <c r="AG98" s="110"/>
      <c r="AH98" s="110"/>
      <c r="AI98" s="110"/>
      <c r="AJ98" s="110"/>
      <c r="AK98" s="110"/>
      <c r="AL98" s="111"/>
      <c r="AM98" s="112"/>
    </row>
    <row r="99" spans="30:39" ht="25.5" customHeight="1" thickBot="1">
      <c r="AD99" s="90" t="s">
        <v>251</v>
      </c>
      <c r="AE99" s="91" t="s">
        <v>66</v>
      </c>
      <c r="AF99" s="93">
        <v>2001</v>
      </c>
      <c r="AG99" s="91">
        <v>2002</v>
      </c>
      <c r="AH99" s="91">
        <v>2003</v>
      </c>
      <c r="AI99" s="91">
        <v>2004</v>
      </c>
      <c r="AJ99" s="91">
        <v>2005</v>
      </c>
      <c r="AK99" s="92" t="s">
        <v>253</v>
      </c>
      <c r="AL99" s="99" t="s">
        <v>257</v>
      </c>
      <c r="AM99" s="103" t="s">
        <v>259</v>
      </c>
    </row>
    <row r="100" spans="30:39" ht="25.5" customHeight="1">
      <c r="AD100" s="82" t="s">
        <v>252</v>
      </c>
      <c r="AE100" s="81" t="s">
        <v>184</v>
      </c>
      <c r="AF100" s="94">
        <f>124200000000/'Data &amp; Assumptions'!$D$5</f>
        <v>106701030.92783505</v>
      </c>
      <c r="AG100" s="83">
        <f>214900000000/'Data &amp; Assumptions'!$D$5</f>
        <v>184621993.12714776</v>
      </c>
      <c r="AH100" s="83">
        <f>409900000000/'Data &amp; Assumptions'!$D$5</f>
        <v>352147766.32302403</v>
      </c>
      <c r="AI100" s="83">
        <f>547700000000/'Data &amp; Assumptions'!$D$5</f>
        <v>470532646.04810995</v>
      </c>
      <c r="AJ100" s="83">
        <f>789200000000/'Data &amp; Assumptions'!$D$5</f>
        <v>678006872.8522336</v>
      </c>
      <c r="AK100" s="83">
        <f>966200000000/'Data &amp; Assumptions'!$D$5</f>
        <v>830068728.5223367</v>
      </c>
      <c r="AL100" s="100">
        <f>(AK100/AF100)^(1/4.5)-1</f>
        <v>0.5775672250774366</v>
      </c>
      <c r="AM100" s="104">
        <f>(AK100/AH100)^(1/2.5)-1</f>
        <v>0.40914487649854525</v>
      </c>
    </row>
    <row r="101" spans="30:39" ht="51">
      <c r="AD101" s="82" t="s">
        <v>255</v>
      </c>
      <c r="AE101" s="81" t="s">
        <v>202</v>
      </c>
      <c r="AF101" s="95">
        <v>0.008</v>
      </c>
      <c r="AG101" s="84">
        <v>0.011</v>
      </c>
      <c r="AH101" s="84">
        <v>0.023</v>
      </c>
      <c r="AI101" s="84">
        <v>0.028</v>
      </c>
      <c r="AJ101" s="84">
        <v>0.026</v>
      </c>
      <c r="AK101" s="84">
        <v>0.025</v>
      </c>
      <c r="AL101" s="101" t="s">
        <v>256</v>
      </c>
      <c r="AM101" s="105" t="s">
        <v>256</v>
      </c>
    </row>
    <row r="102" spans="30:39" ht="38.25" customHeight="1">
      <c r="AD102" s="82" t="s">
        <v>254</v>
      </c>
      <c r="AE102" s="81" t="s">
        <v>184</v>
      </c>
      <c r="AF102" s="96">
        <f aca="true" t="shared" si="2" ref="AF102:AK102">AF100*AF101</f>
        <v>853608.2474226804</v>
      </c>
      <c r="AG102" s="85">
        <f t="shared" si="2"/>
        <v>2030841.9243986253</v>
      </c>
      <c r="AH102" s="85">
        <f t="shared" si="2"/>
        <v>8099398.625429553</v>
      </c>
      <c r="AI102" s="85">
        <f t="shared" si="2"/>
        <v>13174914.08934708</v>
      </c>
      <c r="AJ102" s="85">
        <f t="shared" si="2"/>
        <v>17628178.694158074</v>
      </c>
      <c r="AK102" s="85">
        <f t="shared" si="2"/>
        <v>20751718.21305842</v>
      </c>
      <c r="AL102" s="100">
        <f>(AK102/AF102)^(1/4.5)-1</f>
        <v>1.0321443141909041</v>
      </c>
      <c r="AM102" s="104">
        <f>(AK102/AH102)^(1/2.5)-1</f>
        <v>0.4569361355626762</v>
      </c>
    </row>
    <row r="103" spans="30:39" ht="39.75" customHeight="1">
      <c r="AD103" s="82" t="s">
        <v>261</v>
      </c>
      <c r="AE103" s="81" t="s">
        <v>202</v>
      </c>
      <c r="AF103" s="97">
        <v>0.19</v>
      </c>
      <c r="AG103" s="86">
        <v>0.279</v>
      </c>
      <c r="AH103" s="86">
        <v>0.301</v>
      </c>
      <c r="AI103" s="86">
        <v>0.359</v>
      </c>
      <c r="AJ103" s="86">
        <v>0.386</v>
      </c>
      <c r="AK103" s="86">
        <v>0.405</v>
      </c>
      <c r="AL103" s="101" t="s">
        <v>256</v>
      </c>
      <c r="AM103" s="105" t="s">
        <v>256</v>
      </c>
    </row>
    <row r="104" spans="30:39" ht="51.75" thickBot="1">
      <c r="AD104" s="87" t="s">
        <v>258</v>
      </c>
      <c r="AE104" s="88" t="s">
        <v>184</v>
      </c>
      <c r="AF104" s="98">
        <f aca="true" t="shared" si="3" ref="AF104:AK104">AF102*AF103</f>
        <v>162185.56701030929</v>
      </c>
      <c r="AG104" s="89">
        <f t="shared" si="3"/>
        <v>566604.8969072165</v>
      </c>
      <c r="AH104" s="89">
        <f t="shared" si="3"/>
        <v>2437918.9862542953</v>
      </c>
      <c r="AI104" s="89">
        <f t="shared" si="3"/>
        <v>4729794.158075601</v>
      </c>
      <c r="AJ104" s="89">
        <f t="shared" si="3"/>
        <v>6804476.975945016</v>
      </c>
      <c r="AK104" s="89">
        <f t="shared" si="3"/>
        <v>8404445.87628866</v>
      </c>
      <c r="AL104" s="102">
        <f>(AK104/AF104)^(1/4.5)-1</f>
        <v>1.4043589630835207</v>
      </c>
      <c r="AM104" s="106">
        <f>(AK104/AH104)^(1/2.5)-1</f>
        <v>0.6405743835043909</v>
      </c>
    </row>
    <row r="105" ht="13.5" thickBot="1"/>
    <row r="106" spans="41:44" ht="12.75">
      <c r="AO106" s="463" t="s">
        <v>307</v>
      </c>
      <c r="AP106" s="464"/>
      <c r="AQ106" s="464"/>
      <c r="AR106" s="465"/>
    </row>
    <row r="107" spans="41:44" ht="12.75">
      <c r="AO107" s="128" t="s">
        <v>251</v>
      </c>
      <c r="AP107" s="126">
        <v>2003</v>
      </c>
      <c r="AQ107" s="126">
        <v>2004</v>
      </c>
      <c r="AR107" s="129">
        <v>2005</v>
      </c>
    </row>
    <row r="108" spans="41:44" ht="12.75" customHeight="1">
      <c r="AO108" s="61" t="s">
        <v>302</v>
      </c>
      <c r="AP108" s="127">
        <v>742</v>
      </c>
      <c r="AQ108" s="130">
        <v>1107</v>
      </c>
      <c r="AR108" s="118">
        <v>1802</v>
      </c>
    </row>
    <row r="109" spans="41:44" ht="13.5" thickBot="1">
      <c r="AO109" s="133" t="s">
        <v>301</v>
      </c>
      <c r="AP109" s="134">
        <v>2935</v>
      </c>
      <c r="AQ109" s="126">
        <v>3888</v>
      </c>
      <c r="AR109" s="129">
        <v>3509</v>
      </c>
    </row>
    <row r="110" spans="41:45" ht="12.75">
      <c r="AO110" s="460" t="s">
        <v>308</v>
      </c>
      <c r="AP110" s="461"/>
      <c r="AQ110" s="461"/>
      <c r="AR110" s="462"/>
      <c r="AS110" s="150" t="s">
        <v>315</v>
      </c>
    </row>
    <row r="111" spans="41:45" ht="12.75">
      <c r="AO111" s="128" t="s">
        <v>251</v>
      </c>
      <c r="AP111" s="126">
        <v>2003</v>
      </c>
      <c r="AQ111" s="126">
        <v>2004</v>
      </c>
      <c r="AR111" s="129">
        <v>2005</v>
      </c>
      <c r="AS111" s="151" t="s">
        <v>316</v>
      </c>
    </row>
    <row r="112" spans="41:45" ht="12.75">
      <c r="AO112" s="61" t="s">
        <v>302</v>
      </c>
      <c r="AP112" s="137">
        <f>AP108*'Data &amp; Assumptions'!$D$10</f>
        <v>946.7617212059998</v>
      </c>
      <c r="AQ112" s="77">
        <f>AQ108*'Data &amp; Assumptions'!$D$11</f>
        <v>1343.945601</v>
      </c>
      <c r="AR112" s="140">
        <f>AR108*'Data &amp; Assumptions'!$D$12</f>
        <v>2020.042</v>
      </c>
      <c r="AS112" s="148">
        <f>(AR112/AP112)^(1/2)-1</f>
        <v>0.46069604832833866</v>
      </c>
    </row>
    <row r="113" spans="41:45" ht="13.5" thickBot="1">
      <c r="AO113" s="133" t="s">
        <v>301</v>
      </c>
      <c r="AP113" s="141">
        <f>AP109*'Data &amp; Assumptions'!$D$10</f>
        <v>3744.9402314549993</v>
      </c>
      <c r="AQ113" s="73">
        <f>AQ109*'Data &amp; Assumptions'!$D$11</f>
        <v>4720.199184</v>
      </c>
      <c r="AR113" s="142">
        <f>AR109*'Data &amp; Assumptions'!$D$12</f>
        <v>3933.589</v>
      </c>
      <c r="AS113" s="149">
        <f>(AR113/AP113)^(1/2)-1</f>
        <v>0.024877703387551575</v>
      </c>
    </row>
    <row r="114" spans="41:44" ht="14.25">
      <c r="AO114" s="460" t="s">
        <v>306</v>
      </c>
      <c r="AP114" s="461"/>
      <c r="AQ114" s="461"/>
      <c r="AR114" s="462"/>
    </row>
    <row r="115" spans="41:44" ht="12.75">
      <c r="AO115" s="128" t="s">
        <v>251</v>
      </c>
      <c r="AP115" s="126">
        <v>2003</v>
      </c>
      <c r="AQ115" s="126">
        <v>2004</v>
      </c>
      <c r="AR115" s="129">
        <v>2005</v>
      </c>
    </row>
    <row r="116" spans="41:44" ht="12.75">
      <c r="AO116" s="61" t="s">
        <v>302</v>
      </c>
      <c r="AP116" s="127">
        <v>527</v>
      </c>
      <c r="AQ116" s="130">
        <v>384</v>
      </c>
      <c r="AR116" s="118">
        <v>547</v>
      </c>
    </row>
    <row r="117" spans="41:44" ht="12.75">
      <c r="AO117" s="133" t="s">
        <v>301</v>
      </c>
      <c r="AP117" s="134">
        <v>533</v>
      </c>
      <c r="AQ117" s="126">
        <v>744</v>
      </c>
      <c r="AR117" s="129">
        <v>524</v>
      </c>
    </row>
    <row r="118" spans="41:44" ht="14.25">
      <c r="AO118" s="460" t="s">
        <v>309</v>
      </c>
      <c r="AP118" s="461"/>
      <c r="AQ118" s="461"/>
      <c r="AR118" s="462"/>
    </row>
    <row r="119" spans="41:44" ht="12.75">
      <c r="AO119" s="128" t="s">
        <v>251</v>
      </c>
      <c r="AP119" s="126">
        <v>2003</v>
      </c>
      <c r="AQ119" s="126">
        <v>2004</v>
      </c>
      <c r="AR119" s="129">
        <v>2005</v>
      </c>
    </row>
    <row r="120" spans="41:44" ht="12.75">
      <c r="AO120" s="61" t="s">
        <v>302</v>
      </c>
      <c r="AP120" s="127">
        <v>1.97</v>
      </c>
      <c r="AQ120" s="15">
        <v>2.34</v>
      </c>
      <c r="AR120" s="131">
        <v>4.63</v>
      </c>
    </row>
    <row r="121" spans="41:44" ht="12.75">
      <c r="AO121" s="133" t="s">
        <v>301</v>
      </c>
      <c r="AP121" s="134">
        <v>7.79</v>
      </c>
      <c r="AQ121" s="126">
        <v>6.93</v>
      </c>
      <c r="AR121" s="135">
        <v>7.96</v>
      </c>
    </row>
    <row r="122" spans="41:44" ht="14.25">
      <c r="AO122" s="460" t="s">
        <v>310</v>
      </c>
      <c r="AP122" s="461"/>
      <c r="AQ122" s="461"/>
      <c r="AR122" s="462"/>
    </row>
    <row r="123" spans="41:44" ht="12.75">
      <c r="AO123" s="128" t="s">
        <v>251</v>
      </c>
      <c r="AP123" s="126">
        <v>2003</v>
      </c>
      <c r="AQ123" s="126">
        <v>2004</v>
      </c>
      <c r="AR123" s="129">
        <v>2005</v>
      </c>
    </row>
    <row r="124" spans="41:44" ht="12.75">
      <c r="AO124" s="61" t="s">
        <v>302</v>
      </c>
      <c r="AP124" s="136">
        <f>AP120*'Data &amp; Assumptions'!$D$10</f>
        <v>2.51363961021</v>
      </c>
      <c r="AQ124" s="138">
        <f>AQ120*'Data &amp; Assumptions'!$D$11</f>
        <v>2.84086062</v>
      </c>
      <c r="AR124" s="139">
        <f>AR120*'Data &amp; Assumptions'!$D$12</f>
        <v>5.19023</v>
      </c>
    </row>
    <row r="125" spans="41:44" ht="13.5" thickBot="1">
      <c r="AO125" s="132" t="s">
        <v>301</v>
      </c>
      <c r="AP125" s="143">
        <f>AP121*'Data &amp; Assumptions'!$D$10</f>
        <v>9.93972211347</v>
      </c>
      <c r="AQ125" s="144">
        <f>AQ121*'Data &amp; Assumptions'!$D$11</f>
        <v>8.41331799</v>
      </c>
      <c r="AR125" s="145">
        <f>AR121*'Data &amp; Assumptions'!$D$12</f>
        <v>8.92316</v>
      </c>
    </row>
    <row r="126" spans="41:54" ht="12.75">
      <c r="AO126" s="161"/>
      <c r="AP126" s="138"/>
      <c r="AQ126" s="138"/>
      <c r="AR126" s="138"/>
      <c r="AT126" s="146"/>
      <c r="AU126" s="146"/>
      <c r="AV126" s="146"/>
      <c r="AW126" s="146"/>
      <c r="AX126" s="146"/>
      <c r="AY126" s="146"/>
      <c r="AZ126" s="146"/>
      <c r="BA126" s="146"/>
      <c r="BB126" s="146"/>
    </row>
    <row r="127" spans="46:54" ht="12.75" customHeight="1">
      <c r="AT127" s="146"/>
      <c r="AU127" s="146"/>
      <c r="AV127" s="423"/>
      <c r="AW127" s="423"/>
      <c r="AX127" s="423"/>
      <c r="AY127" s="423"/>
      <c r="AZ127" s="423"/>
      <c r="BA127" s="423"/>
      <c r="BB127" s="146"/>
    </row>
    <row r="128" spans="46:54" ht="12.75" customHeight="1">
      <c r="AT128" s="146"/>
      <c r="AU128" s="146"/>
      <c r="AV128" s="146"/>
      <c r="AW128" s="146"/>
      <c r="AX128" s="146"/>
      <c r="AY128" s="146"/>
      <c r="AZ128" s="146"/>
      <c r="BA128" s="146"/>
      <c r="BB128" s="146"/>
    </row>
    <row r="129" spans="46:54" ht="12.75" customHeight="1">
      <c r="AT129" s="238"/>
      <c r="AU129" s="238"/>
      <c r="AV129" s="146"/>
      <c r="AW129" s="146"/>
      <c r="AX129" s="146"/>
      <c r="AY129" s="146"/>
      <c r="AZ129" s="146"/>
      <c r="BA129" s="146"/>
      <c r="BB129" s="146"/>
    </row>
    <row r="130" spans="46:54" ht="12.75" customHeight="1">
      <c r="AT130" s="238"/>
      <c r="AU130" s="238"/>
      <c r="AV130" s="245"/>
      <c r="AW130" s="245"/>
      <c r="AX130" s="245"/>
      <c r="AY130" s="245"/>
      <c r="AZ130" s="245"/>
      <c r="BA130" s="245"/>
      <c r="BB130" s="146"/>
    </row>
    <row r="131" spans="46:54" ht="12.75" customHeight="1">
      <c r="AT131" s="238"/>
      <c r="AU131" s="238"/>
      <c r="AV131" s="245"/>
      <c r="AW131" s="245"/>
      <c r="AX131" s="245"/>
      <c r="AY131" s="245"/>
      <c r="AZ131" s="245"/>
      <c r="BA131" s="245"/>
      <c r="BB131" s="146"/>
    </row>
    <row r="132" spans="46:54" ht="12.75" customHeight="1">
      <c r="AT132" s="238"/>
      <c r="AU132" s="238"/>
      <c r="AV132" s="147"/>
      <c r="AW132" s="147"/>
      <c r="AX132" s="147"/>
      <c r="AY132" s="147"/>
      <c r="AZ132" s="147"/>
      <c r="BA132" s="147"/>
      <c r="BB132" s="146"/>
    </row>
    <row r="133" spans="43:54" ht="12.75" customHeight="1">
      <c r="AQ133" s="13"/>
      <c r="AR133" s="162"/>
      <c r="AS133" s="49"/>
      <c r="AT133" s="238"/>
      <c r="AU133" s="238"/>
      <c r="AV133" s="259"/>
      <c r="AW133" s="259"/>
      <c r="AX133" s="259"/>
      <c r="AY133" s="259"/>
      <c r="AZ133" s="259"/>
      <c r="BA133" s="259"/>
      <c r="BB133" s="146"/>
    </row>
    <row r="134" spans="46:54" ht="12.75" customHeight="1">
      <c r="AT134" s="238"/>
      <c r="AU134" s="146"/>
      <c r="AV134" s="146"/>
      <c r="AW134" s="146"/>
      <c r="AX134" s="146"/>
      <c r="AY134" s="146"/>
      <c r="AZ134" s="146"/>
      <c r="BA134" s="146"/>
      <c r="BB134" s="146"/>
    </row>
    <row r="135" spans="46:54" ht="12.75" customHeight="1">
      <c r="AT135" s="238"/>
      <c r="AU135" s="146"/>
      <c r="AV135" s="146"/>
      <c r="AW135" s="146"/>
      <c r="AX135" s="146"/>
      <c r="AY135" s="146"/>
      <c r="AZ135" s="146"/>
      <c r="BA135" s="146"/>
      <c r="BB135" s="146"/>
    </row>
    <row r="136" spans="46:54" ht="12.75" customHeight="1">
      <c r="AT136" s="238"/>
      <c r="AU136" s="146"/>
      <c r="AV136" s="146"/>
      <c r="AW136" s="146"/>
      <c r="AX136" s="146"/>
      <c r="AY136" s="146"/>
      <c r="AZ136" s="146"/>
      <c r="BA136" s="146"/>
      <c r="BB136" s="146"/>
    </row>
    <row r="137" spans="46:54" ht="12.75" customHeight="1">
      <c r="AT137" s="146"/>
      <c r="AU137" s="146"/>
      <c r="AV137" s="146"/>
      <c r="AW137" s="146"/>
      <c r="AX137" s="146"/>
      <c r="AY137" s="146"/>
      <c r="AZ137" s="146"/>
      <c r="BA137" s="146"/>
      <c r="BB137" s="146"/>
    </row>
    <row r="138" spans="46:54" ht="12.75" customHeight="1">
      <c r="AT138" s="146"/>
      <c r="AU138" s="146"/>
      <c r="AV138" s="146"/>
      <c r="AW138" s="146"/>
      <c r="AX138" s="146"/>
      <c r="AY138" s="146"/>
      <c r="AZ138" s="146"/>
      <c r="BA138" s="146"/>
      <c r="BB138" s="146"/>
    </row>
    <row r="139" spans="46:54" ht="12.75" customHeight="1">
      <c r="AT139" s="146"/>
      <c r="AU139" s="146"/>
      <c r="AV139" s="146"/>
      <c r="AW139" s="146"/>
      <c r="AX139" s="146"/>
      <c r="AY139" s="146"/>
      <c r="AZ139" s="146"/>
      <c r="BA139" s="146"/>
      <c r="BB139" s="146"/>
    </row>
    <row r="140" spans="46:54" ht="12.75" customHeight="1">
      <c r="AT140" s="146"/>
      <c r="AU140" s="146"/>
      <c r="AV140" s="245"/>
      <c r="AW140" s="245"/>
      <c r="AX140" s="245"/>
      <c r="AY140" s="245"/>
      <c r="AZ140" s="245"/>
      <c r="BA140" s="245"/>
      <c r="BB140" s="146"/>
    </row>
    <row r="141" spans="46:54" ht="12.75">
      <c r="AT141" s="146"/>
      <c r="AU141" s="146"/>
      <c r="AV141" s="146"/>
      <c r="AW141" s="146"/>
      <c r="AX141" s="146"/>
      <c r="AY141" s="146"/>
      <c r="AZ141" s="146"/>
      <c r="BA141" s="146"/>
      <c r="BB141" s="146"/>
    </row>
  </sheetData>
  <mergeCells count="40">
    <mergeCell ref="X66:Y66"/>
    <mergeCell ref="Z66:Z67"/>
    <mergeCell ref="AA66:AA67"/>
    <mergeCell ref="U37:V37"/>
    <mergeCell ref="U50:V50"/>
    <mergeCell ref="B8:B10"/>
    <mergeCell ref="B14:B18"/>
    <mergeCell ref="B2:E2"/>
    <mergeCell ref="J24:J26"/>
    <mergeCell ref="B4:B5"/>
    <mergeCell ref="C4:C5"/>
    <mergeCell ref="H4:H5"/>
    <mergeCell ref="B6:C6"/>
    <mergeCell ref="J27:J29"/>
    <mergeCell ref="K27:K29"/>
    <mergeCell ref="J34:J36"/>
    <mergeCell ref="K34:K36"/>
    <mergeCell ref="K24:K26"/>
    <mergeCell ref="O37:O38"/>
    <mergeCell ref="O50:O51"/>
    <mergeCell ref="P37:P38"/>
    <mergeCell ref="Q37:R37"/>
    <mergeCell ref="S37:T37"/>
    <mergeCell ref="P50:P51"/>
    <mergeCell ref="Q50:R50"/>
    <mergeCell ref="S50:T50"/>
    <mergeCell ref="AO106:AR106"/>
    <mergeCell ref="AO110:AR110"/>
    <mergeCell ref="AO114:AR114"/>
    <mergeCell ref="AO118:AR118"/>
    <mergeCell ref="A1:H1"/>
    <mergeCell ref="X64:AB64"/>
    <mergeCell ref="X65:AB65"/>
    <mergeCell ref="AV127:BA127"/>
    <mergeCell ref="AB66:AB67"/>
    <mergeCell ref="X68:AB68"/>
    <mergeCell ref="X78:AB78"/>
    <mergeCell ref="X85:AB85"/>
    <mergeCell ref="X90:AB90"/>
    <mergeCell ref="AO122:AR122"/>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17" r:id="rId3"/>
  <ignoredErrors>
    <ignoredError sqref="AB88:AB96 Z83:Z96 Z77:Z81 AA77:AA96 AB77:AB86 X77:Y96" emptyCellReference="1"/>
    <ignoredError sqref="AB76 AB87" formula="1"/>
    <ignoredError sqref="Z82" emptyCellReference="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Anderson</dc:creator>
  <cp:keywords/>
  <dc:description>Created on 08/24/07 by renaming "PropRights ERR.2 Aug 2007.xls"</dc:description>
  <cp:lastModifiedBy>defuser</cp:lastModifiedBy>
  <cp:lastPrinted>2008-02-01T15:48:16Z</cp:lastPrinted>
  <dcterms:created xsi:type="dcterms:W3CDTF">2007-03-15T23:39:21Z</dcterms:created>
  <dcterms:modified xsi:type="dcterms:W3CDTF">2008-02-21T21:33:22Z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