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420" windowWidth="4770" windowHeight="2145" tabRatio="663" activeTab="1"/>
  </bookViews>
  <sheets>
    <sheet name="User's Guide" sheetId="1" r:id="rId1"/>
    <sheet name="Project Description" sheetId="2" r:id="rId2"/>
    <sheet name="ERR &amp; Sensitivity Analysis" sheetId="3" r:id="rId3"/>
    <sheet name="Summary ERRs" sheetId="4" r:id="rId4"/>
    <sheet name="Farm Model Assumptions" sheetId="5" r:id="rId5"/>
    <sheet name="Project_Costs" sheetId="6" r:id="rId6"/>
    <sheet name="Road Model" sheetId="7" r:id="rId7"/>
    <sheet name="Econ_Analysis_MSI" sheetId="8" r:id="rId8"/>
    <sheet name="Alatona Beneficiaries" sheetId="9" r:id="rId9"/>
    <sheet name="Farmer Profits" sheetId="10" state="hidden" r:id="rId10"/>
    <sheet name="Land_Financing" sheetId="11" r:id="rId11"/>
    <sheet name="Alatona Prod" sheetId="12" r:id="rId12"/>
    <sheet name="Finan-Econ Prices" sheetId="13" r:id="rId13"/>
    <sheet name="SocialInfraRtnCalc" sheetId="14" r:id="rId14"/>
    <sheet name="Credit Needs" sheetId="15" state="hidden" r:id="rId15"/>
  </sheets>
  <externalReferences>
    <externalReference r:id="rId18"/>
    <externalReference r:id="rId19"/>
  </externalReferences>
  <definedNames>
    <definedName name="_Toc141966113" localSheetId="12">'Finan-Econ Prices'!$B$3</definedName>
    <definedName name="CBWorkbookPriority" hidden="1">-1590433571</definedName>
    <definedName name="ChkTol">#REF!</definedName>
    <definedName name="Default1">'[1]ERR &amp; Sensitivity Analysis'!$D$10:$D$11</definedName>
    <definedName name="Default2">'[1]ERR &amp; Sensitivity Analysis'!$D$13:$D$19</definedName>
    <definedName name="_xlnm.Print_Area" localSheetId="14">'Credit Needs'!$V$3:$AC$59</definedName>
    <definedName name="_xlnm.Print_Area" localSheetId="7">'Econ_Analysis_MSI'!$A$2:$AJ$34</definedName>
    <definedName name="_xlnm.Print_Area" localSheetId="4">'Farm Model Assumptions'!$A$4:$V$116</definedName>
    <definedName name="_xlnm.Print_Area" localSheetId="3">'Summary ERRs'!$A$1:$V$88</definedName>
    <definedName name="Rounding_Level">'[2]InpC'!$F$221</definedName>
    <definedName name="TCREDITORADJ">#REF!</definedName>
    <definedName name="TDEBTORADJ">#REF!</definedName>
    <definedName name="TrkTol">#REF!</definedName>
  </definedNames>
  <calcPr fullCalcOnLoad="1"/>
</workbook>
</file>

<file path=xl/comments10.xml><?xml version="1.0" encoding="utf-8"?>
<comments xmlns="http://schemas.openxmlformats.org/spreadsheetml/2006/main">
  <authors>
    <author>SK</author>
    <author>ryanb</author>
  </authors>
  <commentList>
    <comment ref="B31" authorId="0">
      <text>
        <r>
          <rPr>
            <b/>
            <sz val="8"/>
            <rFont val="Tahoma"/>
            <family val="0"/>
          </rPr>
          <t>SK:</t>
        </r>
        <r>
          <rPr>
            <sz val="8"/>
            <rFont val="Tahoma"/>
            <family val="0"/>
          </rPr>
          <t xml:space="preserve">
Uses 317,000 for Rice production costs per Ha because that excludes all equipment costs</t>
        </r>
      </text>
    </comment>
    <comment ref="I20" authorId="0">
      <text>
        <r>
          <rPr>
            <b/>
            <sz val="8"/>
            <rFont val="Tahoma"/>
            <family val="0"/>
          </rPr>
          <t>SK:</t>
        </r>
        <r>
          <rPr>
            <sz val="8"/>
            <rFont val="Tahoma"/>
            <family val="0"/>
          </rPr>
          <t xml:space="preserve">
Source ON</t>
        </r>
      </text>
    </comment>
    <comment ref="I21" authorId="0">
      <text>
        <r>
          <rPr>
            <b/>
            <sz val="8"/>
            <rFont val="Tahoma"/>
            <family val="0"/>
          </rPr>
          <t>SK:</t>
        </r>
        <r>
          <rPr>
            <sz val="8"/>
            <rFont val="Tahoma"/>
            <family val="0"/>
          </rPr>
          <t xml:space="preserve">
Source ON</t>
        </r>
      </text>
    </comment>
    <comment ref="I22" authorId="0">
      <text>
        <r>
          <rPr>
            <b/>
            <sz val="8"/>
            <rFont val="Tahoma"/>
            <family val="0"/>
          </rPr>
          <t>SK:</t>
        </r>
        <r>
          <rPr>
            <sz val="8"/>
            <rFont val="Tahoma"/>
            <family val="0"/>
          </rPr>
          <t xml:space="preserve">
Source: USAID Credit Risk Study - water fees associated with tomatoes and shallots</t>
        </r>
      </text>
    </comment>
    <comment ref="G37" authorId="1">
      <text>
        <r>
          <rPr>
            <b/>
            <sz val="8"/>
            <rFont val="Tahoma"/>
            <family val="0"/>
          </rPr>
          <t>ryanb:</t>
        </r>
        <r>
          <rPr>
            <sz val="8"/>
            <rFont val="Tahoma"/>
            <family val="0"/>
          </rPr>
          <t xml:space="preserve">
new mule</t>
        </r>
      </text>
    </comment>
    <comment ref="M37" authorId="1">
      <text>
        <r>
          <rPr>
            <b/>
            <sz val="8"/>
            <rFont val="Tahoma"/>
            <family val="0"/>
          </rPr>
          <t>ryanb:</t>
        </r>
        <r>
          <rPr>
            <sz val="8"/>
            <rFont val="Tahoma"/>
            <family val="0"/>
          </rPr>
          <t xml:space="preserve">
New mule</t>
        </r>
      </text>
    </comment>
    <comment ref="S37" authorId="1">
      <text>
        <r>
          <rPr>
            <b/>
            <sz val="8"/>
            <rFont val="Tahoma"/>
            <family val="0"/>
          </rPr>
          <t>ryanb:</t>
        </r>
        <r>
          <rPr>
            <sz val="8"/>
            <rFont val="Tahoma"/>
            <family val="0"/>
          </rPr>
          <t xml:space="preserve">
New mule</t>
        </r>
      </text>
    </comment>
    <comment ref="A2" authorId="0">
      <text>
        <r>
          <rPr>
            <b/>
            <sz val="8"/>
            <rFont val="Tahoma"/>
            <family val="0"/>
          </rPr>
          <t>SK:</t>
        </r>
        <r>
          <rPr>
            <sz val="8"/>
            <rFont val="Tahoma"/>
            <family val="0"/>
          </rPr>
          <t xml:space="preserve">
From Interviews conducted for old MCA Mali Spreadsheet</t>
        </r>
      </text>
    </comment>
    <comment ref="A19" authorId="0">
      <text>
        <r>
          <rPr>
            <b/>
            <sz val="8"/>
            <rFont val="Tahoma"/>
            <family val="0"/>
          </rPr>
          <t>SK:</t>
        </r>
        <r>
          <rPr>
            <sz val="8"/>
            <rFont val="Tahoma"/>
            <family val="0"/>
          </rPr>
          <t xml:space="preserve">
From Interviews conducted for old MCA Mali Spreadsheet</t>
        </r>
      </text>
    </comment>
    <comment ref="A9" authorId="0">
      <text>
        <r>
          <rPr>
            <b/>
            <sz val="8"/>
            <rFont val="Tahoma"/>
            <family val="0"/>
          </rPr>
          <t>SK:</t>
        </r>
        <r>
          <rPr>
            <sz val="8"/>
            <rFont val="Tahoma"/>
            <family val="0"/>
          </rPr>
          <t xml:space="preserve">
From Interviews conducted for old MCA Mali Spreadsheet</t>
        </r>
      </text>
    </comment>
    <comment ref="F9" authorId="0">
      <text>
        <r>
          <rPr>
            <b/>
            <sz val="8"/>
            <rFont val="Tahoma"/>
            <family val="0"/>
          </rPr>
          <t>SK:</t>
        </r>
        <r>
          <rPr>
            <sz val="8"/>
            <rFont val="Tahoma"/>
            <family val="0"/>
          </rPr>
          <t xml:space="preserve">
From Interviews conducted for old MCA Mali Spreadsheet</t>
        </r>
      </text>
    </comment>
    <comment ref="A31" authorId="0">
      <text>
        <r>
          <rPr>
            <b/>
            <sz val="8"/>
            <rFont val="Tahoma"/>
            <family val="0"/>
          </rPr>
          <t>SK:</t>
        </r>
        <r>
          <rPr>
            <sz val="8"/>
            <rFont val="Tahoma"/>
            <family val="0"/>
          </rPr>
          <t xml:space="preserve">
Labor Costs, Water Costs, Input Costs, and Input Financing</t>
        </r>
      </text>
    </comment>
    <comment ref="A39" authorId="0">
      <text>
        <r>
          <rPr>
            <b/>
            <sz val="8"/>
            <rFont val="Tahoma"/>
            <family val="0"/>
          </rPr>
          <t>SK:</t>
        </r>
        <r>
          <rPr>
            <sz val="8"/>
            <rFont val="Tahoma"/>
            <family val="0"/>
          </rPr>
          <t xml:space="preserve">
Not Included because is not part of the cash flow</t>
        </r>
      </text>
    </comment>
    <comment ref="A24" authorId="0">
      <text>
        <r>
          <rPr>
            <b/>
            <sz val="8"/>
            <rFont val="Tahoma"/>
            <family val="0"/>
          </rPr>
          <t>SK:</t>
        </r>
        <r>
          <rPr>
            <sz val="8"/>
            <rFont val="Tahoma"/>
            <family val="0"/>
          </rPr>
          <t xml:space="preserve">
This is the figure for rice production which according disaggregated ON cost of produciton budgets would remove all equipment costs.  This is used below to back out the variable cost of production.</t>
        </r>
      </text>
    </comment>
    <comment ref="D20" authorId="0">
      <text>
        <r>
          <rPr>
            <b/>
            <sz val="8"/>
            <rFont val="Tahoma"/>
            <family val="0"/>
          </rPr>
          <t>SK:</t>
        </r>
        <r>
          <rPr>
            <sz val="8"/>
            <rFont val="Tahoma"/>
            <family val="0"/>
          </rPr>
          <t xml:space="preserve">
From Interviews conducted for old MCA Mali Spreadsheet</t>
        </r>
      </text>
    </comment>
    <comment ref="D21" authorId="0">
      <text>
        <r>
          <rPr>
            <b/>
            <sz val="8"/>
            <rFont val="Tahoma"/>
            <family val="0"/>
          </rPr>
          <t>SK:</t>
        </r>
        <r>
          <rPr>
            <sz val="8"/>
            <rFont val="Tahoma"/>
            <family val="0"/>
          </rPr>
          <t xml:space="preserve">
From Interviews conducted for old MCA Mali Spreadsheet</t>
        </r>
      </text>
    </comment>
    <comment ref="B56" authorId="0">
      <text>
        <r>
          <rPr>
            <b/>
            <sz val="8"/>
            <rFont val="Tahoma"/>
            <family val="0"/>
          </rPr>
          <t>SK:</t>
        </r>
        <r>
          <rPr>
            <sz val="8"/>
            <rFont val="Tahoma"/>
            <family val="0"/>
          </rPr>
          <t xml:space="preserve">
This row is by total number of Ha actually under cultivation because is inputs per Ha</t>
        </r>
      </text>
    </comment>
    <comment ref="B57" authorId="0">
      <text>
        <r>
          <rPr>
            <b/>
            <sz val="8"/>
            <rFont val="Tahoma"/>
            <family val="0"/>
          </rPr>
          <t>SK:</t>
        </r>
        <r>
          <rPr>
            <sz val="8"/>
            <rFont val="Tahoma"/>
            <family val="0"/>
          </rPr>
          <t xml:space="preserve">
This row is by the # of 10 Ha farms because it is assumed that only one set of equip is needed per 10 Ha farm</t>
        </r>
      </text>
    </comment>
    <comment ref="D76" authorId="0">
      <text>
        <r>
          <rPr>
            <b/>
            <sz val="8"/>
            <rFont val="Tahoma"/>
            <family val="0"/>
          </rPr>
          <t>SK:</t>
        </r>
        <r>
          <rPr>
            <sz val="8"/>
            <rFont val="Tahoma"/>
            <family val="0"/>
          </rPr>
          <t xml:space="preserve">
Just the Irrigation Works - not including engineering costs or contingencies</t>
        </r>
      </text>
    </comment>
    <comment ref="D77" authorId="0">
      <text>
        <r>
          <rPr>
            <b/>
            <sz val="8"/>
            <rFont val="Tahoma"/>
            <family val="0"/>
          </rPr>
          <t>SK:</t>
        </r>
        <r>
          <rPr>
            <sz val="8"/>
            <rFont val="Tahoma"/>
            <family val="0"/>
          </rPr>
          <t xml:space="preserve">
Just the Irrigation Works - not including engineering costs or contingencies</t>
        </r>
      </text>
    </comment>
    <comment ref="A83" authorId="0">
      <text>
        <r>
          <rPr>
            <b/>
            <sz val="8"/>
            <rFont val="Tahoma"/>
            <family val="0"/>
          </rPr>
          <t>SK:</t>
        </r>
        <r>
          <rPr>
            <sz val="8"/>
            <rFont val="Tahoma"/>
            <family val="0"/>
          </rPr>
          <t xml:space="preserve">
Just the Irrigation Works - not including engineering costs or contingencies</t>
        </r>
      </text>
    </comment>
    <comment ref="A84" authorId="0">
      <text>
        <r>
          <rPr>
            <b/>
            <sz val="8"/>
            <rFont val="Tahoma"/>
            <family val="0"/>
          </rPr>
          <t>SK:</t>
        </r>
        <r>
          <rPr>
            <sz val="8"/>
            <rFont val="Tahoma"/>
            <family val="0"/>
          </rPr>
          <t xml:space="preserve">
Just the Irrigation Works - not including engineering costs or contingencies</t>
        </r>
      </text>
    </comment>
    <comment ref="B101" authorId="0">
      <text>
        <r>
          <rPr>
            <b/>
            <sz val="8"/>
            <rFont val="Tahoma"/>
            <family val="0"/>
          </rPr>
          <t>SK:</t>
        </r>
        <r>
          <rPr>
            <sz val="8"/>
            <rFont val="Tahoma"/>
            <family val="0"/>
          </rPr>
          <t xml:space="preserve">
Average expenditure in the people defined as "less poor" in the ON of $603 multiplied by the average HH size in Segou of 7.14.  Following the methodology used in the 2nd Land Tenure DD report.</t>
        </r>
      </text>
    </comment>
    <comment ref="B51" authorId="0">
      <text>
        <r>
          <rPr>
            <b/>
            <sz val="8"/>
            <rFont val="Tahoma"/>
            <family val="0"/>
          </rPr>
          <t>SK:</t>
        </r>
        <r>
          <rPr>
            <sz val="8"/>
            <rFont val="Tahoma"/>
            <family val="0"/>
          </rPr>
          <t xml:space="preserve">
Added so calculations in land tenure report can be checked.  Land tenure report assumes 80% of projected revenues to cover possibility of "bad years".</t>
        </r>
      </text>
    </comment>
  </commentList>
</comments>
</file>

<file path=xl/comments11.xml><?xml version="1.0" encoding="utf-8"?>
<comments xmlns="http://schemas.openxmlformats.org/spreadsheetml/2006/main">
  <authors>
    <author>SK</author>
    <author>ryanb</author>
  </authors>
  <commentList>
    <comment ref="A4" authorId="0">
      <text>
        <r>
          <rPr>
            <b/>
            <sz val="8"/>
            <rFont val="Tahoma"/>
            <family val="0"/>
          </rPr>
          <t>MCC:</t>
        </r>
        <r>
          <rPr>
            <sz val="8"/>
            <rFont val="Tahoma"/>
            <family val="0"/>
          </rPr>
          <t xml:space="preserve">
From Interviews conducted for old MCA Mali Spreadsheet</t>
        </r>
      </text>
    </comment>
    <comment ref="A11" authorId="0">
      <text>
        <r>
          <rPr>
            <b/>
            <sz val="8"/>
            <rFont val="Tahoma"/>
            <family val="0"/>
          </rPr>
          <t>MCC:</t>
        </r>
        <r>
          <rPr>
            <sz val="8"/>
            <rFont val="Tahoma"/>
            <family val="0"/>
          </rPr>
          <t xml:space="preserve">
From Interviews conducted for old MCA Mali Spreadsheet</t>
        </r>
      </text>
    </comment>
    <comment ref="F11" authorId="0">
      <text>
        <r>
          <rPr>
            <b/>
            <sz val="8"/>
            <rFont val="Tahoma"/>
            <family val="0"/>
          </rPr>
          <t>MCC:</t>
        </r>
        <r>
          <rPr>
            <sz val="8"/>
            <rFont val="Tahoma"/>
            <family val="0"/>
          </rPr>
          <t xml:space="preserve">
From Interviews conducted for old MCA Mali Spreadsheet</t>
        </r>
      </text>
    </comment>
    <comment ref="A21" authorId="0">
      <text>
        <r>
          <rPr>
            <b/>
            <sz val="8"/>
            <rFont val="Tahoma"/>
            <family val="0"/>
          </rPr>
          <t>MCC:</t>
        </r>
        <r>
          <rPr>
            <sz val="8"/>
            <rFont val="Tahoma"/>
            <family val="0"/>
          </rPr>
          <t xml:space="preserve">
From Interviews conducted for old MCA Mali Spreadsheet</t>
        </r>
      </text>
    </comment>
    <comment ref="D22" authorId="0">
      <text>
        <r>
          <rPr>
            <b/>
            <sz val="8"/>
            <rFont val="Tahoma"/>
            <family val="0"/>
          </rPr>
          <t>MCC:</t>
        </r>
        <r>
          <rPr>
            <sz val="8"/>
            <rFont val="Tahoma"/>
            <family val="0"/>
          </rPr>
          <t xml:space="preserve">
From Interviews conducted for old MCA Mali Spreadsheet</t>
        </r>
      </text>
    </comment>
    <comment ref="I22" authorId="0">
      <text>
        <r>
          <rPr>
            <b/>
            <sz val="8"/>
            <rFont val="Tahoma"/>
            <family val="0"/>
          </rPr>
          <t>MCC:</t>
        </r>
        <r>
          <rPr>
            <sz val="8"/>
            <rFont val="Tahoma"/>
            <family val="0"/>
          </rPr>
          <t xml:space="preserve">
Source ON</t>
        </r>
      </text>
    </comment>
    <comment ref="D23" authorId="0">
      <text>
        <r>
          <rPr>
            <b/>
            <sz val="8"/>
            <rFont val="Tahoma"/>
            <family val="0"/>
          </rPr>
          <t>MCC:</t>
        </r>
        <r>
          <rPr>
            <sz val="8"/>
            <rFont val="Tahoma"/>
            <family val="0"/>
          </rPr>
          <t xml:space="preserve">
From Interviews conducted for old MCA Mali Spreadsheet</t>
        </r>
      </text>
    </comment>
    <comment ref="I23" authorId="0">
      <text>
        <r>
          <rPr>
            <b/>
            <sz val="8"/>
            <rFont val="Tahoma"/>
            <family val="0"/>
          </rPr>
          <t>MCC:</t>
        </r>
        <r>
          <rPr>
            <sz val="8"/>
            <rFont val="Tahoma"/>
            <family val="0"/>
          </rPr>
          <t xml:space="preserve">
Source ON</t>
        </r>
      </text>
    </comment>
    <comment ref="I24" authorId="0">
      <text>
        <r>
          <rPr>
            <b/>
            <sz val="8"/>
            <rFont val="Tahoma"/>
            <family val="0"/>
          </rPr>
          <t>MCC:</t>
        </r>
        <r>
          <rPr>
            <sz val="8"/>
            <rFont val="Tahoma"/>
            <family val="0"/>
          </rPr>
          <t xml:space="preserve">
Source: USAID Credit Risk Study - water fees associated with tomatoes and shallots</t>
        </r>
      </text>
    </comment>
    <comment ref="A26" authorId="0">
      <text>
        <r>
          <rPr>
            <b/>
            <sz val="8"/>
            <rFont val="Tahoma"/>
            <family val="0"/>
          </rPr>
          <t>MCC:</t>
        </r>
        <r>
          <rPr>
            <sz val="8"/>
            <rFont val="Tahoma"/>
            <family val="0"/>
          </rPr>
          <t xml:space="preserve">
This is the figure for rice production which according disaggregated ON cost of produciton budgets would remove all equipment costs.  This is used below to back out the variable cost of production.</t>
        </r>
      </text>
    </comment>
    <comment ref="A33" authorId="0">
      <text>
        <r>
          <rPr>
            <b/>
            <sz val="8"/>
            <rFont val="Tahoma"/>
            <family val="0"/>
          </rPr>
          <t>MCC:</t>
        </r>
        <r>
          <rPr>
            <sz val="8"/>
            <rFont val="Tahoma"/>
            <family val="0"/>
          </rPr>
          <t xml:space="preserve">
Labor Costs, Water Costs, Input Costs, and Input Financing</t>
        </r>
      </text>
    </comment>
    <comment ref="B33" authorId="0">
      <text>
        <r>
          <rPr>
            <b/>
            <sz val="8"/>
            <rFont val="Tahoma"/>
            <family val="0"/>
          </rPr>
          <t>MCC:</t>
        </r>
        <r>
          <rPr>
            <sz val="8"/>
            <rFont val="Tahoma"/>
            <family val="0"/>
          </rPr>
          <t xml:space="preserve">
Uses 317,000 for Rice production costs per Ha because that excludes all equipment costs</t>
        </r>
      </text>
    </comment>
    <comment ref="G39" authorId="1">
      <text>
        <r>
          <rPr>
            <b/>
            <sz val="8"/>
            <rFont val="Tahoma"/>
            <family val="0"/>
          </rPr>
          <t>MCC:</t>
        </r>
        <r>
          <rPr>
            <sz val="8"/>
            <rFont val="Tahoma"/>
            <family val="0"/>
          </rPr>
          <t xml:space="preserve">
new mule</t>
        </r>
      </text>
    </comment>
    <comment ref="M39" authorId="1">
      <text>
        <r>
          <rPr>
            <b/>
            <sz val="8"/>
            <rFont val="Tahoma"/>
            <family val="0"/>
          </rPr>
          <t>MCC:</t>
        </r>
        <r>
          <rPr>
            <sz val="8"/>
            <rFont val="Tahoma"/>
            <family val="0"/>
          </rPr>
          <t xml:space="preserve">
New mule</t>
        </r>
      </text>
    </comment>
    <comment ref="S39" authorId="1">
      <text>
        <r>
          <rPr>
            <b/>
            <sz val="8"/>
            <rFont val="Tahoma"/>
            <family val="0"/>
          </rPr>
          <t>MCC:</t>
        </r>
        <r>
          <rPr>
            <sz val="8"/>
            <rFont val="Tahoma"/>
            <family val="0"/>
          </rPr>
          <t xml:space="preserve">
New mule</t>
        </r>
      </text>
    </comment>
    <comment ref="A41" authorId="0">
      <text>
        <r>
          <rPr>
            <b/>
            <sz val="8"/>
            <rFont val="Tahoma"/>
            <family val="0"/>
          </rPr>
          <t>MCC:</t>
        </r>
        <r>
          <rPr>
            <sz val="8"/>
            <rFont val="Tahoma"/>
            <family val="0"/>
          </rPr>
          <t xml:space="preserve">
Not Included because is not part of the cash flow</t>
        </r>
      </text>
    </comment>
    <comment ref="B53" authorId="0">
      <text>
        <r>
          <rPr>
            <b/>
            <sz val="8"/>
            <rFont val="Tahoma"/>
            <family val="0"/>
          </rPr>
          <t>MCC:</t>
        </r>
        <r>
          <rPr>
            <sz val="8"/>
            <rFont val="Tahoma"/>
            <family val="0"/>
          </rPr>
          <t xml:space="preserve">
Added so calculations in land tenure report can be checked.  Land tenure report assumes 80% of projected revenues to cover possibility of "bad years".</t>
        </r>
      </text>
    </comment>
    <comment ref="B58" authorId="0">
      <text>
        <r>
          <rPr>
            <b/>
            <sz val="8"/>
            <rFont val="Tahoma"/>
            <family val="0"/>
          </rPr>
          <t>MCC:</t>
        </r>
        <r>
          <rPr>
            <sz val="8"/>
            <rFont val="Tahoma"/>
            <family val="0"/>
          </rPr>
          <t xml:space="preserve">
This row is by total number of Ha actually under cultivation because is inputs per Ha</t>
        </r>
      </text>
    </comment>
    <comment ref="B59" authorId="0">
      <text>
        <r>
          <rPr>
            <b/>
            <sz val="8"/>
            <rFont val="Tahoma"/>
            <family val="0"/>
          </rPr>
          <t>MCC:</t>
        </r>
        <r>
          <rPr>
            <sz val="8"/>
            <rFont val="Tahoma"/>
            <family val="0"/>
          </rPr>
          <t xml:space="preserve">
This row is by the # of 10 Ha farms because it is assumed that only one set of equip is needed per 10 Ha farm</t>
        </r>
      </text>
    </comment>
    <comment ref="D78" authorId="0">
      <text>
        <r>
          <rPr>
            <b/>
            <sz val="8"/>
            <rFont val="Tahoma"/>
            <family val="0"/>
          </rPr>
          <t>MCC:</t>
        </r>
        <r>
          <rPr>
            <sz val="8"/>
            <rFont val="Tahoma"/>
            <family val="0"/>
          </rPr>
          <t xml:space="preserve">
Just the Irrigation Works - not including 
physical contigencies</t>
        </r>
      </text>
    </comment>
    <comment ref="A85" authorId="0">
      <text>
        <r>
          <rPr>
            <b/>
            <sz val="8"/>
            <rFont val="Tahoma"/>
            <family val="0"/>
          </rPr>
          <t>MCC:</t>
        </r>
        <r>
          <rPr>
            <sz val="8"/>
            <rFont val="Tahoma"/>
            <family val="0"/>
          </rPr>
          <t xml:space="preserve">
Just the Irrigation Works - not including engineering costs or contingencies</t>
        </r>
      </text>
    </comment>
    <comment ref="A86" authorId="0">
      <text>
        <r>
          <rPr>
            <b/>
            <sz val="8"/>
            <rFont val="Tahoma"/>
            <family val="0"/>
          </rPr>
          <t>MCC:</t>
        </r>
        <r>
          <rPr>
            <sz val="8"/>
            <rFont val="Tahoma"/>
            <family val="0"/>
          </rPr>
          <t xml:space="preserve">
Just the Irrigation Works - not including engineering costs or contingencies</t>
        </r>
      </text>
    </comment>
    <comment ref="B103" authorId="0">
      <text>
        <r>
          <rPr>
            <b/>
            <sz val="8"/>
            <rFont val="Tahoma"/>
            <family val="0"/>
          </rPr>
          <t>MCC:</t>
        </r>
        <r>
          <rPr>
            <sz val="8"/>
            <rFont val="Tahoma"/>
            <family val="0"/>
          </rPr>
          <t xml:space="preserve">
Average expenditure in the people defined as "less poor" in the ON of $603 multiplied by assumed HH size.  Note methodology used in the 2nd Land Tenure DD report assumed HH size was average sized HH in Segou of 7.14 people.</t>
        </r>
      </text>
    </comment>
    <comment ref="D79" authorId="0">
      <text>
        <r>
          <rPr>
            <b/>
            <sz val="8"/>
            <rFont val="Tahoma"/>
            <family val="0"/>
          </rPr>
          <t>MCC:</t>
        </r>
        <r>
          <rPr>
            <sz val="8"/>
            <rFont val="Tahoma"/>
            <family val="0"/>
          </rPr>
          <t xml:space="preserve">
Just the Irrigation Works - not including 
physical contigencies</t>
        </r>
      </text>
    </comment>
    <comment ref="G78" authorId="0">
      <text>
        <r>
          <rPr>
            <b/>
            <sz val="8"/>
            <rFont val="Tahoma"/>
            <family val="0"/>
          </rPr>
          <t>MCC:</t>
        </r>
        <r>
          <rPr>
            <sz val="8"/>
            <rFont val="Tahoma"/>
            <family val="0"/>
          </rPr>
          <t xml:space="preserve">
Includes 15% cost contigency</t>
        </r>
      </text>
    </comment>
    <comment ref="G77" authorId="0">
      <text>
        <r>
          <rPr>
            <b/>
            <sz val="8"/>
            <rFont val="Tahoma"/>
            <family val="0"/>
          </rPr>
          <t>MCC:</t>
        </r>
        <r>
          <rPr>
            <sz val="8"/>
            <rFont val="Tahoma"/>
            <family val="0"/>
          </rPr>
          <t xml:space="preserve">
Includes approximate 13% contigency</t>
        </r>
      </text>
    </comment>
  </commentList>
</comments>
</file>

<file path=xl/comments12.xml><?xml version="1.0" encoding="utf-8"?>
<comments xmlns="http://schemas.openxmlformats.org/spreadsheetml/2006/main">
  <authors>
    <author>SK</author>
    <author>bora</author>
    <author>Engin Satana</author>
  </authors>
  <commentList>
    <comment ref="C19" authorId="0">
      <text>
        <r>
          <rPr>
            <b/>
            <sz val="8"/>
            <rFont val="Tahoma"/>
            <family val="0"/>
          </rPr>
          <t>MCC:</t>
        </r>
        <r>
          <rPr>
            <sz val="8"/>
            <rFont val="Tahoma"/>
            <family val="0"/>
          </rPr>
          <t xml:space="preserve">
From Old MCA Mali Model</t>
        </r>
      </text>
    </comment>
    <comment ref="A50" authorId="0">
      <text>
        <r>
          <rPr>
            <b/>
            <sz val="8"/>
            <rFont val="Tahoma"/>
            <family val="0"/>
          </rPr>
          <t>MCC:</t>
        </r>
        <r>
          <rPr>
            <sz val="8"/>
            <rFont val="Tahoma"/>
            <family val="0"/>
          </rPr>
          <t xml:space="preserve">
from ON Model</t>
        </r>
      </text>
    </comment>
    <comment ref="C50" authorId="0">
      <text>
        <r>
          <rPr>
            <b/>
            <sz val="8"/>
            <rFont val="Tahoma"/>
            <family val="0"/>
          </rPr>
          <t>MCC:</t>
        </r>
        <r>
          <rPr>
            <sz val="8"/>
            <rFont val="Tahoma"/>
            <family val="0"/>
          </rPr>
          <t xml:space="preserve">
Uses Ratio from Consultant's Report</t>
        </r>
      </text>
    </comment>
    <comment ref="D50" authorId="0">
      <text>
        <r>
          <rPr>
            <b/>
            <sz val="8"/>
            <rFont val="Tahoma"/>
            <family val="0"/>
          </rPr>
          <t>MCC:</t>
        </r>
        <r>
          <rPr>
            <sz val="8"/>
            <rFont val="Tahoma"/>
            <family val="0"/>
          </rPr>
          <t xml:space="preserve">
Uses Tons Per Truck from Consultant</t>
        </r>
      </text>
    </comment>
    <comment ref="E50" authorId="0">
      <text>
        <r>
          <rPr>
            <b/>
            <sz val="8"/>
            <rFont val="Tahoma"/>
            <family val="0"/>
          </rPr>
          <t>MCC:</t>
        </r>
        <r>
          <rPr>
            <sz val="8"/>
            <rFont val="Tahoma"/>
            <family val="0"/>
          </rPr>
          <t xml:space="preserve">
Doubles due to round trip</t>
        </r>
      </text>
    </comment>
    <comment ref="F50" authorId="0">
      <text>
        <r>
          <rPr>
            <b/>
            <sz val="8"/>
            <rFont val="Tahoma"/>
            <family val="0"/>
          </rPr>
          <t>MCC:</t>
        </r>
        <r>
          <rPr>
            <sz val="8"/>
            <rFont val="Tahoma"/>
            <family val="0"/>
          </rPr>
          <t xml:space="preserve">
Divides by 365
</t>
        </r>
      </text>
    </comment>
    <comment ref="L51" authorId="0">
      <text>
        <r>
          <rPr>
            <b/>
            <sz val="8"/>
            <rFont val="Tahoma"/>
            <family val="0"/>
          </rPr>
          <t>MCC:</t>
        </r>
        <r>
          <rPr>
            <sz val="8"/>
            <rFont val="Tahoma"/>
            <family val="0"/>
          </rPr>
          <t xml:space="preserve">
Uses Tons Per Truck from Consultant Report</t>
        </r>
      </text>
    </comment>
    <comment ref="B28" authorId="1">
      <text>
        <r>
          <rPr>
            <b/>
            <sz val="8"/>
            <rFont val="Tahoma"/>
            <family val="0"/>
          </rPr>
          <t xml:space="preserve">MCC: </t>
        </r>
        <r>
          <rPr>
            <sz val="8"/>
            <rFont val="Tahoma"/>
            <family val="2"/>
          </rPr>
          <t>1. Rice was converted to paddy by dividing 0.68.
2. It is assumed that %91 of the rice consumption is from RS Paddy.</t>
        </r>
        <r>
          <rPr>
            <sz val="8"/>
            <rFont val="Tahoma"/>
            <family val="0"/>
          </rPr>
          <t xml:space="preserve">
</t>
        </r>
      </text>
    </comment>
    <comment ref="C28" authorId="1">
      <text>
        <r>
          <rPr>
            <b/>
            <sz val="8"/>
            <rFont val="Tahoma"/>
            <family val="0"/>
          </rPr>
          <t xml:space="preserve">MCC: </t>
        </r>
        <r>
          <rPr>
            <sz val="8"/>
            <rFont val="Tahoma"/>
            <family val="2"/>
          </rPr>
          <t>1. Rice was converted to paddy by dividing 0.68.
2. It is assumed that %91 of the rice consumption is from RS Paddy.</t>
        </r>
        <r>
          <rPr>
            <b/>
            <sz val="8"/>
            <rFont val="Tahoma"/>
            <family val="0"/>
          </rPr>
          <t xml:space="preserve">
</t>
        </r>
        <r>
          <rPr>
            <sz val="8"/>
            <rFont val="Tahoma"/>
            <family val="0"/>
          </rPr>
          <t xml:space="preserve">
</t>
        </r>
      </text>
    </comment>
    <comment ref="D28" authorId="1">
      <text>
        <r>
          <rPr>
            <b/>
            <sz val="8"/>
            <rFont val="Tahoma"/>
            <family val="0"/>
          </rPr>
          <t xml:space="preserve">MCC: </t>
        </r>
        <r>
          <rPr>
            <sz val="8"/>
            <rFont val="Tahoma"/>
            <family val="2"/>
          </rPr>
          <t>1. Rice was converted to paddy by dividing 0.68.
2. It is assumed that %91 of the rice consumption is from RS Paddy.</t>
        </r>
      </text>
    </comment>
    <comment ref="E28" authorId="1">
      <text>
        <r>
          <rPr>
            <b/>
            <sz val="8"/>
            <rFont val="Tahoma"/>
            <family val="0"/>
          </rPr>
          <t xml:space="preserve">MCC: </t>
        </r>
        <r>
          <rPr>
            <sz val="8"/>
            <rFont val="Tahoma"/>
            <family val="2"/>
          </rPr>
          <t>1. Rice was converted to paddy by dividing 0.68.
2. It is assumed that %91 of the rice consumption is from RS Paddy.</t>
        </r>
        <r>
          <rPr>
            <b/>
            <sz val="8"/>
            <rFont val="Tahoma"/>
            <family val="0"/>
          </rPr>
          <t xml:space="preserve">
</t>
        </r>
        <r>
          <rPr>
            <sz val="8"/>
            <rFont val="Tahoma"/>
            <family val="0"/>
          </rPr>
          <t xml:space="preserve">
</t>
        </r>
      </text>
    </comment>
    <comment ref="F28" authorId="1">
      <text>
        <r>
          <rPr>
            <b/>
            <sz val="8"/>
            <rFont val="Tahoma"/>
            <family val="0"/>
          </rPr>
          <t xml:space="preserve">MCC: </t>
        </r>
        <r>
          <rPr>
            <sz val="8"/>
            <rFont val="Tahoma"/>
            <family val="2"/>
          </rPr>
          <t>1. Rice was converted to paddy by dividing 0.68.
2. It is assumed that %91 of the rice consumption is from RS Paddy.</t>
        </r>
        <r>
          <rPr>
            <sz val="8"/>
            <rFont val="Tahoma"/>
            <family val="0"/>
          </rPr>
          <t xml:space="preserve">
</t>
        </r>
      </text>
    </comment>
    <comment ref="G28" authorId="1">
      <text>
        <r>
          <rPr>
            <b/>
            <sz val="8"/>
            <rFont val="Tahoma"/>
            <family val="0"/>
          </rPr>
          <t xml:space="preserve">MCC: </t>
        </r>
        <r>
          <rPr>
            <sz val="8"/>
            <rFont val="Tahoma"/>
            <family val="2"/>
          </rPr>
          <t xml:space="preserve">1. Rice was converted to paddy by dividing 0.68.
2. It is assumed that %91 of the rice consumption is from RS Paddy.
</t>
        </r>
        <r>
          <rPr>
            <sz val="8"/>
            <rFont val="Tahoma"/>
            <family val="0"/>
          </rPr>
          <t xml:space="preserve">
</t>
        </r>
      </text>
    </comment>
    <comment ref="H28" authorId="1">
      <text>
        <r>
          <rPr>
            <b/>
            <sz val="8"/>
            <rFont val="Tahoma"/>
            <family val="0"/>
          </rPr>
          <t xml:space="preserve">MCC: </t>
        </r>
        <r>
          <rPr>
            <sz val="8"/>
            <rFont val="Tahoma"/>
            <family val="2"/>
          </rPr>
          <t>1. Rice was converted to paddy by dividing 0.68.
2. It is assumed that %91 of the rice consumption is from RS Paddy.</t>
        </r>
        <r>
          <rPr>
            <sz val="8"/>
            <rFont val="Tahoma"/>
            <family val="0"/>
          </rPr>
          <t xml:space="preserve">
</t>
        </r>
      </text>
    </comment>
    <comment ref="B31" authorId="1">
      <text>
        <r>
          <rPr>
            <b/>
            <sz val="8"/>
            <rFont val="Tahoma"/>
            <family val="2"/>
          </rPr>
          <t>MCC:</t>
        </r>
        <r>
          <rPr>
            <sz val="8"/>
            <rFont val="Tahoma"/>
            <family val="0"/>
          </rPr>
          <t xml:space="preserve"> 1. Rice was converted to paddy by dividing 0.68.
2. It is assumed that %9 of the rice consumption is from DS Paddy.</t>
        </r>
      </text>
    </comment>
    <comment ref="C31" authorId="1">
      <text>
        <r>
          <rPr>
            <b/>
            <sz val="8"/>
            <rFont val="Tahoma"/>
            <family val="0"/>
          </rPr>
          <t xml:space="preserve">MCC: </t>
        </r>
        <r>
          <rPr>
            <sz val="8"/>
            <rFont val="Tahoma"/>
            <family val="2"/>
          </rPr>
          <t>1. Rice was converted to paddy by dividing 0.68.
2. It is assumed that %9 of the rice consumption is from DS Paddy.</t>
        </r>
        <r>
          <rPr>
            <sz val="8"/>
            <rFont val="Tahoma"/>
            <family val="0"/>
          </rPr>
          <t xml:space="preserve">
</t>
        </r>
      </text>
    </comment>
    <comment ref="D31" authorId="1">
      <text>
        <r>
          <rPr>
            <b/>
            <sz val="8"/>
            <rFont val="Tahoma"/>
            <family val="0"/>
          </rPr>
          <t xml:space="preserve">MCC: </t>
        </r>
        <r>
          <rPr>
            <sz val="8"/>
            <rFont val="Tahoma"/>
            <family val="2"/>
          </rPr>
          <t xml:space="preserve">1. Rice was converted to paddy by dividing 0.68.
2. It is assumed that %9 of the rice consumption is from DS Paddy.
</t>
        </r>
      </text>
    </comment>
    <comment ref="E31" authorId="1">
      <text>
        <r>
          <rPr>
            <b/>
            <sz val="8"/>
            <rFont val="Tahoma"/>
            <family val="0"/>
          </rPr>
          <t xml:space="preserve">MCC: </t>
        </r>
        <r>
          <rPr>
            <sz val="8"/>
            <rFont val="Tahoma"/>
            <family val="2"/>
          </rPr>
          <t>1. Rice was converted to paddy by dividing 0.68.
2. It is assumed that %9 of the rice consumption is from DS Paddy.</t>
        </r>
        <r>
          <rPr>
            <sz val="8"/>
            <rFont val="Tahoma"/>
            <family val="0"/>
          </rPr>
          <t xml:space="preserve">
</t>
        </r>
      </text>
    </comment>
    <comment ref="F31" authorId="1">
      <text>
        <r>
          <rPr>
            <b/>
            <sz val="8"/>
            <rFont val="Tahoma"/>
            <family val="0"/>
          </rPr>
          <t xml:space="preserve">MCC: </t>
        </r>
        <r>
          <rPr>
            <sz val="8"/>
            <rFont val="Tahoma"/>
            <family val="2"/>
          </rPr>
          <t>1. Rice was converted to paddy by dividing 0.68.
2. It is assumed that %9 of the rice consumption is from DS Paddy.</t>
        </r>
        <r>
          <rPr>
            <sz val="8"/>
            <rFont val="Tahoma"/>
            <family val="0"/>
          </rPr>
          <t xml:space="preserve">
</t>
        </r>
      </text>
    </comment>
    <comment ref="G31" authorId="1">
      <text>
        <r>
          <rPr>
            <b/>
            <sz val="8"/>
            <rFont val="Tahoma"/>
            <family val="0"/>
          </rPr>
          <t xml:space="preserve">MCC: </t>
        </r>
        <r>
          <rPr>
            <sz val="8"/>
            <rFont val="Tahoma"/>
            <family val="2"/>
          </rPr>
          <t>1. Rice was converted to paddy by dividing 0.68.
2. It is assumed that %9 of the rice consumption is from DS Paddy.</t>
        </r>
        <r>
          <rPr>
            <sz val="8"/>
            <rFont val="Tahoma"/>
            <family val="0"/>
          </rPr>
          <t xml:space="preserve">
</t>
        </r>
      </text>
    </comment>
    <comment ref="H31" authorId="1">
      <text>
        <r>
          <rPr>
            <b/>
            <sz val="8"/>
            <rFont val="Tahoma"/>
            <family val="0"/>
          </rPr>
          <t xml:space="preserve">MCC: </t>
        </r>
        <r>
          <rPr>
            <sz val="8"/>
            <rFont val="Tahoma"/>
            <family val="2"/>
          </rPr>
          <t>1. Rice was converted to paddy by dividing 0.68.
2. It is assumed that %9 of the rice consumption is from DS Paddy.</t>
        </r>
        <r>
          <rPr>
            <sz val="8"/>
            <rFont val="Tahoma"/>
            <family val="0"/>
          </rPr>
          <t xml:space="preserve">
</t>
        </r>
      </text>
    </comment>
    <comment ref="L46" authorId="2">
      <text>
        <r>
          <rPr>
            <b/>
            <sz val="8"/>
            <rFont val="Tahoma"/>
            <family val="0"/>
          </rPr>
          <t xml:space="preserve">MCC: </t>
        </r>
        <r>
          <rPr>
            <sz val="8"/>
            <rFont val="Tahoma"/>
            <family val="2"/>
          </rPr>
          <t xml:space="preserve">Estimates from M. Benard - July 24.
</t>
        </r>
      </text>
    </comment>
    <comment ref="Q11" authorId="0">
      <text>
        <r>
          <rPr>
            <b/>
            <sz val="8"/>
            <rFont val="Tahoma"/>
            <family val="0"/>
          </rPr>
          <t>MCC:</t>
        </r>
        <r>
          <rPr>
            <sz val="8"/>
            <rFont val="Tahoma"/>
            <family val="0"/>
          </rPr>
          <t xml:space="preserve">
From AFD Report
</t>
        </r>
      </text>
    </comment>
    <comment ref="AQ12" authorId="0">
      <text>
        <r>
          <rPr>
            <b/>
            <sz val="8"/>
            <rFont val="Tahoma"/>
            <family val="0"/>
          </rPr>
          <t>MCC:</t>
        </r>
        <r>
          <rPr>
            <sz val="8"/>
            <rFont val="Tahoma"/>
            <family val="0"/>
          </rPr>
          <t xml:space="preserve">
AFD (2003) La filière riz au Mali : compétitivité et
perspectives de marché</t>
        </r>
      </text>
    </comment>
    <comment ref="AB19" authorId="0">
      <text>
        <r>
          <rPr>
            <b/>
            <sz val="8"/>
            <rFont val="Tahoma"/>
            <family val="0"/>
          </rPr>
          <t>MCC:</t>
        </r>
        <r>
          <rPr>
            <sz val="8"/>
            <rFont val="Tahoma"/>
            <family val="0"/>
          </rPr>
          <t xml:space="preserve">
AFD (2005) La filière riz au Mali : compétitivité et
perspectives de marché</t>
        </r>
      </text>
    </comment>
    <comment ref="AJ22" authorId="0">
      <text>
        <r>
          <rPr>
            <b/>
            <sz val="8"/>
            <rFont val="Tahoma"/>
            <family val="0"/>
          </rPr>
          <t>MCC:</t>
        </r>
        <r>
          <rPr>
            <sz val="8"/>
            <rFont val="Tahoma"/>
            <family val="0"/>
          </rPr>
          <t xml:space="preserve">
693 + 275*(1/.65)
AFD says an additional 275,000 tons of rice need to be produced by 2015.  Convert Rice into Paddy and add on to 2003 production figure.</t>
        </r>
      </text>
    </comment>
    <comment ref="AJ24" authorId="0">
      <text>
        <r>
          <rPr>
            <b/>
            <sz val="8"/>
            <rFont val="Tahoma"/>
            <family val="0"/>
          </rPr>
          <t>MCC:</t>
        </r>
        <r>
          <rPr>
            <sz val="8"/>
            <rFont val="Tahoma"/>
            <family val="0"/>
          </rPr>
          <t xml:space="preserve">
Residual from 2015 Demand - 2015 Production</t>
        </r>
      </text>
    </comment>
  </commentList>
</comments>
</file>

<file path=xl/comments15.xml><?xml version="1.0" encoding="utf-8"?>
<comments xmlns="http://schemas.openxmlformats.org/spreadsheetml/2006/main">
  <authors>
    <author>EWC</author>
  </authors>
  <commentList>
    <comment ref="E26" authorId="0">
      <text>
        <r>
          <rPr>
            <b/>
            <sz val="8"/>
            <rFont val="Tahoma"/>
            <family val="0"/>
          </rPr>
          <t>EWC:</t>
        </r>
        <r>
          <rPr>
            <sz val="8"/>
            <rFont val="Tahoma"/>
            <family val="0"/>
          </rPr>
          <t xml:space="preserve">
Source: N'Debougou study, Annex 3, p. 35.</t>
        </r>
      </text>
    </comment>
    <comment ref="E31" authorId="0">
      <text>
        <r>
          <rPr>
            <b/>
            <sz val="8"/>
            <rFont val="Tahoma"/>
            <family val="0"/>
          </rPr>
          <t>EWC:</t>
        </r>
        <r>
          <rPr>
            <sz val="8"/>
            <rFont val="Tahoma"/>
            <family val="0"/>
          </rPr>
          <t xml:space="preserve">
CAFON prices, 6/06</t>
        </r>
      </text>
    </comment>
    <comment ref="O9" authorId="0">
      <text>
        <r>
          <rPr>
            <b/>
            <sz val="8"/>
            <rFont val="Tahoma"/>
            <family val="0"/>
          </rPr>
          <t>EWC:</t>
        </r>
        <r>
          <rPr>
            <sz val="8"/>
            <rFont val="Tahoma"/>
            <family val="0"/>
          </rPr>
          <t xml:space="preserve">
Source: N'Debougou study, Annex 3, p. 35.</t>
        </r>
      </text>
    </comment>
    <comment ref="O14" authorId="0">
      <text>
        <r>
          <rPr>
            <b/>
            <sz val="8"/>
            <rFont val="Tahoma"/>
            <family val="0"/>
          </rPr>
          <t>EWC:</t>
        </r>
        <r>
          <rPr>
            <sz val="8"/>
            <rFont val="Tahoma"/>
            <family val="0"/>
          </rPr>
          <t xml:space="preserve">
CAFON prices, 6/06</t>
        </r>
      </text>
    </comment>
    <comment ref="S14" authorId="0">
      <text>
        <r>
          <rPr>
            <b/>
            <sz val="8"/>
            <rFont val="Tahoma"/>
            <family val="0"/>
          </rPr>
          <t>EWC:</t>
        </r>
        <r>
          <rPr>
            <sz val="8"/>
            <rFont val="Tahoma"/>
            <family val="0"/>
          </rPr>
          <t xml:space="preserve">
5% of purchase price;  by assumption.</t>
        </r>
      </text>
    </comment>
    <comment ref="M18" authorId="0">
      <text>
        <r>
          <rPr>
            <b/>
            <sz val="8"/>
            <rFont val="Tahoma"/>
            <family val="0"/>
          </rPr>
          <t>EWC:</t>
        </r>
        <r>
          <rPr>
            <sz val="8"/>
            <rFont val="Tahoma"/>
            <family val="0"/>
          </rPr>
          <t xml:space="preserve">
Moved from mini-rice plant; seems too expensive for 120-ha farm; and data not available for operation as stand-alone business.</t>
        </r>
      </text>
    </comment>
  </commentList>
</comments>
</file>

<file path=xl/comments4.xml><?xml version="1.0" encoding="utf-8"?>
<comments xmlns="http://schemas.openxmlformats.org/spreadsheetml/2006/main">
  <authors>
    <author>SK</author>
    <author>kanesw</author>
  </authors>
  <commentList>
    <comment ref="B90" authorId="0">
      <text>
        <r>
          <rPr>
            <b/>
            <sz val="8"/>
            <rFont val="Tahoma"/>
            <family val="0"/>
          </rPr>
          <t>MCC:</t>
        </r>
        <r>
          <rPr>
            <sz val="8"/>
            <rFont val="Tahoma"/>
            <family val="0"/>
          </rPr>
          <t xml:space="preserve">
Changed from 100% based on the incremental VA calculation from the last page.</t>
        </r>
      </text>
    </comment>
    <comment ref="B91" authorId="0">
      <text>
        <r>
          <rPr>
            <b/>
            <sz val="8"/>
            <rFont val="Tahoma"/>
            <family val="0"/>
          </rPr>
          <t>SK:</t>
        </r>
        <r>
          <rPr>
            <sz val="8"/>
            <rFont val="Tahoma"/>
            <family val="0"/>
          </rPr>
          <t xml:space="preserve">
Based on input from V. Kelly</t>
        </r>
      </text>
    </comment>
    <comment ref="B92" authorId="0">
      <text>
        <r>
          <rPr>
            <b/>
            <sz val="8"/>
            <rFont val="Tahoma"/>
            <family val="0"/>
          </rPr>
          <t>SK:</t>
        </r>
        <r>
          <rPr>
            <sz val="8"/>
            <rFont val="Tahoma"/>
            <family val="0"/>
          </rPr>
          <t xml:space="preserve">
Base Case Assumes Year 3</t>
        </r>
      </text>
    </comment>
    <comment ref="B93" authorId="0">
      <text>
        <r>
          <rPr>
            <b/>
            <sz val="8"/>
            <rFont val="Tahoma"/>
            <family val="0"/>
          </rPr>
          <t>MCC:</t>
        </r>
        <r>
          <rPr>
            <sz val="8"/>
            <rFont val="Tahoma"/>
            <family val="0"/>
          </rPr>
          <t xml:space="preserve">
Added a dial so that the SS mix of crop can be subjected to sensitivity analysis</t>
        </r>
      </text>
    </comment>
    <comment ref="A95" authorId="0">
      <text>
        <r>
          <rPr>
            <b/>
            <sz val="8"/>
            <rFont val="Tahoma"/>
            <family val="0"/>
          </rPr>
          <t>MCC:</t>
        </r>
        <r>
          <rPr>
            <sz val="8"/>
            <rFont val="Tahoma"/>
            <family val="0"/>
          </rPr>
          <t xml:space="preserve">
Allows you to see relative sensitivity of ERR to Yields, Project Costs, Farmer Cost of Production (ie Input Prices), and Output Prices</t>
        </r>
      </text>
    </comment>
    <comment ref="A81" authorId="0">
      <text>
        <r>
          <rPr>
            <b/>
            <sz val="8"/>
            <rFont val="Tahoma"/>
            <family val="0"/>
          </rPr>
          <t>MCC:</t>
        </r>
        <r>
          <rPr>
            <sz val="8"/>
            <rFont val="Tahoma"/>
            <family val="0"/>
          </rPr>
          <t xml:space="preserve">
Road Benefits are already incremental in the way they were calculated - hence are not multiplied by B68.</t>
        </r>
      </text>
    </comment>
    <comment ref="D95" authorId="0">
      <text>
        <r>
          <rPr>
            <b/>
            <sz val="8"/>
            <rFont val="Tahoma"/>
            <family val="0"/>
          </rPr>
          <t>MCC:</t>
        </r>
        <r>
          <rPr>
            <sz val="8"/>
            <rFont val="Tahoma"/>
            <family val="0"/>
          </rPr>
          <t xml:space="preserve">
Allows a check of the ERR based on whether or not the Niono - Goma Coura Road is included.</t>
        </r>
      </text>
    </comment>
    <comment ref="D90" authorId="0">
      <text>
        <r>
          <rPr>
            <b/>
            <sz val="8"/>
            <rFont val="Tahoma"/>
            <family val="0"/>
          </rPr>
          <t>MCC:</t>
        </r>
        <r>
          <rPr>
            <sz val="8"/>
            <rFont val="Tahoma"/>
            <family val="0"/>
          </rPr>
          <t xml:space="preserve">
Allows Agricultural Labor Wages to be included as a benefit</t>
        </r>
      </text>
    </comment>
    <comment ref="J95" authorId="0">
      <text>
        <r>
          <rPr>
            <b/>
            <sz val="8"/>
            <rFont val="Tahoma"/>
            <family val="0"/>
          </rPr>
          <t>MCC:</t>
        </r>
        <r>
          <rPr>
            <sz val="8"/>
            <rFont val="Tahoma"/>
            <family val="0"/>
          </rPr>
          <t xml:space="preserve">
Only use Financial Prices for farmer poverty reduction analysis (farmer's financial cash flow).  Use of Financial Prices does not generate a full FRR.  Use Economic Prices for ERR</t>
        </r>
      </text>
    </comment>
    <comment ref="H78" authorId="0">
      <text>
        <r>
          <rPr>
            <b/>
            <sz val="8"/>
            <rFont val="Tahoma"/>
            <family val="0"/>
          </rPr>
          <t>MCC:</t>
        </r>
        <r>
          <rPr>
            <sz val="8"/>
            <rFont val="Tahoma"/>
            <family val="0"/>
          </rPr>
          <t xml:space="preserve">
Based on conversations with Olivia as to likely default rate and therefore how much will be left over for investments in social infrastructure</t>
        </r>
      </text>
    </comment>
    <comment ref="E77" authorId="0">
      <text>
        <r>
          <rPr>
            <b/>
            <sz val="8"/>
            <rFont val="Tahoma"/>
            <family val="0"/>
          </rPr>
          <t>MCC:</t>
        </r>
        <r>
          <rPr>
            <sz val="8"/>
            <rFont val="Tahoma"/>
            <family val="0"/>
          </rPr>
          <t xml:space="preserve">
Control Cell</t>
        </r>
      </text>
    </comment>
    <comment ref="B19" authorId="0">
      <text>
        <r>
          <rPr>
            <b/>
            <sz val="8"/>
            <rFont val="Tahoma"/>
            <family val="0"/>
          </rPr>
          <t>MCC:</t>
        </r>
        <r>
          <rPr>
            <sz val="8"/>
            <rFont val="Tahoma"/>
            <family val="0"/>
          </rPr>
          <t xml:space="preserve">
Already included in crop budgets
</t>
        </r>
      </text>
    </comment>
    <comment ref="C19" authorId="0">
      <text>
        <r>
          <rPr>
            <b/>
            <sz val="8"/>
            <rFont val="Tahoma"/>
            <family val="0"/>
          </rPr>
          <t xml:space="preserve">MCC:
</t>
        </r>
        <r>
          <rPr>
            <sz val="8"/>
            <rFont val="Tahoma"/>
            <family val="2"/>
          </rPr>
          <t>Already included in crop budgets</t>
        </r>
      </text>
    </comment>
    <comment ref="D19" authorId="0">
      <text>
        <r>
          <rPr>
            <b/>
            <sz val="8"/>
            <rFont val="Tahoma"/>
            <family val="0"/>
          </rPr>
          <t xml:space="preserve">MCC:
</t>
        </r>
        <r>
          <rPr>
            <sz val="8"/>
            <rFont val="Tahoma"/>
            <family val="2"/>
          </rPr>
          <t>Already included in crop budgets</t>
        </r>
      </text>
    </comment>
    <comment ref="E19" authorId="0">
      <text>
        <r>
          <rPr>
            <b/>
            <sz val="8"/>
            <rFont val="Tahoma"/>
            <family val="0"/>
          </rPr>
          <t xml:space="preserve">MCC:
</t>
        </r>
        <r>
          <rPr>
            <sz val="8"/>
            <rFont val="Tahoma"/>
            <family val="2"/>
          </rPr>
          <t>Already included in crop budgets</t>
        </r>
      </text>
    </comment>
    <comment ref="F19" authorId="0">
      <text>
        <r>
          <rPr>
            <b/>
            <sz val="8"/>
            <rFont val="Tahoma"/>
            <family val="0"/>
          </rPr>
          <t xml:space="preserve">MCC:
</t>
        </r>
        <r>
          <rPr>
            <sz val="8"/>
            <rFont val="Tahoma"/>
            <family val="2"/>
          </rPr>
          <t>Already included in crop budgets</t>
        </r>
        <r>
          <rPr>
            <sz val="8"/>
            <rFont val="Tahoma"/>
            <family val="0"/>
          </rPr>
          <t xml:space="preserve">
</t>
        </r>
      </text>
    </comment>
    <comment ref="G19" authorId="0">
      <text>
        <r>
          <rPr>
            <b/>
            <sz val="8"/>
            <rFont val="Tahoma"/>
            <family val="0"/>
          </rPr>
          <t xml:space="preserve">MCC:
</t>
        </r>
        <r>
          <rPr>
            <sz val="8"/>
            <rFont val="Tahoma"/>
            <family val="2"/>
          </rPr>
          <t>Already included in crop budgets</t>
        </r>
        <r>
          <rPr>
            <sz val="8"/>
            <rFont val="Tahoma"/>
            <family val="0"/>
          </rPr>
          <t xml:space="preserve">
</t>
        </r>
      </text>
    </comment>
    <comment ref="A41" authorId="1">
      <text>
        <r>
          <rPr>
            <b/>
            <sz val="8"/>
            <rFont val="Tahoma"/>
            <family val="0"/>
          </rPr>
          <t xml:space="preserve">MCC: </t>
        </r>
        <r>
          <rPr>
            <sz val="8"/>
            <rFont val="Tahoma"/>
            <family val="2"/>
          </rPr>
          <t>Pro-rated from total M&amp;E budge</t>
        </r>
        <r>
          <rPr>
            <b/>
            <sz val="8"/>
            <rFont val="Tahoma"/>
            <family val="0"/>
          </rPr>
          <t xml:space="preserve">t
</t>
        </r>
        <r>
          <rPr>
            <sz val="8"/>
            <rFont val="Tahoma"/>
            <family val="0"/>
          </rPr>
          <t xml:space="preserve">
</t>
        </r>
      </text>
    </comment>
    <comment ref="A42" authorId="1">
      <text>
        <r>
          <rPr>
            <b/>
            <sz val="8"/>
            <rFont val="Tahoma"/>
            <family val="0"/>
          </rPr>
          <t xml:space="preserve">MCC: </t>
        </r>
        <r>
          <rPr>
            <sz val="8"/>
            <rFont val="Tahoma"/>
            <family val="2"/>
          </rPr>
          <t>Pro-rated from total Compact Admin</t>
        </r>
        <r>
          <rPr>
            <b/>
            <sz val="8"/>
            <rFont val="Tahoma"/>
            <family val="0"/>
          </rPr>
          <t xml:space="preserve">
</t>
        </r>
        <r>
          <rPr>
            <sz val="8"/>
            <rFont val="Tahoma"/>
            <family val="0"/>
          </rPr>
          <t xml:space="preserve">
</t>
        </r>
      </text>
    </comment>
    <comment ref="H19" authorId="0">
      <text>
        <r>
          <rPr>
            <b/>
            <sz val="8"/>
            <rFont val="Tahoma"/>
            <family val="0"/>
          </rPr>
          <t xml:space="preserve">MCC:
</t>
        </r>
        <r>
          <rPr>
            <sz val="8"/>
            <rFont val="Tahoma"/>
            <family val="2"/>
          </rPr>
          <t>Already included in crop budgets</t>
        </r>
        <r>
          <rPr>
            <sz val="8"/>
            <rFont val="Tahoma"/>
            <family val="0"/>
          </rPr>
          <t xml:space="preserve">
</t>
        </r>
      </text>
    </comment>
    <comment ref="I19" authorId="0">
      <text>
        <r>
          <rPr>
            <b/>
            <sz val="8"/>
            <rFont val="Tahoma"/>
            <family val="0"/>
          </rPr>
          <t xml:space="preserve">MCC:
</t>
        </r>
        <r>
          <rPr>
            <sz val="8"/>
            <rFont val="Tahoma"/>
            <family val="2"/>
          </rPr>
          <t>Already included in crop budgets</t>
        </r>
        <r>
          <rPr>
            <sz val="8"/>
            <rFont val="Tahoma"/>
            <family val="0"/>
          </rPr>
          <t xml:space="preserve">
</t>
        </r>
      </text>
    </comment>
    <comment ref="J19" authorId="0">
      <text>
        <r>
          <rPr>
            <b/>
            <sz val="8"/>
            <rFont val="Tahoma"/>
            <family val="0"/>
          </rPr>
          <t xml:space="preserve">MCC:
</t>
        </r>
        <r>
          <rPr>
            <sz val="8"/>
            <rFont val="Tahoma"/>
            <family val="2"/>
          </rPr>
          <t>Already included in crop budgets</t>
        </r>
        <r>
          <rPr>
            <sz val="8"/>
            <rFont val="Tahoma"/>
            <family val="0"/>
          </rPr>
          <t xml:space="preserve">
</t>
        </r>
      </text>
    </comment>
    <comment ref="K19" authorId="0">
      <text>
        <r>
          <rPr>
            <b/>
            <sz val="8"/>
            <rFont val="Tahoma"/>
            <family val="0"/>
          </rPr>
          <t xml:space="preserve">MCC:
</t>
        </r>
        <r>
          <rPr>
            <sz val="8"/>
            <rFont val="Tahoma"/>
            <family val="2"/>
          </rPr>
          <t>Already included in crop budgets</t>
        </r>
        <r>
          <rPr>
            <sz val="8"/>
            <rFont val="Tahoma"/>
            <family val="0"/>
          </rPr>
          <t xml:space="preserve">
</t>
        </r>
      </text>
    </comment>
    <comment ref="L19" authorId="0">
      <text>
        <r>
          <rPr>
            <b/>
            <sz val="8"/>
            <rFont val="Tahoma"/>
            <family val="0"/>
          </rPr>
          <t xml:space="preserve">MCC:
</t>
        </r>
        <r>
          <rPr>
            <sz val="8"/>
            <rFont val="Tahoma"/>
            <family val="2"/>
          </rPr>
          <t>Already included in crop budgets</t>
        </r>
      </text>
    </comment>
    <comment ref="M19" authorId="0">
      <text>
        <r>
          <rPr>
            <b/>
            <sz val="8"/>
            <rFont val="Tahoma"/>
            <family val="0"/>
          </rPr>
          <t xml:space="preserve">MCC:
</t>
        </r>
        <r>
          <rPr>
            <sz val="8"/>
            <rFont val="Tahoma"/>
            <family val="2"/>
          </rPr>
          <t>Already included in crop budgets</t>
        </r>
        <r>
          <rPr>
            <sz val="8"/>
            <rFont val="Tahoma"/>
            <family val="0"/>
          </rPr>
          <t xml:space="preserve">
</t>
        </r>
      </text>
    </comment>
    <comment ref="N19" authorId="0">
      <text>
        <r>
          <rPr>
            <b/>
            <sz val="8"/>
            <rFont val="Tahoma"/>
            <family val="0"/>
          </rPr>
          <t xml:space="preserve">MCC:
</t>
        </r>
        <r>
          <rPr>
            <sz val="8"/>
            <rFont val="Tahoma"/>
            <family val="2"/>
          </rPr>
          <t>Already included in crop budgets</t>
        </r>
      </text>
    </comment>
    <comment ref="O19" authorId="0">
      <text>
        <r>
          <rPr>
            <b/>
            <sz val="8"/>
            <rFont val="Tahoma"/>
            <family val="0"/>
          </rPr>
          <t xml:space="preserve">MCC:
</t>
        </r>
        <r>
          <rPr>
            <sz val="8"/>
            <rFont val="Tahoma"/>
            <family val="2"/>
          </rPr>
          <t>Already included in crop budgets</t>
        </r>
        <r>
          <rPr>
            <sz val="8"/>
            <rFont val="Tahoma"/>
            <family val="0"/>
          </rPr>
          <t xml:space="preserve">
</t>
        </r>
      </text>
    </comment>
    <comment ref="P19" authorId="0">
      <text>
        <r>
          <rPr>
            <b/>
            <sz val="8"/>
            <rFont val="Tahoma"/>
            <family val="0"/>
          </rPr>
          <t xml:space="preserve">MCC:
</t>
        </r>
        <r>
          <rPr>
            <sz val="8"/>
            <rFont val="Tahoma"/>
            <family val="2"/>
          </rPr>
          <t>Already included in crop budgets</t>
        </r>
      </text>
    </comment>
    <comment ref="Q19" authorId="0">
      <text>
        <r>
          <rPr>
            <b/>
            <sz val="8"/>
            <rFont val="Tahoma"/>
            <family val="0"/>
          </rPr>
          <t xml:space="preserve">MCC:
</t>
        </r>
        <r>
          <rPr>
            <sz val="8"/>
            <rFont val="Tahoma"/>
            <family val="2"/>
          </rPr>
          <t>Already included in crop budgets</t>
        </r>
        <r>
          <rPr>
            <sz val="8"/>
            <rFont val="Tahoma"/>
            <family val="0"/>
          </rPr>
          <t xml:space="preserve">
</t>
        </r>
      </text>
    </comment>
    <comment ref="R19" authorId="0">
      <text>
        <r>
          <rPr>
            <b/>
            <sz val="8"/>
            <rFont val="Tahoma"/>
            <family val="0"/>
          </rPr>
          <t xml:space="preserve">MCC:
</t>
        </r>
        <r>
          <rPr>
            <sz val="8"/>
            <rFont val="Tahoma"/>
            <family val="2"/>
          </rPr>
          <t>Already included in crop budgets</t>
        </r>
        <r>
          <rPr>
            <sz val="8"/>
            <rFont val="Tahoma"/>
            <family val="0"/>
          </rPr>
          <t xml:space="preserve">
</t>
        </r>
      </text>
    </comment>
    <comment ref="S19" authorId="0">
      <text>
        <r>
          <rPr>
            <b/>
            <sz val="8"/>
            <rFont val="Tahoma"/>
            <family val="0"/>
          </rPr>
          <t xml:space="preserve">MCC:
</t>
        </r>
        <r>
          <rPr>
            <sz val="8"/>
            <rFont val="Tahoma"/>
            <family val="2"/>
          </rPr>
          <t>Already included in crop budgets</t>
        </r>
        <r>
          <rPr>
            <sz val="8"/>
            <rFont val="Tahoma"/>
            <family val="0"/>
          </rPr>
          <t xml:space="preserve">
</t>
        </r>
      </text>
    </comment>
    <comment ref="T19" authorId="0">
      <text>
        <r>
          <rPr>
            <b/>
            <sz val="8"/>
            <rFont val="Tahoma"/>
            <family val="0"/>
          </rPr>
          <t xml:space="preserve">MCC:
</t>
        </r>
        <r>
          <rPr>
            <sz val="8"/>
            <rFont val="Tahoma"/>
            <family val="2"/>
          </rPr>
          <t>Already included in crop budgets</t>
        </r>
        <r>
          <rPr>
            <sz val="8"/>
            <rFont val="Tahoma"/>
            <family val="0"/>
          </rPr>
          <t xml:space="preserve">
</t>
        </r>
      </text>
    </comment>
    <comment ref="U19" authorId="0">
      <text>
        <r>
          <rPr>
            <b/>
            <sz val="8"/>
            <rFont val="Tahoma"/>
            <family val="0"/>
          </rPr>
          <t xml:space="preserve">MCC:
</t>
        </r>
        <r>
          <rPr>
            <sz val="8"/>
            <rFont val="Tahoma"/>
            <family val="2"/>
          </rPr>
          <t>Already included in crop budgets</t>
        </r>
        <r>
          <rPr>
            <sz val="8"/>
            <rFont val="Tahoma"/>
            <family val="0"/>
          </rPr>
          <t xml:space="preserve">
</t>
        </r>
      </text>
    </comment>
    <comment ref="V19" authorId="0">
      <text>
        <r>
          <rPr>
            <b/>
            <sz val="8"/>
            <rFont val="Tahoma"/>
            <family val="0"/>
          </rPr>
          <t xml:space="preserve">MCC:
</t>
        </r>
        <r>
          <rPr>
            <sz val="8"/>
            <rFont val="Tahoma"/>
            <family val="2"/>
          </rPr>
          <t>Already included in crop budgets</t>
        </r>
        <r>
          <rPr>
            <sz val="8"/>
            <rFont val="Tahoma"/>
            <family val="0"/>
          </rPr>
          <t xml:space="preserve">
</t>
        </r>
      </text>
    </comment>
    <comment ref="W19" authorId="0">
      <text>
        <r>
          <rPr>
            <b/>
            <sz val="8"/>
            <rFont val="Tahoma"/>
            <family val="0"/>
          </rPr>
          <t xml:space="preserve">MCC:
</t>
        </r>
        <r>
          <rPr>
            <sz val="8"/>
            <rFont val="Tahoma"/>
            <family val="2"/>
          </rPr>
          <t>Already included in crop budgets</t>
        </r>
        <r>
          <rPr>
            <sz val="8"/>
            <rFont val="Tahoma"/>
            <family val="0"/>
          </rPr>
          <t xml:space="preserve">
</t>
        </r>
      </text>
    </comment>
    <comment ref="X19" authorId="0">
      <text>
        <r>
          <rPr>
            <b/>
            <sz val="8"/>
            <rFont val="Tahoma"/>
            <family val="0"/>
          </rPr>
          <t xml:space="preserve">MCC:
</t>
        </r>
        <r>
          <rPr>
            <sz val="8"/>
            <rFont val="Tahoma"/>
            <family val="2"/>
          </rPr>
          <t>Already included in crop budgets</t>
        </r>
        <r>
          <rPr>
            <sz val="8"/>
            <rFont val="Tahoma"/>
            <family val="0"/>
          </rPr>
          <t xml:space="preserve">
</t>
        </r>
      </text>
    </comment>
    <comment ref="Y19" authorId="0">
      <text>
        <r>
          <rPr>
            <b/>
            <sz val="8"/>
            <rFont val="Tahoma"/>
            <family val="0"/>
          </rPr>
          <t>MCC:</t>
        </r>
        <r>
          <rPr>
            <sz val="8"/>
            <rFont val="Tahoma"/>
            <family val="0"/>
          </rPr>
          <t xml:space="preserve">
Already included in crop budgets
</t>
        </r>
      </text>
    </comment>
    <comment ref="Z19" authorId="0">
      <text>
        <r>
          <rPr>
            <b/>
            <sz val="8"/>
            <rFont val="Tahoma"/>
            <family val="0"/>
          </rPr>
          <t>MCC:</t>
        </r>
        <r>
          <rPr>
            <sz val="8"/>
            <rFont val="Tahoma"/>
            <family val="0"/>
          </rPr>
          <t xml:space="preserve">
Already included in crop budgets
</t>
        </r>
      </text>
    </comment>
    <comment ref="AA19" authorId="0">
      <text>
        <r>
          <rPr>
            <b/>
            <sz val="8"/>
            <rFont val="Tahoma"/>
            <family val="0"/>
          </rPr>
          <t>MCC:</t>
        </r>
        <r>
          <rPr>
            <sz val="8"/>
            <rFont val="Tahoma"/>
            <family val="0"/>
          </rPr>
          <t xml:space="preserve">
Already included in crop budgets
</t>
        </r>
      </text>
    </comment>
  </commentList>
</comments>
</file>

<file path=xl/comments5.xml><?xml version="1.0" encoding="utf-8"?>
<comments xmlns="http://schemas.openxmlformats.org/spreadsheetml/2006/main">
  <authors>
    <author>SK</author>
  </authors>
  <commentList>
    <comment ref="B123" authorId="0">
      <text>
        <r>
          <rPr>
            <b/>
            <sz val="8"/>
            <rFont val="Tahoma"/>
            <family val="0"/>
          </rPr>
          <t>MCC:</t>
        </r>
        <r>
          <rPr>
            <sz val="8"/>
            <rFont val="Tahoma"/>
            <family val="0"/>
          </rPr>
          <t xml:space="preserve">
VA = Farm Profits + Wages.  Divide by 3000 because want to get things in $000 and because there are three cohorts (each of the 4500 Ha comes on line at different times)</t>
        </r>
      </text>
    </comment>
    <comment ref="C36" authorId="0">
      <text>
        <r>
          <rPr>
            <b/>
            <sz val="8"/>
            <rFont val="Tahoma"/>
            <family val="0"/>
          </rPr>
          <t>MCC:</t>
        </r>
        <r>
          <rPr>
            <sz val="8"/>
            <rFont val="Tahoma"/>
            <family val="0"/>
          </rPr>
          <t xml:space="preserve">
0.44%*10 Ha = 0.04 Ha</t>
        </r>
      </text>
    </comment>
    <comment ref="I57" authorId="0">
      <text>
        <r>
          <rPr>
            <b/>
            <sz val="8"/>
            <rFont val="Tahoma"/>
            <family val="0"/>
          </rPr>
          <t>MCC:</t>
        </r>
        <r>
          <rPr>
            <sz val="8"/>
            <rFont val="Tahoma"/>
            <family val="0"/>
          </rPr>
          <t xml:space="preserve">
SK:
=b22*.5*370=#Ha devoted to paddy * .5 because 5 Ha farm is one half the size of 10 Ha farm* number of 5 Ha farms</t>
        </r>
      </text>
    </comment>
    <comment ref="F30" authorId="0">
      <text>
        <r>
          <rPr>
            <b/>
            <sz val="8"/>
            <rFont val="Tahoma"/>
            <family val="0"/>
          </rPr>
          <t>SK:</t>
        </r>
        <r>
          <rPr>
            <sz val="8"/>
            <rFont val="Tahoma"/>
            <family val="0"/>
          </rPr>
          <t xml:space="preserve">
60 total Ha of fish ponds so does it in cohorts of 20 Ha (multiplies by 20).  Then divides by 1000 to get it in thousands</t>
        </r>
      </text>
    </comment>
    <comment ref="G24" authorId="0">
      <text>
        <r>
          <rPr>
            <b/>
            <sz val="8"/>
            <rFont val="Tahoma"/>
            <family val="0"/>
          </rPr>
          <t>SK:</t>
        </r>
        <r>
          <rPr>
            <sz val="8"/>
            <rFont val="Tahoma"/>
            <family val="0"/>
          </rPr>
          <t xml:space="preserve">
Price per Kilo</t>
        </r>
      </text>
    </comment>
    <comment ref="J57" authorId="0">
      <text>
        <r>
          <rPr>
            <b/>
            <sz val="8"/>
            <rFont val="Tahoma"/>
            <family val="0"/>
          </rPr>
          <t>MCC:</t>
        </r>
        <r>
          <rPr>
            <sz val="8"/>
            <rFont val="Tahoma"/>
            <family val="0"/>
          </rPr>
          <t xml:space="preserve">
SK:
=b22*1*181=#Ha devoted to paddy * 1 because 10 Ha farm i* number of 10 Ha farms</t>
        </r>
      </text>
    </comment>
    <comment ref="K57" authorId="0">
      <text>
        <r>
          <rPr>
            <b/>
            <sz val="8"/>
            <rFont val="Tahoma"/>
            <family val="0"/>
          </rPr>
          <t>MCC:</t>
        </r>
        <r>
          <rPr>
            <sz val="8"/>
            <rFont val="Tahoma"/>
            <family val="0"/>
          </rPr>
          <t xml:space="preserve">
SK:
=b22*3*1500=#Ha devoted to paddy * 3 because 30 Ha is 3X a 10 Ha farm* number of 30 Ha farms</t>
        </r>
      </text>
    </comment>
    <comment ref="F57" authorId="0">
      <text>
        <r>
          <rPr>
            <b/>
            <sz val="8"/>
            <rFont val="Tahoma"/>
            <family val="0"/>
          </rPr>
          <t>MCC:</t>
        </r>
        <r>
          <rPr>
            <sz val="8"/>
            <rFont val="Tahoma"/>
            <family val="0"/>
          </rPr>
          <t xml:space="preserve">
# of RS Paddy per 10 Ha * number of 10 Ha farms (13500/10)</t>
        </r>
      </text>
    </comment>
    <comment ref="A118" authorId="0">
      <text>
        <r>
          <rPr>
            <b/>
            <sz val="8"/>
            <rFont val="Tahoma"/>
            <family val="0"/>
          </rPr>
          <t>MCC:</t>
        </r>
        <r>
          <rPr>
            <sz val="8"/>
            <rFont val="Tahoma"/>
            <family val="0"/>
          </rPr>
          <t xml:space="preserve">
Note that the Yellow Streams fit into the IRR calculation.  One year lag for RS Other and DS Crops.</t>
        </r>
      </text>
    </comment>
    <comment ref="B78" authorId="0">
      <text>
        <r>
          <rPr>
            <b/>
            <sz val="8"/>
            <rFont val="Tahoma"/>
            <family val="0"/>
          </rPr>
          <t>MCC:</t>
        </r>
        <r>
          <rPr>
            <sz val="8"/>
            <rFont val="Tahoma"/>
            <family val="0"/>
          </rPr>
          <t xml:space="preserve">
Changed from 30t ramping up to 40t to 22t ramping up to 30t.  Source is ON data and WB PCDA projection of actual and potential yields.</t>
        </r>
      </text>
    </comment>
    <comment ref="K101" authorId="0">
      <text>
        <r>
          <rPr>
            <b/>
            <sz val="8"/>
            <rFont val="Tahoma"/>
            <family val="0"/>
          </rPr>
          <t>MCC:</t>
        </r>
        <r>
          <rPr>
            <sz val="8"/>
            <rFont val="Tahoma"/>
            <family val="0"/>
          </rPr>
          <t xml:space="preserve">
Changed from 15% to 16% based on Eric Crawford Models.  16% includes family and hired labor. Eric's source is Nyeta Conseils, 2006</t>
        </r>
      </text>
    </comment>
    <comment ref="J38" authorId="0">
      <text>
        <r>
          <rPr>
            <b/>
            <sz val="8"/>
            <rFont val="Tahoma"/>
            <family val="0"/>
          </rPr>
          <t>MCC:</t>
        </r>
        <r>
          <rPr>
            <sz val="8"/>
            <rFont val="Tahoma"/>
            <family val="0"/>
          </rPr>
          <t xml:space="preserve">
This crop mix was calculated by looking at the rate of growth of Cropping Intensity in the ON over the last ten years and using that to forecast the CI in Yr 5.  The distribution of crops currently seen in the ON was then applied to Yr 5 CI.</t>
        </r>
      </text>
    </comment>
    <comment ref="I38" authorId="0">
      <text>
        <r>
          <rPr>
            <b/>
            <sz val="8"/>
            <rFont val="Tahoma"/>
            <family val="0"/>
          </rPr>
          <t>MCC:</t>
        </r>
        <r>
          <rPr>
            <sz val="8"/>
            <rFont val="Tahoma"/>
            <family val="0"/>
          </rPr>
          <t xml:space="preserve">
From CDM</t>
        </r>
      </text>
    </comment>
    <comment ref="F31" authorId="0">
      <text>
        <r>
          <rPr>
            <b/>
            <sz val="8"/>
            <rFont val="Tahoma"/>
            <family val="0"/>
          </rPr>
          <t>SK:</t>
        </r>
        <r>
          <rPr>
            <sz val="8"/>
            <rFont val="Tahoma"/>
            <family val="0"/>
          </rPr>
          <t xml:space="preserve">
60 total Ha of fish ponds so does it in cohorts of 20 Ha (multiplies by 20).  Then divides by 1000 to get it in thousands</t>
        </r>
      </text>
    </comment>
    <comment ref="F29" authorId="0">
      <text>
        <r>
          <rPr>
            <b/>
            <sz val="8"/>
            <rFont val="Tahoma"/>
            <family val="0"/>
          </rPr>
          <t>SK:</t>
        </r>
        <r>
          <rPr>
            <sz val="8"/>
            <rFont val="Tahoma"/>
            <family val="0"/>
          </rPr>
          <t xml:space="preserve">
Labor Costs being 53% of total costs comes from the detailed fish pond ramp up budget</t>
        </r>
      </text>
    </comment>
    <comment ref="K102" authorId="0">
      <text>
        <r>
          <rPr>
            <b/>
            <sz val="8"/>
            <rFont val="Tahoma"/>
            <family val="0"/>
          </rPr>
          <t>MCC:</t>
        </r>
        <r>
          <rPr>
            <sz val="8"/>
            <rFont val="Tahoma"/>
            <family val="0"/>
          </rPr>
          <t xml:space="preserve">
Changed from 0% to 42% based on Eric Crawford Models.  42% includes family and hired labor. Eric's source is N'Debougou, 2004</t>
        </r>
      </text>
    </comment>
    <comment ref="K103" authorId="0">
      <text>
        <r>
          <rPr>
            <b/>
            <sz val="8"/>
            <rFont val="Tahoma"/>
            <family val="0"/>
          </rPr>
          <t>MCC:</t>
        </r>
        <r>
          <rPr>
            <sz val="8"/>
            <rFont val="Tahoma"/>
            <family val="0"/>
          </rPr>
          <t xml:space="preserve">
Changed from 25% to 45% based on Eric Crawford Models.  42% includes family and hired labor. Eric's source is Shallots Mimeo, 2004</t>
        </r>
      </text>
    </comment>
    <comment ref="J40" authorId="0">
      <text>
        <r>
          <rPr>
            <b/>
            <sz val="8"/>
            <rFont val="Tahoma"/>
            <family val="0"/>
          </rPr>
          <t>MCC:</t>
        </r>
        <r>
          <rPr>
            <sz val="8"/>
            <rFont val="Tahoma"/>
            <family val="0"/>
          </rPr>
          <t xml:space="preserve">
Changed from 1% to 0% Based on comments from Hunt</t>
        </r>
      </text>
    </comment>
    <comment ref="J46" authorId="0">
      <text>
        <r>
          <rPr>
            <b/>
            <sz val="8"/>
            <rFont val="Tahoma"/>
            <family val="0"/>
          </rPr>
          <t>MCC:</t>
        </r>
        <r>
          <rPr>
            <sz val="8"/>
            <rFont val="Tahoma"/>
            <family val="0"/>
          </rPr>
          <t xml:space="preserve">
Changed from 0% to 1% based on conversation with Hunt (dropping wheat)
</t>
        </r>
      </text>
    </comment>
    <comment ref="K46" authorId="0">
      <text>
        <r>
          <rPr>
            <b/>
            <sz val="8"/>
            <rFont val="Tahoma"/>
            <family val="0"/>
          </rPr>
          <t>MCC:</t>
        </r>
        <r>
          <rPr>
            <sz val="8"/>
            <rFont val="Tahoma"/>
            <family val="0"/>
          </rPr>
          <t xml:space="preserve">
Changed from 2% to 3% based on conversation with Hunt (subtraction of wheat)
</t>
        </r>
      </text>
    </comment>
    <comment ref="K45" authorId="0">
      <text>
        <r>
          <rPr>
            <b/>
            <sz val="8"/>
            <rFont val="Tahoma"/>
            <family val="0"/>
          </rPr>
          <t>MCC:</t>
        </r>
        <r>
          <rPr>
            <sz val="8"/>
            <rFont val="Tahoma"/>
            <family val="0"/>
          </rPr>
          <t xml:space="preserve">
Changed from 2% to 0% based on comments from Hunt.</t>
        </r>
      </text>
    </comment>
    <comment ref="L45" authorId="0">
      <text>
        <r>
          <rPr>
            <b/>
            <sz val="8"/>
            <rFont val="Tahoma"/>
            <family val="0"/>
          </rPr>
          <t>MCC:</t>
        </r>
        <r>
          <rPr>
            <sz val="8"/>
            <rFont val="Tahoma"/>
            <family val="0"/>
          </rPr>
          <t xml:space="preserve">
Changed from 2% to 0% based on comments from Hunt.</t>
        </r>
      </text>
    </comment>
    <comment ref="K47" authorId="0">
      <text>
        <r>
          <rPr>
            <b/>
            <sz val="8"/>
            <rFont val="Tahoma"/>
            <family val="0"/>
          </rPr>
          <t>MCC:</t>
        </r>
        <r>
          <rPr>
            <sz val="8"/>
            <rFont val="Tahoma"/>
            <family val="0"/>
          </rPr>
          <t xml:space="preserve">
Changed from 1% to 0% based on conversation with Hunt</t>
        </r>
      </text>
    </comment>
    <comment ref="L47" authorId="0">
      <text>
        <r>
          <rPr>
            <b/>
            <sz val="8"/>
            <rFont val="Tahoma"/>
            <family val="0"/>
          </rPr>
          <t>MCC:</t>
        </r>
        <r>
          <rPr>
            <sz val="8"/>
            <rFont val="Tahoma"/>
            <family val="0"/>
          </rPr>
          <t xml:space="preserve">
Changed from 1% to 0% based on conversation with Hunt</t>
        </r>
      </text>
    </comment>
    <comment ref="K44" authorId="0">
      <text>
        <r>
          <rPr>
            <b/>
            <sz val="8"/>
            <rFont val="Tahoma"/>
            <family val="0"/>
          </rPr>
          <t>MCC:</t>
        </r>
        <r>
          <rPr>
            <sz val="8"/>
            <rFont val="Tahoma"/>
            <family val="0"/>
          </rPr>
          <t xml:space="preserve">
Increased from 6% to 9% based on conversation with Hunt (dropping potatoes and niebe)</t>
        </r>
      </text>
    </comment>
    <comment ref="L46" authorId="0">
      <text>
        <r>
          <rPr>
            <b/>
            <sz val="8"/>
            <rFont val="Tahoma"/>
            <family val="0"/>
          </rPr>
          <t>MCC:</t>
        </r>
        <r>
          <rPr>
            <sz val="8"/>
            <rFont val="Tahoma"/>
            <family val="0"/>
          </rPr>
          <t xml:space="preserve">
Changed from 2% to 3% based on conversation with Hunt (subtraction of wheat)
</t>
        </r>
      </text>
    </comment>
    <comment ref="L44" authorId="0">
      <text>
        <r>
          <rPr>
            <b/>
            <sz val="8"/>
            <rFont val="Tahoma"/>
            <family val="0"/>
          </rPr>
          <t>MCC:</t>
        </r>
        <r>
          <rPr>
            <sz val="8"/>
            <rFont val="Tahoma"/>
            <family val="0"/>
          </rPr>
          <t xml:space="preserve">
Increased from 6% to 9% based on conversation with Hunt (dropping potatoes and niebe)</t>
        </r>
      </text>
    </comment>
  </commentList>
</comments>
</file>

<file path=xl/comments6.xml><?xml version="1.0" encoding="utf-8"?>
<comments xmlns="http://schemas.openxmlformats.org/spreadsheetml/2006/main">
  <authors>
    <author>SK</author>
  </authors>
  <commentList>
    <comment ref="B13" authorId="0">
      <text>
        <r>
          <rPr>
            <b/>
            <sz val="8"/>
            <rFont val="Tahoma"/>
            <family val="0"/>
          </rPr>
          <t>MCC:</t>
        </r>
        <r>
          <rPr>
            <sz val="8"/>
            <rFont val="Tahoma"/>
            <family val="0"/>
          </rPr>
          <t xml:space="preserve">
Only 25% allocated to Alatona</t>
        </r>
      </text>
    </comment>
    <comment ref="C13" authorId="0">
      <text>
        <r>
          <rPr>
            <b/>
            <sz val="8"/>
            <rFont val="Tahoma"/>
            <family val="0"/>
          </rPr>
          <t>MCC:</t>
        </r>
        <r>
          <rPr>
            <sz val="8"/>
            <rFont val="Tahoma"/>
            <family val="0"/>
          </rPr>
          <t xml:space="preserve">
Only 25% allocated to Alatona</t>
        </r>
      </text>
    </comment>
    <comment ref="G45" authorId="0">
      <text>
        <r>
          <rPr>
            <b/>
            <sz val="8"/>
            <rFont val="Tahoma"/>
            <family val="0"/>
          </rPr>
          <t>MCC:</t>
        </r>
        <r>
          <rPr>
            <sz val="8"/>
            <rFont val="Tahoma"/>
            <family val="0"/>
          </rPr>
          <t xml:space="preserve">
55.7% of Compact M&amp;E Costs of $4.9m (ON 55.7% of Program Funds)</t>
        </r>
      </text>
    </comment>
    <comment ref="G46" authorId="0">
      <text>
        <r>
          <rPr>
            <b/>
            <sz val="8"/>
            <rFont val="Tahoma"/>
            <family val="0"/>
          </rPr>
          <t>MCC:</t>
        </r>
        <r>
          <rPr>
            <sz val="8"/>
            <rFont val="Tahoma"/>
            <family val="0"/>
          </rPr>
          <t xml:space="preserve">
55.7% of Compact Program Admin Costs of $37.4m (ON 55.7% of Program Costs)</t>
        </r>
      </text>
    </comment>
    <comment ref="G33" authorId="0">
      <text>
        <r>
          <rPr>
            <b/>
            <sz val="8"/>
            <rFont val="Tahoma"/>
            <family val="0"/>
          </rPr>
          <t>MCC:</t>
        </r>
        <r>
          <rPr>
            <sz val="8"/>
            <rFont val="Tahoma"/>
            <family val="0"/>
          </rPr>
          <t xml:space="preserve">
Based on MCC Finan and Priv Sctr Dev't Work</t>
        </r>
      </text>
    </comment>
  </commentList>
</comments>
</file>

<file path=xl/comments7.xml><?xml version="1.0" encoding="utf-8"?>
<comments xmlns="http://schemas.openxmlformats.org/spreadsheetml/2006/main">
  <authors>
    <author>SK</author>
    <author>bora</author>
  </authors>
  <commentList>
    <comment ref="N12" authorId="0">
      <text>
        <r>
          <rPr>
            <b/>
            <sz val="8"/>
            <rFont val="Tahoma"/>
            <family val="0"/>
          </rPr>
          <t>SK:</t>
        </r>
        <r>
          <rPr>
            <sz val="8"/>
            <rFont val="Tahoma"/>
            <family val="0"/>
          </rPr>
          <t xml:space="preserve">
From Consultant Report
is 1.5 in the report
</t>
        </r>
      </text>
    </comment>
    <comment ref="N13" authorId="0">
      <text>
        <r>
          <rPr>
            <b/>
            <sz val="8"/>
            <rFont val="Tahoma"/>
            <family val="0"/>
          </rPr>
          <t>SK:</t>
        </r>
        <r>
          <rPr>
            <sz val="8"/>
            <rFont val="Tahoma"/>
            <family val="0"/>
          </rPr>
          <t xml:space="preserve">
From Consultant Reportis 1.5 in the report</t>
        </r>
      </text>
    </comment>
    <comment ref="F10" authorId="0">
      <text>
        <r>
          <rPr>
            <b/>
            <sz val="8"/>
            <rFont val="Tahoma"/>
            <family val="0"/>
          </rPr>
          <t>MCC:</t>
        </r>
        <r>
          <rPr>
            <sz val="8"/>
            <rFont val="Tahoma"/>
            <family val="0"/>
          </rPr>
          <t xml:space="preserve">
From Consultant's Report
</t>
        </r>
      </text>
    </comment>
    <comment ref="F11" authorId="0">
      <text>
        <r>
          <rPr>
            <b/>
            <sz val="8"/>
            <rFont val="Tahoma"/>
            <family val="0"/>
          </rPr>
          <t>MCC:</t>
        </r>
        <r>
          <rPr>
            <sz val="8"/>
            <rFont val="Tahoma"/>
            <family val="0"/>
          </rPr>
          <t xml:space="preserve">
From Consultant's Report
</t>
        </r>
      </text>
    </comment>
    <comment ref="F12" authorId="0">
      <text>
        <r>
          <rPr>
            <b/>
            <sz val="8"/>
            <rFont val="Tahoma"/>
            <family val="0"/>
          </rPr>
          <t>MCC:</t>
        </r>
        <r>
          <rPr>
            <sz val="8"/>
            <rFont val="Tahoma"/>
            <family val="0"/>
          </rPr>
          <t xml:space="preserve">
From Consultant's Report
</t>
        </r>
      </text>
    </comment>
    <comment ref="F13" authorId="0">
      <text>
        <r>
          <rPr>
            <b/>
            <sz val="8"/>
            <rFont val="Tahoma"/>
            <family val="0"/>
          </rPr>
          <t>MCC:</t>
        </r>
        <r>
          <rPr>
            <sz val="8"/>
            <rFont val="Tahoma"/>
            <family val="0"/>
          </rPr>
          <t xml:space="preserve">
From Consultant's Report
</t>
        </r>
      </text>
    </comment>
    <comment ref="N11" authorId="0">
      <text>
        <r>
          <rPr>
            <b/>
            <sz val="8"/>
            <rFont val="Tahoma"/>
            <family val="0"/>
          </rPr>
          <t>MCC:</t>
        </r>
        <r>
          <rPr>
            <sz val="8"/>
            <rFont val="Tahoma"/>
            <family val="0"/>
          </rPr>
          <t xml:space="preserve">
From Consultant's Report</t>
        </r>
      </text>
    </comment>
    <comment ref="N10" authorId="0">
      <text>
        <r>
          <rPr>
            <b/>
            <sz val="8"/>
            <rFont val="Tahoma"/>
            <family val="2"/>
          </rPr>
          <t>MCC:</t>
        </r>
        <r>
          <rPr>
            <sz val="8"/>
            <rFont val="Tahoma"/>
            <family val="0"/>
          </rPr>
          <t xml:space="preserve">
Provided by Benard</t>
        </r>
      </text>
    </comment>
    <comment ref="J4" authorId="0">
      <text>
        <r>
          <rPr>
            <b/>
            <sz val="8"/>
            <rFont val="Tahoma"/>
            <family val="0"/>
          </rPr>
          <t>MCC:</t>
        </r>
        <r>
          <rPr>
            <sz val="8"/>
            <rFont val="Tahoma"/>
            <family val="0"/>
          </rPr>
          <t xml:space="preserve">
Provided by Benard</t>
        </r>
      </text>
    </comment>
    <comment ref="J5" authorId="0">
      <text>
        <r>
          <rPr>
            <b/>
            <sz val="8"/>
            <rFont val="Tahoma"/>
            <family val="0"/>
          </rPr>
          <t xml:space="preserve">MCC: </t>
        </r>
        <r>
          <rPr>
            <sz val="8"/>
            <rFont val="Tahoma"/>
            <family val="2"/>
          </rPr>
          <t>Provided by Benard</t>
        </r>
      </text>
    </comment>
    <comment ref="J6" authorId="0">
      <text>
        <r>
          <rPr>
            <b/>
            <sz val="8"/>
            <rFont val="Tahoma"/>
            <family val="0"/>
          </rPr>
          <t>MCC:</t>
        </r>
        <r>
          <rPr>
            <sz val="8"/>
            <rFont val="Tahoma"/>
            <family val="0"/>
          </rPr>
          <t xml:space="preserve">
Consultant is 0.25</t>
        </r>
      </text>
    </comment>
    <comment ref="E4" authorId="0">
      <text>
        <r>
          <rPr>
            <b/>
            <sz val="8"/>
            <rFont val="Tahoma"/>
            <family val="0"/>
          </rPr>
          <t>MCC:</t>
        </r>
        <r>
          <rPr>
            <sz val="8"/>
            <rFont val="Tahoma"/>
            <family val="0"/>
          </rPr>
          <t xml:space="preserve">
Provided by Benard</t>
        </r>
      </text>
    </comment>
    <comment ref="G50" authorId="0">
      <text>
        <r>
          <rPr>
            <b/>
            <sz val="8"/>
            <rFont val="Tahoma"/>
            <family val="0"/>
          </rPr>
          <t>MCC:</t>
        </r>
        <r>
          <rPr>
            <sz val="8"/>
            <rFont val="Tahoma"/>
            <family val="0"/>
          </rPr>
          <t xml:space="preserve">
Multiplied by 0.5 Because is induced traffic</t>
        </r>
      </text>
    </comment>
    <comment ref="L50" authorId="0">
      <text>
        <r>
          <rPr>
            <b/>
            <sz val="8"/>
            <rFont val="Tahoma"/>
            <family val="0"/>
          </rPr>
          <t>MCC:</t>
        </r>
        <r>
          <rPr>
            <sz val="8"/>
            <rFont val="Tahoma"/>
            <family val="0"/>
          </rPr>
          <t xml:space="preserve">
Multiplied by 0.5 Because is induced traffic</t>
        </r>
      </text>
    </comment>
    <comment ref="E7" authorId="0">
      <text>
        <r>
          <rPr>
            <b/>
            <sz val="8"/>
            <rFont val="Tahoma"/>
            <family val="0"/>
          </rPr>
          <t>MCC:</t>
        </r>
        <r>
          <rPr>
            <sz val="8"/>
            <rFont val="Tahoma"/>
            <family val="0"/>
          </rPr>
          <t xml:space="preserve">
Study of Periodic and Routine Maintenance Requirements of Mali's Road Network
k, April, 2003</t>
        </r>
      </text>
    </comment>
    <comment ref="D53" authorId="0">
      <text>
        <r>
          <rPr>
            <b/>
            <sz val="8"/>
            <rFont val="Tahoma"/>
            <family val="2"/>
          </rPr>
          <t>MCC:</t>
        </r>
        <r>
          <rPr>
            <sz val="8"/>
            <rFont val="Tahoma"/>
            <family val="0"/>
          </rPr>
          <t xml:space="preserve">
Changed from 134m FCFA as according to Pg. 4-45 of Pre-Feasibility this is what shld be spent, actually spending 32m FCFA.</t>
        </r>
      </text>
    </comment>
    <comment ref="D54" authorId="0">
      <text>
        <r>
          <rPr>
            <b/>
            <sz val="8"/>
            <rFont val="Tahoma"/>
            <family val="0"/>
          </rPr>
          <t>MCC:</t>
        </r>
        <r>
          <rPr>
            <sz val="8"/>
            <rFont val="Tahoma"/>
            <family val="0"/>
          </rPr>
          <t xml:space="preserve">
Changed to 90.3% of the figure used by Consultant to reflect the national percentage of O&amp;M expenses that are actually spent</t>
        </r>
      </text>
    </comment>
    <comment ref="D55" authorId="0">
      <text>
        <r>
          <rPr>
            <b/>
            <sz val="8"/>
            <rFont val="Tahoma"/>
            <family val="0"/>
          </rPr>
          <t>MCC:</t>
        </r>
        <r>
          <rPr>
            <sz val="8"/>
            <rFont val="Tahoma"/>
            <family val="0"/>
          </rPr>
          <t xml:space="preserve">
Changed to 90.3% of the figure used by Consultant to reflect the national percentage of O&amp;M expenses that are actually spent</t>
        </r>
      </text>
    </comment>
    <comment ref="D56" authorId="0">
      <text>
        <r>
          <rPr>
            <b/>
            <sz val="8"/>
            <rFont val="Tahoma"/>
            <family val="0"/>
          </rPr>
          <t>MCC:</t>
        </r>
        <r>
          <rPr>
            <sz val="8"/>
            <rFont val="Tahoma"/>
            <family val="0"/>
          </rPr>
          <t xml:space="preserve">
Changed to 90.3% of the figure used by Consultant to reflect the national percentage of O&amp;M expenses that are actually spent</t>
        </r>
      </text>
    </comment>
    <comment ref="D57" authorId="0">
      <text>
        <r>
          <rPr>
            <b/>
            <sz val="8"/>
            <rFont val="Tahoma"/>
            <family val="0"/>
          </rPr>
          <t>MCC:</t>
        </r>
        <r>
          <rPr>
            <sz val="8"/>
            <rFont val="Tahoma"/>
            <family val="0"/>
          </rPr>
          <t xml:space="preserve">
Changed to 90.3% of the figure used by Consultant to reflect the national percentage of O&amp;M expenses that are actually spent</t>
        </r>
      </text>
    </comment>
    <comment ref="D58" authorId="0">
      <text>
        <r>
          <rPr>
            <b/>
            <sz val="8"/>
            <rFont val="Tahoma"/>
            <family val="0"/>
          </rPr>
          <t>MCC:</t>
        </r>
        <r>
          <rPr>
            <sz val="8"/>
            <rFont val="Tahoma"/>
            <family val="0"/>
          </rPr>
          <t xml:space="preserve">
Changed to 90.3% of the figure used by Consultant to reflect the national percentage of O&amp;M expenses that are actually spent</t>
        </r>
      </text>
    </comment>
    <comment ref="D59" authorId="0">
      <text>
        <r>
          <rPr>
            <b/>
            <sz val="8"/>
            <rFont val="Tahoma"/>
            <family val="0"/>
          </rPr>
          <t>MCC:</t>
        </r>
        <r>
          <rPr>
            <sz val="8"/>
            <rFont val="Tahoma"/>
            <family val="0"/>
          </rPr>
          <t xml:space="preserve">
Changed to 90.3% of the figure used by Consultant to reflect the national percentage of O&amp;M expenses that are actually spent</t>
        </r>
      </text>
    </comment>
    <comment ref="D60" authorId="0">
      <text>
        <r>
          <rPr>
            <b/>
            <sz val="8"/>
            <rFont val="Tahoma"/>
            <family val="0"/>
          </rPr>
          <t>MCC:</t>
        </r>
        <r>
          <rPr>
            <sz val="8"/>
            <rFont val="Tahoma"/>
            <family val="0"/>
          </rPr>
          <t xml:space="preserve">
Changed to 90.3% of the figure used by Consultant to reflect the national percentage of O&amp;M expenses that are actually spent</t>
        </r>
      </text>
    </comment>
    <comment ref="D61" authorId="0">
      <text>
        <r>
          <rPr>
            <b/>
            <sz val="8"/>
            <rFont val="Tahoma"/>
            <family val="0"/>
          </rPr>
          <t>MCC:</t>
        </r>
        <r>
          <rPr>
            <sz val="8"/>
            <rFont val="Tahoma"/>
            <family val="0"/>
          </rPr>
          <t xml:space="preserve">
Changed to 90.3% of the figure used by Consultant to reflect the national percentage of O&amp;M expenses that are actually spent</t>
        </r>
      </text>
    </comment>
    <comment ref="D62" authorId="0">
      <text>
        <r>
          <rPr>
            <b/>
            <sz val="8"/>
            <rFont val="Tahoma"/>
            <family val="0"/>
          </rPr>
          <t>MCC:</t>
        </r>
        <r>
          <rPr>
            <sz val="8"/>
            <rFont val="Tahoma"/>
            <family val="0"/>
          </rPr>
          <t xml:space="preserve">
Changed to 90.3% of the figure used by Consultant to reflect the national percentage of O&amp;M expenses that are actually spent</t>
        </r>
      </text>
    </comment>
    <comment ref="D63" authorId="0">
      <text>
        <r>
          <rPr>
            <b/>
            <sz val="8"/>
            <rFont val="Tahoma"/>
            <family val="0"/>
          </rPr>
          <t>MCC:</t>
        </r>
        <r>
          <rPr>
            <sz val="8"/>
            <rFont val="Tahoma"/>
            <family val="0"/>
          </rPr>
          <t xml:space="preserve">
Changed to 90.3% of the figure used by Consultant to reflect the national percentage of O&amp;M expenses that are actually spent</t>
        </r>
      </text>
    </comment>
    <comment ref="D64" authorId="0">
      <text>
        <r>
          <rPr>
            <b/>
            <sz val="8"/>
            <rFont val="Tahoma"/>
            <family val="0"/>
          </rPr>
          <t>MCC:</t>
        </r>
        <r>
          <rPr>
            <sz val="8"/>
            <rFont val="Tahoma"/>
            <family val="0"/>
          </rPr>
          <t xml:space="preserve">
Changed to 90.3% of the figure used by Consultant to reflect the national percentage of O&amp;M expenses that are actually spent</t>
        </r>
      </text>
    </comment>
    <comment ref="D65" authorId="0">
      <text>
        <r>
          <rPr>
            <b/>
            <sz val="8"/>
            <rFont val="Tahoma"/>
            <family val="0"/>
          </rPr>
          <t>MCC:</t>
        </r>
        <r>
          <rPr>
            <sz val="8"/>
            <rFont val="Tahoma"/>
            <family val="0"/>
          </rPr>
          <t xml:space="preserve">
Changed to 90.3% of the figure used by Consultant to reflect the national percentage of O&amp;M expenses that are actually spent</t>
        </r>
      </text>
    </comment>
    <comment ref="D66" authorId="0">
      <text>
        <r>
          <rPr>
            <b/>
            <sz val="8"/>
            <rFont val="Tahoma"/>
            <family val="0"/>
          </rPr>
          <t>MCC:</t>
        </r>
        <r>
          <rPr>
            <sz val="8"/>
            <rFont val="Tahoma"/>
            <family val="0"/>
          </rPr>
          <t xml:space="preserve">
Changed to 90.3% of the figure used by Consultant to reflect the national percentage of O&amp;M expenses that are actually spent</t>
        </r>
      </text>
    </comment>
    <comment ref="D67" authorId="0">
      <text>
        <r>
          <rPr>
            <b/>
            <sz val="8"/>
            <rFont val="Tahoma"/>
            <family val="0"/>
          </rPr>
          <t>MCC:</t>
        </r>
        <r>
          <rPr>
            <sz val="8"/>
            <rFont val="Tahoma"/>
            <family val="0"/>
          </rPr>
          <t xml:space="preserve">
Changed to 90.3% of the figure used by Consultant to reflect the national percentage of O&amp;M expenses that are actually spent</t>
        </r>
      </text>
    </comment>
    <comment ref="D68" authorId="0">
      <text>
        <r>
          <rPr>
            <b/>
            <sz val="8"/>
            <rFont val="Tahoma"/>
            <family val="0"/>
          </rPr>
          <t>MCC:</t>
        </r>
        <r>
          <rPr>
            <sz val="8"/>
            <rFont val="Tahoma"/>
            <family val="0"/>
          </rPr>
          <t xml:space="preserve">
Changed to 90.3% of the figure used by Consultant to reflect the national percentage of O&amp;M expenses that are actually spent</t>
        </r>
      </text>
    </comment>
    <comment ref="D69" authorId="0">
      <text>
        <r>
          <rPr>
            <b/>
            <sz val="8"/>
            <rFont val="Tahoma"/>
            <family val="0"/>
          </rPr>
          <t>MCC:</t>
        </r>
        <r>
          <rPr>
            <sz val="8"/>
            <rFont val="Tahoma"/>
            <family val="0"/>
          </rPr>
          <t xml:space="preserve">
Changed to 90.3% of the figure used by Consultant to reflect the national percentage of O&amp;M expenses that are actually spent</t>
        </r>
      </text>
    </comment>
    <comment ref="D70" authorId="0">
      <text>
        <r>
          <rPr>
            <b/>
            <sz val="8"/>
            <rFont val="Tahoma"/>
            <family val="0"/>
          </rPr>
          <t>MCC:</t>
        </r>
        <r>
          <rPr>
            <sz val="8"/>
            <rFont val="Tahoma"/>
            <family val="0"/>
          </rPr>
          <t xml:space="preserve">
Changed to 90.3% of the figure used by Consultant to reflect the national percentage of O&amp;M expenses that are actually spent</t>
        </r>
      </text>
    </comment>
    <comment ref="D71" authorId="0">
      <text>
        <r>
          <rPr>
            <b/>
            <sz val="8"/>
            <rFont val="Tahoma"/>
            <family val="0"/>
          </rPr>
          <t>MCC:</t>
        </r>
        <r>
          <rPr>
            <sz val="8"/>
            <rFont val="Tahoma"/>
            <family val="0"/>
          </rPr>
          <t xml:space="preserve">
Changed to 90.3% of the figure used by Consultant to reflect the national percentage of O&amp;M expenses that are actually spent</t>
        </r>
      </text>
    </comment>
    <comment ref="D72" authorId="0">
      <text>
        <r>
          <rPr>
            <b/>
            <sz val="8"/>
            <rFont val="Tahoma"/>
            <family val="0"/>
          </rPr>
          <t>MCC:</t>
        </r>
        <r>
          <rPr>
            <sz val="8"/>
            <rFont val="Tahoma"/>
            <family val="0"/>
          </rPr>
          <t xml:space="preserve">
Changed to 90.3% of the figure used by Consultant to reflect the national percentage of O&amp;M expenses that are actually spent</t>
        </r>
      </text>
    </comment>
    <comment ref="D73" authorId="0">
      <text>
        <r>
          <rPr>
            <b/>
            <sz val="8"/>
            <rFont val="Tahoma"/>
            <family val="0"/>
          </rPr>
          <t>MCC:</t>
        </r>
        <r>
          <rPr>
            <sz val="8"/>
            <rFont val="Tahoma"/>
            <family val="0"/>
          </rPr>
          <t xml:space="preserve">
Changed to 90.3% of the figure used by Consultant to reflect the national percentage of O&amp;M expenses that are actually spent</t>
        </r>
      </text>
    </comment>
    <comment ref="D74" authorId="0">
      <text>
        <r>
          <rPr>
            <b/>
            <sz val="8"/>
            <rFont val="Tahoma"/>
            <family val="0"/>
          </rPr>
          <t>MCC:</t>
        </r>
        <r>
          <rPr>
            <sz val="8"/>
            <rFont val="Tahoma"/>
            <family val="0"/>
          </rPr>
          <t xml:space="preserve">
Changed to 90.3% of the figure used by Consultant to reflect the national percentage of O&amp;M expenses that are actually spent</t>
        </r>
      </text>
    </comment>
    <comment ref="D75" authorId="0">
      <text>
        <r>
          <rPr>
            <b/>
            <sz val="8"/>
            <rFont val="Tahoma"/>
            <family val="0"/>
          </rPr>
          <t>MCC:</t>
        </r>
        <r>
          <rPr>
            <sz val="8"/>
            <rFont val="Tahoma"/>
            <family val="0"/>
          </rPr>
          <t xml:space="preserve">
Changed to 90.3% of the figure used by Consultant to reflect the national percentage of O&amp;M expenses that are actually spent</t>
        </r>
      </text>
    </comment>
    <comment ref="C55" authorId="0">
      <text>
        <r>
          <rPr>
            <b/>
            <sz val="8"/>
            <rFont val="Tahoma"/>
            <family val="0"/>
          </rPr>
          <t>MCC:</t>
        </r>
        <r>
          <rPr>
            <sz val="8"/>
            <rFont val="Tahoma"/>
            <family val="0"/>
          </rPr>
          <t xml:space="preserve">
Price Contigency not included in economic analysis</t>
        </r>
      </text>
    </comment>
    <comment ref="E5" authorId="0">
      <text>
        <r>
          <rPr>
            <b/>
            <sz val="8"/>
            <rFont val="Tahoma"/>
            <family val="0"/>
          </rPr>
          <t>MCC:</t>
        </r>
        <r>
          <rPr>
            <sz val="8"/>
            <rFont val="Tahoma"/>
            <family val="0"/>
          </rPr>
          <t xml:space="preserve">
Provided by Benard</t>
        </r>
      </text>
    </comment>
    <comment ref="H10" authorId="0">
      <text>
        <r>
          <rPr>
            <b/>
            <sz val="8"/>
            <rFont val="Tahoma"/>
            <family val="0"/>
          </rPr>
          <t>MCC:</t>
        </r>
        <r>
          <rPr>
            <sz val="8"/>
            <rFont val="Tahoma"/>
            <family val="0"/>
          </rPr>
          <t xml:space="preserve">
Consultant is 1</t>
        </r>
      </text>
    </comment>
    <comment ref="H12" authorId="0">
      <text>
        <r>
          <rPr>
            <b/>
            <sz val="8"/>
            <rFont val="Tahoma"/>
            <family val="0"/>
          </rPr>
          <t>MCC:</t>
        </r>
        <r>
          <rPr>
            <sz val="8"/>
            <rFont val="Tahoma"/>
            <family val="0"/>
          </rPr>
          <t xml:space="preserve">
Consultant is 0.5</t>
        </r>
      </text>
    </comment>
    <comment ref="H23" authorId="0">
      <text>
        <r>
          <rPr>
            <b/>
            <sz val="8"/>
            <rFont val="Tahoma"/>
            <family val="0"/>
          </rPr>
          <t>MCC:</t>
        </r>
        <r>
          <rPr>
            <sz val="8"/>
            <rFont val="Tahoma"/>
            <family val="0"/>
          </rPr>
          <t xml:space="preserve">
Uses Consultant Methodology but Model projects of Produce Traffic Rather than Consultant</t>
        </r>
      </text>
    </comment>
    <comment ref="I23" authorId="0">
      <text>
        <r>
          <rPr>
            <b/>
            <sz val="8"/>
            <rFont val="Tahoma"/>
            <family val="0"/>
          </rPr>
          <t>MCC:</t>
        </r>
        <r>
          <rPr>
            <sz val="8"/>
            <rFont val="Tahoma"/>
            <family val="0"/>
          </rPr>
          <t xml:space="preserve">
Uses Consultant Methodology but Model projects of Produce Traffic Rather than Consultant</t>
        </r>
      </text>
    </comment>
    <comment ref="H24" authorId="0">
      <text>
        <r>
          <rPr>
            <b/>
            <sz val="8"/>
            <rFont val="Tahoma"/>
            <family val="0"/>
          </rPr>
          <t>MCC:</t>
        </r>
        <r>
          <rPr>
            <sz val="8"/>
            <rFont val="Tahoma"/>
            <family val="0"/>
          </rPr>
          <t xml:space="preserve">
Uses Consultant Methodology but Model projects of Produce Traffic Rather than Consultant</t>
        </r>
      </text>
    </comment>
    <comment ref="I24" authorId="0">
      <text>
        <r>
          <rPr>
            <b/>
            <sz val="8"/>
            <rFont val="Tahoma"/>
            <family val="0"/>
          </rPr>
          <t>MCC:</t>
        </r>
        <r>
          <rPr>
            <sz val="8"/>
            <rFont val="Tahoma"/>
            <family val="0"/>
          </rPr>
          <t xml:space="preserve">
Uses Consultant Methodology but Model projects of Produce Traffic Rather than Consultant</t>
        </r>
      </text>
    </comment>
    <comment ref="H25" authorId="0">
      <text>
        <r>
          <rPr>
            <b/>
            <sz val="8"/>
            <rFont val="Tahoma"/>
            <family val="0"/>
          </rPr>
          <t>MCC:</t>
        </r>
        <r>
          <rPr>
            <sz val="8"/>
            <rFont val="Tahoma"/>
            <family val="0"/>
          </rPr>
          <t xml:space="preserve">
Uses Consultant Methodology but Model projects of Produce Traffic Rather than Consultant</t>
        </r>
      </text>
    </comment>
    <comment ref="I25" authorId="0">
      <text>
        <r>
          <rPr>
            <b/>
            <sz val="8"/>
            <rFont val="Tahoma"/>
            <family val="0"/>
          </rPr>
          <t>MCC:</t>
        </r>
        <r>
          <rPr>
            <sz val="8"/>
            <rFont val="Tahoma"/>
            <family val="0"/>
          </rPr>
          <t xml:space="preserve">
Uses Consultant Methodology but Model projects of Produce Traffic Rather than Consultant</t>
        </r>
      </text>
    </comment>
    <comment ref="H26" authorId="0">
      <text>
        <r>
          <rPr>
            <b/>
            <sz val="8"/>
            <rFont val="Tahoma"/>
            <family val="2"/>
          </rPr>
          <t>MCC:</t>
        </r>
        <r>
          <rPr>
            <sz val="8"/>
            <rFont val="Tahoma"/>
            <family val="0"/>
          </rPr>
          <t xml:space="preserve">
Uses Consultant Methodology but Model projects of Produce Traffic Rather than Consultant</t>
        </r>
      </text>
    </comment>
    <comment ref="I26" authorId="0">
      <text>
        <r>
          <rPr>
            <b/>
            <sz val="8"/>
            <rFont val="Tahoma"/>
            <family val="0"/>
          </rPr>
          <t>MCC:</t>
        </r>
        <r>
          <rPr>
            <sz val="8"/>
            <rFont val="Tahoma"/>
            <family val="0"/>
          </rPr>
          <t xml:space="preserve">
Uses Consultant Methodology but Model projects of Produce Traffic Rather than Consultant</t>
        </r>
      </text>
    </comment>
    <comment ref="H27" authorId="0">
      <text>
        <r>
          <rPr>
            <b/>
            <sz val="8"/>
            <rFont val="Tahoma"/>
            <family val="0"/>
          </rPr>
          <t>MCC:</t>
        </r>
        <r>
          <rPr>
            <sz val="8"/>
            <rFont val="Tahoma"/>
            <family val="0"/>
          </rPr>
          <t xml:space="preserve">
Uses Consultant Methodology but Model projects of Produce Traffic Rather than Consultant</t>
        </r>
      </text>
    </comment>
    <comment ref="I27" authorId="0">
      <text>
        <r>
          <rPr>
            <b/>
            <sz val="8"/>
            <rFont val="Tahoma"/>
            <family val="0"/>
          </rPr>
          <t>MCC:</t>
        </r>
        <r>
          <rPr>
            <sz val="8"/>
            <rFont val="Tahoma"/>
            <family val="0"/>
          </rPr>
          <t xml:space="preserve">
Uses Consultant Methodology but Model projects of Produce Traffic Rather than Consultant</t>
        </r>
      </text>
    </comment>
    <comment ref="H28" authorId="0">
      <text>
        <r>
          <rPr>
            <b/>
            <sz val="8"/>
            <rFont val="Tahoma"/>
            <family val="0"/>
          </rPr>
          <t>MCC:</t>
        </r>
        <r>
          <rPr>
            <sz val="8"/>
            <rFont val="Tahoma"/>
            <family val="0"/>
          </rPr>
          <t xml:space="preserve">
Uses Consultant Methodology but Model projects of Produce Traffic Rather than Consultant</t>
        </r>
      </text>
    </comment>
    <comment ref="I28" authorId="0">
      <text>
        <r>
          <rPr>
            <b/>
            <sz val="8"/>
            <rFont val="Tahoma"/>
            <family val="0"/>
          </rPr>
          <t>MCC:</t>
        </r>
        <r>
          <rPr>
            <sz val="8"/>
            <rFont val="Tahoma"/>
            <family val="0"/>
          </rPr>
          <t xml:space="preserve">
Uses Consultant Methodology but Model projects of Produce Traffic Rather than Consultant</t>
        </r>
      </text>
    </comment>
    <comment ref="H29" authorId="0">
      <text>
        <r>
          <rPr>
            <b/>
            <sz val="8"/>
            <rFont val="Tahoma"/>
            <family val="0"/>
          </rPr>
          <t>MCC:</t>
        </r>
        <r>
          <rPr>
            <sz val="8"/>
            <rFont val="Tahoma"/>
            <family val="0"/>
          </rPr>
          <t xml:space="preserve">
Uses Consultant Methodology but Model projects of Produce Traffic Rather than Consultant</t>
        </r>
      </text>
    </comment>
    <comment ref="I29" authorId="0">
      <text>
        <r>
          <rPr>
            <b/>
            <sz val="8"/>
            <rFont val="Tahoma"/>
            <family val="0"/>
          </rPr>
          <t>MCC:</t>
        </r>
        <r>
          <rPr>
            <sz val="8"/>
            <rFont val="Tahoma"/>
            <family val="0"/>
          </rPr>
          <t xml:space="preserve">
Uses Consultant Methodology but Model projects of Produce Traffic Rather than Consultant</t>
        </r>
      </text>
    </comment>
    <comment ref="H30" authorId="0">
      <text>
        <r>
          <rPr>
            <b/>
            <sz val="8"/>
            <rFont val="Tahoma"/>
            <family val="0"/>
          </rPr>
          <t>MCC:</t>
        </r>
        <r>
          <rPr>
            <sz val="8"/>
            <rFont val="Tahoma"/>
            <family val="0"/>
          </rPr>
          <t xml:space="preserve">
Uses Consultant Methodology but Model projects of Produce Traffic Rather than Consultant</t>
        </r>
      </text>
    </comment>
    <comment ref="I30" authorId="0">
      <text>
        <r>
          <rPr>
            <b/>
            <sz val="8"/>
            <rFont val="Tahoma"/>
            <family val="0"/>
          </rPr>
          <t>MCC:</t>
        </r>
        <r>
          <rPr>
            <sz val="8"/>
            <rFont val="Tahoma"/>
            <family val="0"/>
          </rPr>
          <t xml:space="preserve">
Uses Consultant Methodology but Model projects of Produce Traffic Rather than Consultant</t>
        </r>
      </text>
    </comment>
    <comment ref="H31" authorId="0">
      <text>
        <r>
          <rPr>
            <b/>
            <sz val="8"/>
            <rFont val="Tahoma"/>
            <family val="0"/>
          </rPr>
          <t>MCC:</t>
        </r>
        <r>
          <rPr>
            <sz val="8"/>
            <rFont val="Tahoma"/>
            <family val="0"/>
          </rPr>
          <t xml:space="preserve">
Uses Consultant Methodology but Model projects of Produce Traffic Rather than Consultant</t>
        </r>
      </text>
    </comment>
    <comment ref="I31" authorId="0">
      <text>
        <r>
          <rPr>
            <b/>
            <sz val="8"/>
            <rFont val="Tahoma"/>
            <family val="0"/>
          </rPr>
          <t>MCC:</t>
        </r>
        <r>
          <rPr>
            <sz val="8"/>
            <rFont val="Tahoma"/>
            <family val="0"/>
          </rPr>
          <t xml:space="preserve">
Uses Consultant Methodology but Model projects of Produce Traffic Rather than Consultant</t>
        </r>
      </text>
    </comment>
    <comment ref="H32" authorId="0">
      <text>
        <r>
          <rPr>
            <b/>
            <sz val="8"/>
            <rFont val="Tahoma"/>
            <family val="0"/>
          </rPr>
          <t>MCC:</t>
        </r>
        <r>
          <rPr>
            <sz val="8"/>
            <rFont val="Tahoma"/>
            <family val="0"/>
          </rPr>
          <t xml:space="preserve">
Uses Consultant Methodology but Model projects of Produce Traffic Rather than Consultant</t>
        </r>
      </text>
    </comment>
    <comment ref="I32" authorId="0">
      <text>
        <r>
          <rPr>
            <b/>
            <sz val="8"/>
            <rFont val="Tahoma"/>
            <family val="0"/>
          </rPr>
          <t>MCC:</t>
        </r>
        <r>
          <rPr>
            <sz val="8"/>
            <rFont val="Tahoma"/>
            <family val="0"/>
          </rPr>
          <t xml:space="preserve">
Uses Consultant Methodology but Model projects of Produce Traffic Rather than Consultant</t>
        </r>
      </text>
    </comment>
    <comment ref="H33" authorId="0">
      <text>
        <r>
          <rPr>
            <b/>
            <sz val="8"/>
            <rFont val="Tahoma"/>
            <family val="0"/>
          </rPr>
          <t>MCC:</t>
        </r>
        <r>
          <rPr>
            <sz val="8"/>
            <rFont val="Tahoma"/>
            <family val="0"/>
          </rPr>
          <t xml:space="preserve">
Uses Consultant Methodology but Model projects of Produce Traffic Rather than Consultant</t>
        </r>
      </text>
    </comment>
    <comment ref="I33" authorId="0">
      <text>
        <r>
          <rPr>
            <b/>
            <sz val="8"/>
            <rFont val="Tahoma"/>
            <family val="0"/>
          </rPr>
          <t>MCC:</t>
        </r>
        <r>
          <rPr>
            <sz val="8"/>
            <rFont val="Tahoma"/>
            <family val="0"/>
          </rPr>
          <t xml:space="preserve">
Uses Consultant Methodology but Model projects of Produce Traffic Rather than Consultant</t>
        </r>
      </text>
    </comment>
    <comment ref="H34" authorId="0">
      <text>
        <r>
          <rPr>
            <b/>
            <sz val="8"/>
            <rFont val="Tahoma"/>
            <family val="0"/>
          </rPr>
          <t>MCC:</t>
        </r>
        <r>
          <rPr>
            <sz val="8"/>
            <rFont val="Tahoma"/>
            <family val="0"/>
          </rPr>
          <t xml:space="preserve">
Uses Consultant Methodology but Model projects of Produce Traffic Rather than Consultant</t>
        </r>
      </text>
    </comment>
    <comment ref="I34" authorId="0">
      <text>
        <r>
          <rPr>
            <b/>
            <sz val="8"/>
            <rFont val="Tahoma"/>
            <family val="0"/>
          </rPr>
          <t>MCC:</t>
        </r>
        <r>
          <rPr>
            <sz val="8"/>
            <rFont val="Tahoma"/>
            <family val="0"/>
          </rPr>
          <t xml:space="preserve">
Uses Consultant Methodology but Model projects of Produce Traffic Rather than Consultant</t>
        </r>
      </text>
    </comment>
    <comment ref="H35" authorId="0">
      <text>
        <r>
          <rPr>
            <b/>
            <sz val="8"/>
            <rFont val="Tahoma"/>
            <family val="2"/>
          </rPr>
          <t>MCC:</t>
        </r>
        <r>
          <rPr>
            <sz val="8"/>
            <rFont val="Tahoma"/>
            <family val="0"/>
          </rPr>
          <t xml:space="preserve">
Uses Consultant Methodology but Model projects of Produce Traffic Rather than Consultant</t>
        </r>
      </text>
    </comment>
    <comment ref="I35" authorId="0">
      <text>
        <r>
          <rPr>
            <b/>
            <sz val="8"/>
            <rFont val="Tahoma"/>
            <family val="0"/>
          </rPr>
          <t>MCC:</t>
        </r>
        <r>
          <rPr>
            <sz val="8"/>
            <rFont val="Tahoma"/>
            <family val="0"/>
          </rPr>
          <t xml:space="preserve">
Uses Consultant Methodology but Model projects of Produce Traffic Rather than Consultant</t>
        </r>
      </text>
    </comment>
    <comment ref="H36" authorId="0">
      <text>
        <r>
          <rPr>
            <b/>
            <sz val="8"/>
            <rFont val="Tahoma"/>
            <family val="0"/>
          </rPr>
          <t>MCC:</t>
        </r>
        <r>
          <rPr>
            <sz val="8"/>
            <rFont val="Tahoma"/>
            <family val="0"/>
          </rPr>
          <t xml:space="preserve">
Uses Consultant Methodology but Model projects of Produce Traffic Rather than Consultant</t>
        </r>
      </text>
    </comment>
    <comment ref="I36" authorId="0">
      <text>
        <r>
          <rPr>
            <b/>
            <sz val="8"/>
            <rFont val="Tahoma"/>
            <family val="0"/>
          </rPr>
          <t>MCC:</t>
        </r>
        <r>
          <rPr>
            <sz val="8"/>
            <rFont val="Tahoma"/>
            <family val="0"/>
          </rPr>
          <t xml:space="preserve">
Uses Consultant Methodology but Model projects of Produce Traffic Rather than Consultant</t>
        </r>
      </text>
    </comment>
    <comment ref="H37" authorId="0">
      <text>
        <r>
          <rPr>
            <b/>
            <sz val="8"/>
            <rFont val="Tahoma"/>
            <family val="0"/>
          </rPr>
          <t>MCC:</t>
        </r>
        <r>
          <rPr>
            <sz val="8"/>
            <rFont val="Tahoma"/>
            <family val="0"/>
          </rPr>
          <t xml:space="preserve">
Uses Consultant Methodology but Model projects of Produce Traffic Rather than Consultant</t>
        </r>
      </text>
    </comment>
    <comment ref="I37" authorId="0">
      <text>
        <r>
          <rPr>
            <b/>
            <sz val="8"/>
            <rFont val="Tahoma"/>
            <family val="0"/>
          </rPr>
          <t>MCC:</t>
        </r>
        <r>
          <rPr>
            <sz val="8"/>
            <rFont val="Tahoma"/>
            <family val="0"/>
          </rPr>
          <t xml:space="preserve">
Uses Consultant Methodology but Model projects of Produce Traffic Rather than Consultant</t>
        </r>
      </text>
    </comment>
    <comment ref="H38" authorId="0">
      <text>
        <r>
          <rPr>
            <b/>
            <sz val="8"/>
            <rFont val="Tahoma"/>
            <family val="2"/>
          </rPr>
          <t>MCC:</t>
        </r>
        <r>
          <rPr>
            <sz val="8"/>
            <rFont val="Tahoma"/>
            <family val="0"/>
          </rPr>
          <t xml:space="preserve">
Uses Consultant Methodology but Model projects of Produce Traffic Rather than Consultant</t>
        </r>
      </text>
    </comment>
    <comment ref="I38" authorId="0">
      <text>
        <r>
          <rPr>
            <b/>
            <sz val="8"/>
            <rFont val="Tahoma"/>
            <family val="0"/>
          </rPr>
          <t>MCC:</t>
        </r>
        <r>
          <rPr>
            <sz val="8"/>
            <rFont val="Tahoma"/>
            <family val="0"/>
          </rPr>
          <t xml:space="preserve">
Uses Consultant Methodology but Model projects of Produce Traffic Rather than Consultant</t>
        </r>
      </text>
    </comment>
    <comment ref="H39" authorId="0">
      <text>
        <r>
          <rPr>
            <b/>
            <sz val="8"/>
            <rFont val="Tahoma"/>
            <family val="0"/>
          </rPr>
          <t>MCC:</t>
        </r>
        <r>
          <rPr>
            <sz val="8"/>
            <rFont val="Tahoma"/>
            <family val="0"/>
          </rPr>
          <t xml:space="preserve">
Uses Consultant Methodology but Model projects of Produce Traffic Rather than Consultant</t>
        </r>
      </text>
    </comment>
    <comment ref="I39" authorId="0">
      <text>
        <r>
          <rPr>
            <b/>
            <sz val="8"/>
            <rFont val="Tahoma"/>
            <family val="0"/>
          </rPr>
          <t>MCC:</t>
        </r>
        <r>
          <rPr>
            <sz val="8"/>
            <rFont val="Tahoma"/>
            <family val="0"/>
          </rPr>
          <t xml:space="preserve">
Uses Consultant Methodology but Model projects of Produce Traffic Rather than Consultant</t>
        </r>
      </text>
    </comment>
    <comment ref="H40" authorId="0">
      <text>
        <r>
          <rPr>
            <b/>
            <sz val="8"/>
            <rFont val="Tahoma"/>
            <family val="0"/>
          </rPr>
          <t>MCC:</t>
        </r>
        <r>
          <rPr>
            <sz val="8"/>
            <rFont val="Tahoma"/>
            <family val="0"/>
          </rPr>
          <t xml:space="preserve">
Uses Consultant Methodology but Model projects of Produce Traffic Rather than Consultant</t>
        </r>
      </text>
    </comment>
    <comment ref="I40" authorId="0">
      <text>
        <r>
          <rPr>
            <b/>
            <sz val="8"/>
            <rFont val="Tahoma"/>
            <family val="0"/>
          </rPr>
          <t>MCC:</t>
        </r>
        <r>
          <rPr>
            <sz val="8"/>
            <rFont val="Tahoma"/>
            <family val="0"/>
          </rPr>
          <t xml:space="preserve">
Uses Consultant Methodology but Model projects of Produce Traffic Rather than Consultant</t>
        </r>
      </text>
    </comment>
    <comment ref="H41" authorId="0">
      <text>
        <r>
          <rPr>
            <b/>
            <sz val="8"/>
            <rFont val="Tahoma"/>
            <family val="0"/>
          </rPr>
          <t>MCC:</t>
        </r>
        <r>
          <rPr>
            <sz val="8"/>
            <rFont val="Tahoma"/>
            <family val="0"/>
          </rPr>
          <t xml:space="preserve">
Uses Consultant Methodology but Model projects of Produce Traffic Rather than Consultant</t>
        </r>
      </text>
    </comment>
    <comment ref="I41" authorId="0">
      <text>
        <r>
          <rPr>
            <b/>
            <sz val="8"/>
            <rFont val="Tahoma"/>
            <family val="0"/>
          </rPr>
          <t>MCC:</t>
        </r>
        <r>
          <rPr>
            <sz val="8"/>
            <rFont val="Tahoma"/>
            <family val="0"/>
          </rPr>
          <t xml:space="preserve">
Uses Consultant Methodology but Model projects of Produce Traffic Rather than Consultant</t>
        </r>
      </text>
    </comment>
    <comment ref="H42" authorId="0">
      <text>
        <r>
          <rPr>
            <b/>
            <sz val="8"/>
            <rFont val="Tahoma"/>
            <family val="0"/>
          </rPr>
          <t>MCC:</t>
        </r>
        <r>
          <rPr>
            <sz val="8"/>
            <rFont val="Tahoma"/>
            <family val="0"/>
          </rPr>
          <t xml:space="preserve">
Uses Consultant Methodology but Model projects of Produce Traffic Rather than Consultant</t>
        </r>
      </text>
    </comment>
    <comment ref="I42" authorId="0">
      <text>
        <r>
          <rPr>
            <b/>
            <sz val="8"/>
            <rFont val="Tahoma"/>
            <family val="0"/>
          </rPr>
          <t>MCC:</t>
        </r>
        <r>
          <rPr>
            <sz val="8"/>
            <rFont val="Tahoma"/>
            <family val="0"/>
          </rPr>
          <t xml:space="preserve">
Uses Consultant Methodology but Model projects of Produce Traffic Rather than Consultant</t>
        </r>
      </text>
    </comment>
    <comment ref="Q23" authorId="0">
      <text>
        <r>
          <rPr>
            <b/>
            <sz val="8"/>
            <rFont val="Tahoma"/>
            <family val="0"/>
          </rPr>
          <t>MCC:</t>
        </r>
        <r>
          <rPr>
            <sz val="8"/>
            <rFont val="Tahoma"/>
            <family val="0"/>
          </rPr>
          <t xml:space="preserve">
Uses Consultant Methodology but Model projects of Produce Traffic Rather than Consultant</t>
        </r>
      </text>
    </comment>
    <comment ref="R23" authorId="0">
      <text>
        <r>
          <rPr>
            <b/>
            <sz val="8"/>
            <rFont val="Tahoma"/>
            <family val="0"/>
          </rPr>
          <t>MCC:</t>
        </r>
        <r>
          <rPr>
            <sz val="8"/>
            <rFont val="Tahoma"/>
            <family val="0"/>
          </rPr>
          <t xml:space="preserve">
Uses Consultant Methodology but Model projects of Produce Traffic Rather than Consultant</t>
        </r>
      </text>
    </comment>
    <comment ref="Q24" authorId="0">
      <text>
        <r>
          <rPr>
            <b/>
            <sz val="8"/>
            <rFont val="Tahoma"/>
            <family val="0"/>
          </rPr>
          <t>MCC:</t>
        </r>
        <r>
          <rPr>
            <sz val="8"/>
            <rFont val="Tahoma"/>
            <family val="0"/>
          </rPr>
          <t xml:space="preserve">
Uses Consultant Methodology but Model projects of Produce Traffic Rather than Consultant</t>
        </r>
      </text>
    </comment>
    <comment ref="R24" authorId="0">
      <text>
        <r>
          <rPr>
            <b/>
            <sz val="8"/>
            <rFont val="Tahoma"/>
            <family val="0"/>
          </rPr>
          <t>MCC:</t>
        </r>
        <r>
          <rPr>
            <sz val="8"/>
            <rFont val="Tahoma"/>
            <family val="0"/>
          </rPr>
          <t xml:space="preserve">
Uses Consultant Methodology but Model projects of Produce Traffic Rather than Consultant</t>
        </r>
      </text>
    </comment>
    <comment ref="Q25" authorId="0">
      <text>
        <r>
          <rPr>
            <b/>
            <sz val="8"/>
            <rFont val="Tahoma"/>
            <family val="0"/>
          </rPr>
          <t>MCC:</t>
        </r>
        <r>
          <rPr>
            <sz val="8"/>
            <rFont val="Tahoma"/>
            <family val="0"/>
          </rPr>
          <t xml:space="preserve">
Uses Consultant Methodology but Model projects of Produce Traffic Rather than Consultant</t>
        </r>
      </text>
    </comment>
    <comment ref="R25" authorId="0">
      <text>
        <r>
          <rPr>
            <b/>
            <sz val="8"/>
            <rFont val="Tahoma"/>
            <family val="0"/>
          </rPr>
          <t>MCC:</t>
        </r>
        <r>
          <rPr>
            <sz val="8"/>
            <rFont val="Tahoma"/>
            <family val="0"/>
          </rPr>
          <t xml:space="preserve">
Uses Consultant Methodology but Model projects of Produce Traffic Rather than Consultant</t>
        </r>
      </text>
    </comment>
    <comment ref="Q26" authorId="0">
      <text>
        <r>
          <rPr>
            <b/>
            <sz val="8"/>
            <rFont val="Tahoma"/>
            <family val="0"/>
          </rPr>
          <t>MCC:</t>
        </r>
        <r>
          <rPr>
            <sz val="8"/>
            <rFont val="Tahoma"/>
            <family val="0"/>
          </rPr>
          <t xml:space="preserve">
Uses Consultant Methodology but Model projects of Produce Traffic Rather than Consultant</t>
        </r>
      </text>
    </comment>
    <comment ref="R26" authorId="0">
      <text>
        <r>
          <rPr>
            <b/>
            <sz val="8"/>
            <rFont val="Tahoma"/>
            <family val="0"/>
          </rPr>
          <t>MCC:</t>
        </r>
        <r>
          <rPr>
            <sz val="8"/>
            <rFont val="Tahoma"/>
            <family val="0"/>
          </rPr>
          <t xml:space="preserve">
Uses Consultant Methodology but Model projects of Produce Traffic Rather than Consultant</t>
        </r>
      </text>
    </comment>
    <comment ref="Q27" authorId="0">
      <text>
        <r>
          <rPr>
            <b/>
            <sz val="8"/>
            <rFont val="Tahoma"/>
            <family val="0"/>
          </rPr>
          <t>MCC:</t>
        </r>
        <r>
          <rPr>
            <sz val="8"/>
            <rFont val="Tahoma"/>
            <family val="0"/>
          </rPr>
          <t xml:space="preserve">
Uses Consultant Methodology but Model projects of Produce Traffic Rather than Consultant</t>
        </r>
      </text>
    </comment>
    <comment ref="R27" authorId="0">
      <text>
        <r>
          <rPr>
            <b/>
            <sz val="8"/>
            <rFont val="Tahoma"/>
            <family val="0"/>
          </rPr>
          <t>MCC:</t>
        </r>
        <r>
          <rPr>
            <sz val="8"/>
            <rFont val="Tahoma"/>
            <family val="0"/>
          </rPr>
          <t xml:space="preserve">
Uses Consultant Methodology but Model projects of Produce Traffic Rather than Consultant</t>
        </r>
      </text>
    </comment>
    <comment ref="Q28" authorId="0">
      <text>
        <r>
          <rPr>
            <b/>
            <sz val="8"/>
            <rFont val="Tahoma"/>
            <family val="0"/>
          </rPr>
          <t>MCC:</t>
        </r>
        <r>
          <rPr>
            <sz val="8"/>
            <rFont val="Tahoma"/>
            <family val="0"/>
          </rPr>
          <t xml:space="preserve">
Uses Consultant Methodology but Model projects of Produce Traffic Rather than Consultant</t>
        </r>
      </text>
    </comment>
    <comment ref="R28" authorId="0">
      <text>
        <r>
          <rPr>
            <b/>
            <sz val="8"/>
            <rFont val="Tahoma"/>
            <family val="0"/>
          </rPr>
          <t>MCC:</t>
        </r>
        <r>
          <rPr>
            <sz val="8"/>
            <rFont val="Tahoma"/>
            <family val="0"/>
          </rPr>
          <t xml:space="preserve">
Uses Consultant Methodology but Model projects of Produce Traffic Rather than Consultant</t>
        </r>
      </text>
    </comment>
    <comment ref="Q29" authorId="0">
      <text>
        <r>
          <rPr>
            <b/>
            <sz val="8"/>
            <rFont val="Tahoma"/>
            <family val="0"/>
          </rPr>
          <t>MCC:</t>
        </r>
        <r>
          <rPr>
            <sz val="8"/>
            <rFont val="Tahoma"/>
            <family val="0"/>
          </rPr>
          <t xml:space="preserve">
Uses Consultant Methodology but Model projects of Produce Traffic Rather than Consultant</t>
        </r>
      </text>
    </comment>
    <comment ref="R29" authorId="0">
      <text>
        <r>
          <rPr>
            <b/>
            <sz val="8"/>
            <rFont val="Tahoma"/>
            <family val="0"/>
          </rPr>
          <t>MCC:</t>
        </r>
        <r>
          <rPr>
            <sz val="8"/>
            <rFont val="Tahoma"/>
            <family val="0"/>
          </rPr>
          <t xml:space="preserve">
Uses Consultant Methodology but Model projects of Produce Traffic Rather than Consultant</t>
        </r>
      </text>
    </comment>
    <comment ref="Q30" authorId="0">
      <text>
        <r>
          <rPr>
            <b/>
            <sz val="8"/>
            <rFont val="Tahoma"/>
            <family val="0"/>
          </rPr>
          <t>MCC:</t>
        </r>
        <r>
          <rPr>
            <sz val="8"/>
            <rFont val="Tahoma"/>
            <family val="0"/>
          </rPr>
          <t xml:space="preserve">
Uses Consultant Methodology but Model projects of Produce Traffic Rather than Consultant</t>
        </r>
      </text>
    </comment>
    <comment ref="R30" authorId="0">
      <text>
        <r>
          <rPr>
            <b/>
            <sz val="8"/>
            <rFont val="Tahoma"/>
            <family val="0"/>
          </rPr>
          <t>MCC:</t>
        </r>
        <r>
          <rPr>
            <sz val="8"/>
            <rFont val="Tahoma"/>
            <family val="0"/>
          </rPr>
          <t xml:space="preserve">
Uses Consultant Methodology but Model projects of Produce Traffic Rather than Consultant</t>
        </r>
      </text>
    </comment>
    <comment ref="Q31" authorId="0">
      <text>
        <r>
          <rPr>
            <b/>
            <sz val="8"/>
            <rFont val="Tahoma"/>
            <family val="0"/>
          </rPr>
          <t>MCC:</t>
        </r>
        <r>
          <rPr>
            <sz val="8"/>
            <rFont val="Tahoma"/>
            <family val="0"/>
          </rPr>
          <t xml:space="preserve">
Uses Consultant Methodology but Model projects of Produce Traffic Rather than Consultant</t>
        </r>
      </text>
    </comment>
    <comment ref="R31" authorId="0">
      <text>
        <r>
          <rPr>
            <b/>
            <sz val="8"/>
            <rFont val="Tahoma"/>
            <family val="0"/>
          </rPr>
          <t>MCC:</t>
        </r>
        <r>
          <rPr>
            <sz val="8"/>
            <rFont val="Tahoma"/>
            <family val="0"/>
          </rPr>
          <t xml:space="preserve">
Uses Consultant Methodology but Model projects of Produce Traffic Rather than Consultant</t>
        </r>
      </text>
    </comment>
    <comment ref="Q32" authorId="0">
      <text>
        <r>
          <rPr>
            <b/>
            <sz val="8"/>
            <rFont val="Tahoma"/>
            <family val="0"/>
          </rPr>
          <t>MCC:</t>
        </r>
        <r>
          <rPr>
            <sz val="8"/>
            <rFont val="Tahoma"/>
            <family val="0"/>
          </rPr>
          <t xml:space="preserve">
Uses Consultant Methodology but Model projects of Produce Traffic Rather than Consultant</t>
        </r>
      </text>
    </comment>
    <comment ref="R32" authorId="0">
      <text>
        <r>
          <rPr>
            <b/>
            <sz val="8"/>
            <rFont val="Tahoma"/>
            <family val="0"/>
          </rPr>
          <t>MCC:</t>
        </r>
        <r>
          <rPr>
            <sz val="8"/>
            <rFont val="Tahoma"/>
            <family val="0"/>
          </rPr>
          <t xml:space="preserve">
Uses Consultant Methodology but Model projects of Produce Traffic Rather than Consultant</t>
        </r>
      </text>
    </comment>
    <comment ref="Q33" authorId="0">
      <text>
        <r>
          <rPr>
            <b/>
            <sz val="8"/>
            <rFont val="Tahoma"/>
            <family val="0"/>
          </rPr>
          <t>MCC:</t>
        </r>
        <r>
          <rPr>
            <sz val="8"/>
            <rFont val="Tahoma"/>
            <family val="0"/>
          </rPr>
          <t xml:space="preserve">
Uses Consultant Methodology but Model projects of Produce Traffic Rather than Consultant</t>
        </r>
      </text>
    </comment>
    <comment ref="R33" authorId="0">
      <text>
        <r>
          <rPr>
            <b/>
            <sz val="8"/>
            <rFont val="Tahoma"/>
            <family val="0"/>
          </rPr>
          <t>MCC:</t>
        </r>
        <r>
          <rPr>
            <sz val="8"/>
            <rFont val="Tahoma"/>
            <family val="0"/>
          </rPr>
          <t xml:space="preserve">
Uses Consultant Methodology but Model projects of Produce Traffic Rather than Consultant</t>
        </r>
      </text>
    </comment>
    <comment ref="Q34" authorId="0">
      <text>
        <r>
          <rPr>
            <b/>
            <sz val="8"/>
            <rFont val="Tahoma"/>
            <family val="0"/>
          </rPr>
          <t>MCC:</t>
        </r>
        <r>
          <rPr>
            <sz val="8"/>
            <rFont val="Tahoma"/>
            <family val="0"/>
          </rPr>
          <t xml:space="preserve">
Uses Consultant Methodology but Model projects of Produce Traffic Rather than Consultant</t>
        </r>
      </text>
    </comment>
    <comment ref="R34" authorId="0">
      <text>
        <r>
          <rPr>
            <b/>
            <sz val="8"/>
            <rFont val="Tahoma"/>
            <family val="0"/>
          </rPr>
          <t>MCC:</t>
        </r>
        <r>
          <rPr>
            <sz val="8"/>
            <rFont val="Tahoma"/>
            <family val="0"/>
          </rPr>
          <t xml:space="preserve">
Uses Consultant Methodology but Model projects of Produce Traffic Rather than Consultant</t>
        </r>
      </text>
    </comment>
    <comment ref="Q35" authorId="0">
      <text>
        <r>
          <rPr>
            <b/>
            <sz val="8"/>
            <rFont val="Tahoma"/>
            <family val="0"/>
          </rPr>
          <t>MCC:</t>
        </r>
        <r>
          <rPr>
            <sz val="8"/>
            <rFont val="Tahoma"/>
            <family val="0"/>
          </rPr>
          <t xml:space="preserve">
Uses Consultant Methodology but Model projects of Produce Traffic Rather than Consultant</t>
        </r>
      </text>
    </comment>
    <comment ref="R35" authorId="0">
      <text>
        <r>
          <rPr>
            <b/>
            <sz val="8"/>
            <rFont val="Tahoma"/>
            <family val="0"/>
          </rPr>
          <t>MCC:</t>
        </r>
        <r>
          <rPr>
            <sz val="8"/>
            <rFont val="Tahoma"/>
            <family val="0"/>
          </rPr>
          <t xml:space="preserve">
Uses Consultant Methodology but Model projects of Produce Traffic Rather than Consultant</t>
        </r>
      </text>
    </comment>
    <comment ref="Q36" authorId="0">
      <text>
        <r>
          <rPr>
            <b/>
            <sz val="8"/>
            <rFont val="Tahoma"/>
            <family val="0"/>
          </rPr>
          <t>MCC:</t>
        </r>
        <r>
          <rPr>
            <sz val="8"/>
            <rFont val="Tahoma"/>
            <family val="0"/>
          </rPr>
          <t xml:space="preserve">
Uses Consultant Methodology but Model projects of Produce Traffic Rather than Consultant</t>
        </r>
      </text>
    </comment>
    <comment ref="R36" authorId="0">
      <text>
        <r>
          <rPr>
            <b/>
            <sz val="8"/>
            <rFont val="Tahoma"/>
            <family val="0"/>
          </rPr>
          <t>MCC:</t>
        </r>
        <r>
          <rPr>
            <sz val="8"/>
            <rFont val="Tahoma"/>
            <family val="0"/>
          </rPr>
          <t xml:space="preserve">
Uses Consultant Methodology but Model projects of Produce Traffic Rather than Consultant</t>
        </r>
      </text>
    </comment>
    <comment ref="Q37" authorId="0">
      <text>
        <r>
          <rPr>
            <b/>
            <sz val="8"/>
            <rFont val="Tahoma"/>
            <family val="0"/>
          </rPr>
          <t>MCC:</t>
        </r>
        <r>
          <rPr>
            <sz val="8"/>
            <rFont val="Tahoma"/>
            <family val="0"/>
          </rPr>
          <t xml:space="preserve">
Uses Consultant Methodology but Model projects of Produce Traffic Rather than Consultant</t>
        </r>
      </text>
    </comment>
    <comment ref="R37" authorId="0">
      <text>
        <r>
          <rPr>
            <b/>
            <sz val="8"/>
            <rFont val="Tahoma"/>
            <family val="0"/>
          </rPr>
          <t>MCC:</t>
        </r>
        <r>
          <rPr>
            <sz val="8"/>
            <rFont val="Tahoma"/>
            <family val="0"/>
          </rPr>
          <t xml:space="preserve">
Uses Consultant Methodology but Model projects of Produce Traffic Rather than Consultant</t>
        </r>
      </text>
    </comment>
    <comment ref="Q38" authorId="0">
      <text>
        <r>
          <rPr>
            <b/>
            <sz val="8"/>
            <rFont val="Tahoma"/>
            <family val="0"/>
          </rPr>
          <t>MCC:</t>
        </r>
        <r>
          <rPr>
            <sz val="8"/>
            <rFont val="Tahoma"/>
            <family val="0"/>
          </rPr>
          <t xml:space="preserve">
Uses Consultant Methodology but Model projects of Produce Traffic Rather than Consultant</t>
        </r>
      </text>
    </comment>
    <comment ref="R38" authorId="0">
      <text>
        <r>
          <rPr>
            <b/>
            <sz val="8"/>
            <rFont val="Tahoma"/>
            <family val="0"/>
          </rPr>
          <t>MCC:</t>
        </r>
        <r>
          <rPr>
            <sz val="8"/>
            <rFont val="Tahoma"/>
            <family val="0"/>
          </rPr>
          <t xml:space="preserve">
Uses Consultant Methodology but Model projects of Produce Traffic Rather than Consultant</t>
        </r>
      </text>
    </comment>
    <comment ref="Q39" authorId="0">
      <text>
        <r>
          <rPr>
            <b/>
            <sz val="8"/>
            <rFont val="Tahoma"/>
            <family val="0"/>
          </rPr>
          <t>MCC:</t>
        </r>
        <r>
          <rPr>
            <sz val="8"/>
            <rFont val="Tahoma"/>
            <family val="0"/>
          </rPr>
          <t xml:space="preserve">
Uses Consultant Methodology but Model projects of Produce Traffic Rather than Consultant</t>
        </r>
      </text>
    </comment>
    <comment ref="R39" authorId="0">
      <text>
        <r>
          <rPr>
            <b/>
            <sz val="8"/>
            <rFont val="Tahoma"/>
            <family val="0"/>
          </rPr>
          <t>MCC:</t>
        </r>
        <r>
          <rPr>
            <sz val="8"/>
            <rFont val="Tahoma"/>
            <family val="0"/>
          </rPr>
          <t xml:space="preserve">
Uses Consultant Methodology but Model projects of Produce Traffic Rather than Consultant</t>
        </r>
      </text>
    </comment>
    <comment ref="Q40" authorId="0">
      <text>
        <r>
          <rPr>
            <b/>
            <sz val="8"/>
            <rFont val="Tahoma"/>
            <family val="0"/>
          </rPr>
          <t>MCC:</t>
        </r>
        <r>
          <rPr>
            <sz val="8"/>
            <rFont val="Tahoma"/>
            <family val="0"/>
          </rPr>
          <t xml:space="preserve">
Uses Consultant Methodology but Model projects of Produce Traffic Rather than Consultant</t>
        </r>
      </text>
    </comment>
    <comment ref="R40" authorId="0">
      <text>
        <r>
          <rPr>
            <b/>
            <sz val="8"/>
            <rFont val="Tahoma"/>
            <family val="0"/>
          </rPr>
          <t>MCC:</t>
        </r>
        <r>
          <rPr>
            <sz val="8"/>
            <rFont val="Tahoma"/>
            <family val="0"/>
          </rPr>
          <t xml:space="preserve">
Uses Consultant Methodology but Model projects of Produce Traffic Rather than Consultant</t>
        </r>
      </text>
    </comment>
    <comment ref="Q41" authorId="0">
      <text>
        <r>
          <rPr>
            <b/>
            <sz val="8"/>
            <rFont val="Tahoma"/>
            <family val="0"/>
          </rPr>
          <t>MCC:</t>
        </r>
        <r>
          <rPr>
            <sz val="8"/>
            <rFont val="Tahoma"/>
            <family val="0"/>
          </rPr>
          <t xml:space="preserve">
Uses Consultant Methodology but Model projects of Produce Traffic Rather than Consultant</t>
        </r>
      </text>
    </comment>
    <comment ref="R41" authorId="0">
      <text>
        <r>
          <rPr>
            <b/>
            <sz val="8"/>
            <rFont val="Tahoma"/>
            <family val="0"/>
          </rPr>
          <t>MCC:</t>
        </r>
        <r>
          <rPr>
            <sz val="8"/>
            <rFont val="Tahoma"/>
            <family val="0"/>
          </rPr>
          <t xml:space="preserve">
Uses Consultant Methodology but Model projects of Produce Traffic Rather than Consultant</t>
        </r>
      </text>
    </comment>
    <comment ref="Q42" authorId="0">
      <text>
        <r>
          <rPr>
            <b/>
            <sz val="8"/>
            <rFont val="Tahoma"/>
            <family val="0"/>
          </rPr>
          <t>MCC:</t>
        </r>
        <r>
          <rPr>
            <sz val="8"/>
            <rFont val="Tahoma"/>
            <family val="0"/>
          </rPr>
          <t xml:space="preserve">
Uses Consultant Methodology but Model projects of Produce Traffic Rather than Consultant</t>
        </r>
      </text>
    </comment>
    <comment ref="R42" authorId="0">
      <text>
        <r>
          <rPr>
            <b/>
            <sz val="8"/>
            <rFont val="Tahoma"/>
            <family val="2"/>
          </rPr>
          <t>MCC:</t>
        </r>
        <r>
          <rPr>
            <sz val="8"/>
            <rFont val="Tahoma"/>
            <family val="0"/>
          </rPr>
          <t xml:space="preserve">
Uses Consultant Methodology but Model projects of Produce Traffic Rather than Consultant</t>
        </r>
      </text>
    </comment>
    <comment ref="P8" authorId="1">
      <text>
        <r>
          <rPr>
            <b/>
            <sz val="8"/>
            <rFont val="Tahoma"/>
            <family val="2"/>
          </rPr>
          <t>MCC:</t>
        </r>
        <r>
          <rPr>
            <sz val="8"/>
            <rFont val="Tahoma"/>
            <family val="0"/>
          </rPr>
          <t xml:space="preserve"> Based on Benard estimate and converted into financial prices.</t>
        </r>
      </text>
    </comment>
    <comment ref="B20" authorId="1">
      <text>
        <r>
          <rPr>
            <b/>
            <sz val="8"/>
            <rFont val="Tahoma"/>
            <family val="0"/>
          </rPr>
          <t xml:space="preserve">MCC:
 </t>
        </r>
        <r>
          <rPr>
            <sz val="8"/>
            <rFont val="Tahoma"/>
            <family val="2"/>
          </rPr>
          <t>Provided by Benard</t>
        </r>
      </text>
    </comment>
    <comment ref="C20" authorId="1">
      <text>
        <r>
          <rPr>
            <b/>
            <sz val="8"/>
            <rFont val="Tahoma"/>
            <family val="0"/>
          </rPr>
          <t xml:space="preserve">MCC: </t>
        </r>
        <r>
          <rPr>
            <sz val="8"/>
            <rFont val="Tahoma"/>
            <family val="2"/>
          </rPr>
          <t>Provided by Benard</t>
        </r>
      </text>
    </comment>
    <comment ref="K20" authorId="1">
      <text>
        <r>
          <rPr>
            <b/>
            <sz val="8"/>
            <rFont val="Tahoma"/>
            <family val="0"/>
          </rPr>
          <t xml:space="preserve">MCC: </t>
        </r>
        <r>
          <rPr>
            <sz val="8"/>
            <rFont val="Tahoma"/>
            <family val="2"/>
          </rPr>
          <t>Provided by Benard</t>
        </r>
        <r>
          <rPr>
            <sz val="8"/>
            <rFont val="Tahoma"/>
            <family val="0"/>
          </rPr>
          <t xml:space="preserve">
</t>
        </r>
      </text>
    </comment>
    <comment ref="L20" authorId="1">
      <text>
        <r>
          <rPr>
            <b/>
            <sz val="8"/>
            <rFont val="Tahoma"/>
            <family val="0"/>
          </rPr>
          <t xml:space="preserve">MCC: </t>
        </r>
        <r>
          <rPr>
            <sz val="8"/>
            <rFont val="Tahoma"/>
            <family val="2"/>
          </rPr>
          <t>Provided by Benard</t>
        </r>
        <r>
          <rPr>
            <sz val="8"/>
            <rFont val="Tahoma"/>
            <family val="0"/>
          </rPr>
          <t xml:space="preserve">
</t>
        </r>
      </text>
    </comment>
    <comment ref="B53" authorId="1">
      <text>
        <r>
          <rPr>
            <b/>
            <sz val="8"/>
            <rFont val="Tahoma"/>
            <family val="0"/>
          </rPr>
          <t xml:space="preserve">MCC: </t>
        </r>
        <r>
          <rPr>
            <sz val="8"/>
            <rFont val="Tahoma"/>
            <family val="2"/>
          </rPr>
          <t>Project main costs are revised by Dr.Satana</t>
        </r>
        <r>
          <rPr>
            <sz val="8"/>
            <rFont val="Tahoma"/>
            <family val="0"/>
          </rPr>
          <t xml:space="preserve">
</t>
        </r>
      </text>
    </comment>
    <comment ref="B54" authorId="1">
      <text>
        <r>
          <rPr>
            <b/>
            <sz val="8"/>
            <rFont val="Tahoma"/>
            <family val="2"/>
          </rPr>
          <t>MCC:</t>
        </r>
        <r>
          <rPr>
            <sz val="8"/>
            <rFont val="Tahoma"/>
            <family val="0"/>
          </rPr>
          <t xml:space="preserve">
Based on Benard estimate and converted into financial prices.</t>
        </r>
      </text>
    </comment>
    <comment ref="B55" authorId="1">
      <text>
        <r>
          <rPr>
            <b/>
            <sz val="8"/>
            <rFont val="Tahoma"/>
            <family val="2"/>
          </rPr>
          <t>MCC:</t>
        </r>
        <r>
          <rPr>
            <sz val="8"/>
            <rFont val="Tahoma"/>
            <family val="0"/>
          </rPr>
          <t xml:space="preserve">
Based on Benard estimate and converted into financial prices.</t>
        </r>
      </text>
    </comment>
    <comment ref="B56" authorId="1">
      <text>
        <r>
          <rPr>
            <b/>
            <sz val="8"/>
            <rFont val="Tahoma"/>
            <family val="2"/>
          </rPr>
          <t>MCC:</t>
        </r>
        <r>
          <rPr>
            <sz val="8"/>
            <rFont val="Tahoma"/>
            <family val="0"/>
          </rPr>
          <t xml:space="preserve">
Based on Benard estimate and converted into financial prices.</t>
        </r>
      </text>
    </comment>
    <comment ref="B57" authorId="1">
      <text>
        <r>
          <rPr>
            <b/>
            <sz val="8"/>
            <rFont val="Tahoma"/>
            <family val="2"/>
          </rPr>
          <t>MCC:</t>
        </r>
        <r>
          <rPr>
            <sz val="8"/>
            <rFont val="Tahoma"/>
            <family val="0"/>
          </rPr>
          <t xml:space="preserve">
Based on Benard estimate and converted into financial prices.</t>
        </r>
      </text>
    </comment>
    <comment ref="P4" authorId="0">
      <text>
        <r>
          <rPr>
            <b/>
            <sz val="8"/>
            <rFont val="Tahoma"/>
            <family val="0"/>
          </rPr>
          <t>MCC:</t>
        </r>
        <r>
          <rPr>
            <sz val="8"/>
            <rFont val="Tahoma"/>
            <family val="0"/>
          </rPr>
          <t xml:space="preserve">
Based on Benard estimate and converted into financial prices.</t>
        </r>
      </text>
    </comment>
    <comment ref="P5" authorId="0">
      <text>
        <r>
          <rPr>
            <b/>
            <sz val="8"/>
            <rFont val="Tahoma"/>
            <family val="0"/>
          </rPr>
          <t xml:space="preserve">MCC:
</t>
        </r>
        <r>
          <rPr>
            <sz val="8"/>
            <rFont val="Tahoma"/>
            <family val="2"/>
          </rPr>
          <t>Based on Benard estimate and converted into financial prices.</t>
        </r>
      </text>
    </comment>
    <comment ref="P6" authorId="1">
      <text>
        <r>
          <rPr>
            <b/>
            <sz val="8"/>
            <rFont val="Tahoma"/>
            <family val="2"/>
          </rPr>
          <t>MCC:</t>
        </r>
        <r>
          <rPr>
            <sz val="8"/>
            <rFont val="Tahoma"/>
            <family val="0"/>
          </rPr>
          <t xml:space="preserve">
Based on Benard estimate and converted into financial prices.</t>
        </r>
      </text>
    </comment>
    <comment ref="P7" authorId="1">
      <text>
        <r>
          <rPr>
            <b/>
            <sz val="8"/>
            <rFont val="Tahoma"/>
            <family val="2"/>
          </rPr>
          <t xml:space="preserve">MCC: </t>
        </r>
        <r>
          <rPr>
            <sz val="8"/>
            <rFont val="Tahoma"/>
            <family val="0"/>
          </rPr>
          <t>Based on Benard estimate and converted into financial prices.</t>
        </r>
      </text>
    </comment>
    <comment ref="B58" authorId="0">
      <text>
        <r>
          <rPr>
            <b/>
            <sz val="8"/>
            <rFont val="Tahoma"/>
            <family val="0"/>
          </rPr>
          <t>MCC:</t>
        </r>
        <r>
          <rPr>
            <sz val="8"/>
            <rFont val="Tahoma"/>
            <family val="0"/>
          </rPr>
          <t xml:space="preserve">
Added based on estimate of future annual maintenance requirements from Pg. 4-45 of CDM Report.</t>
        </r>
      </text>
    </comment>
    <comment ref="B59" authorId="0">
      <text>
        <r>
          <rPr>
            <b/>
            <sz val="8"/>
            <rFont val="Tahoma"/>
            <family val="2"/>
          </rPr>
          <t>MCC:</t>
        </r>
        <r>
          <rPr>
            <sz val="8"/>
            <rFont val="Tahoma"/>
            <family val="0"/>
          </rPr>
          <t xml:space="preserve">
Added based on estimate of future annual maintenance requirements from Pg. 4-45 of CDM Report.</t>
        </r>
      </text>
    </comment>
    <comment ref="B60" authorId="0">
      <text>
        <r>
          <rPr>
            <b/>
            <sz val="8"/>
            <rFont val="Tahoma"/>
            <family val="0"/>
          </rPr>
          <t>MCC:</t>
        </r>
        <r>
          <rPr>
            <sz val="8"/>
            <rFont val="Tahoma"/>
            <family val="0"/>
          </rPr>
          <t xml:space="preserve">
Added based on estimate of future annual maintenance requirements from Pg. 4-45 of CDM Report.</t>
        </r>
      </text>
    </comment>
    <comment ref="B61" authorId="0">
      <text>
        <r>
          <rPr>
            <b/>
            <sz val="8"/>
            <rFont val="Tahoma"/>
            <family val="0"/>
          </rPr>
          <t>MCC:</t>
        </r>
        <r>
          <rPr>
            <sz val="8"/>
            <rFont val="Tahoma"/>
            <family val="0"/>
          </rPr>
          <t xml:space="preserve">
Added based on estimate of future annual maintenance requirements from Pg. 4-45 of CDM Report.</t>
        </r>
      </text>
    </comment>
    <comment ref="B62" authorId="0">
      <text>
        <r>
          <rPr>
            <b/>
            <sz val="8"/>
            <rFont val="Tahoma"/>
            <family val="0"/>
          </rPr>
          <t>MCC:</t>
        </r>
        <r>
          <rPr>
            <sz val="8"/>
            <rFont val="Tahoma"/>
            <family val="0"/>
          </rPr>
          <t xml:space="preserve">
Added based on estimate of future annual maintenance requirements from Pg. 4-45 of CDM Report.</t>
        </r>
      </text>
    </comment>
    <comment ref="B63" authorId="0">
      <text>
        <r>
          <rPr>
            <b/>
            <sz val="8"/>
            <rFont val="Tahoma"/>
            <family val="0"/>
          </rPr>
          <t>MCC:</t>
        </r>
        <r>
          <rPr>
            <sz val="8"/>
            <rFont val="Tahoma"/>
            <family val="0"/>
          </rPr>
          <t xml:space="preserve">
Added based on estimate of future annual maintenance requirements from Pg. 4-45 of CDM Report.</t>
        </r>
      </text>
    </comment>
    <comment ref="B64" authorId="0">
      <text>
        <r>
          <rPr>
            <b/>
            <sz val="8"/>
            <rFont val="Tahoma"/>
            <family val="0"/>
          </rPr>
          <t>MCC:</t>
        </r>
        <r>
          <rPr>
            <sz val="8"/>
            <rFont val="Tahoma"/>
            <family val="0"/>
          </rPr>
          <t xml:space="preserve">
Added based on estimate of future annual maintenance requirements from Pg. 4-45 of CDM Report.</t>
        </r>
      </text>
    </comment>
    <comment ref="B65" authorId="0">
      <text>
        <r>
          <rPr>
            <b/>
            <sz val="8"/>
            <rFont val="Tahoma"/>
            <family val="0"/>
          </rPr>
          <t>MCC:</t>
        </r>
        <r>
          <rPr>
            <sz val="8"/>
            <rFont val="Tahoma"/>
            <family val="0"/>
          </rPr>
          <t xml:space="preserve">
Added based on estimate of future annual maintenance requirements from Pg. 4-45 of CDM Report.</t>
        </r>
      </text>
    </comment>
    <comment ref="B66" authorId="0">
      <text>
        <r>
          <rPr>
            <b/>
            <sz val="8"/>
            <rFont val="Tahoma"/>
            <family val="0"/>
          </rPr>
          <t>MCC:</t>
        </r>
        <r>
          <rPr>
            <sz val="8"/>
            <rFont val="Tahoma"/>
            <family val="0"/>
          </rPr>
          <t xml:space="preserve">
Added based on estimate of future annual maintenance requirements from Pg. 4-45 of CDM Report.</t>
        </r>
      </text>
    </comment>
    <comment ref="B68" authorId="0">
      <text>
        <r>
          <rPr>
            <b/>
            <sz val="8"/>
            <rFont val="Tahoma"/>
            <family val="0"/>
          </rPr>
          <t>MCC:</t>
        </r>
        <r>
          <rPr>
            <sz val="8"/>
            <rFont val="Tahoma"/>
            <family val="0"/>
          </rPr>
          <t xml:space="preserve">
Added based on estimate of future annual maintenance requirements from Pg. 4-45 of CDM Report.</t>
        </r>
      </text>
    </comment>
    <comment ref="B69" authorId="0">
      <text>
        <r>
          <rPr>
            <b/>
            <sz val="8"/>
            <rFont val="Tahoma"/>
            <family val="0"/>
          </rPr>
          <t>MCC:</t>
        </r>
        <r>
          <rPr>
            <sz val="8"/>
            <rFont val="Tahoma"/>
            <family val="0"/>
          </rPr>
          <t xml:space="preserve">
Added based on estimate of future annual maintenance requirements from Pg. 4-45 of CDM Report.</t>
        </r>
      </text>
    </comment>
    <comment ref="B70" authorId="0">
      <text>
        <r>
          <rPr>
            <b/>
            <sz val="8"/>
            <rFont val="Tahoma"/>
            <family val="0"/>
          </rPr>
          <t>MCC:</t>
        </r>
        <r>
          <rPr>
            <sz val="8"/>
            <rFont val="Tahoma"/>
            <family val="0"/>
          </rPr>
          <t xml:space="preserve">
Added based on estimate of future annual maintenance requirements from Pg. 4-45 of CDM Report.</t>
        </r>
      </text>
    </comment>
    <comment ref="B71" authorId="0">
      <text>
        <r>
          <rPr>
            <b/>
            <sz val="8"/>
            <rFont val="Tahoma"/>
            <family val="0"/>
          </rPr>
          <t>MCC:</t>
        </r>
        <r>
          <rPr>
            <sz val="8"/>
            <rFont val="Tahoma"/>
            <family val="0"/>
          </rPr>
          <t xml:space="preserve">
Added based on estimate of future annual maintenance requirements from Pg. 4-45 of CDM Report.</t>
        </r>
      </text>
    </comment>
    <comment ref="B72" authorId="0">
      <text>
        <r>
          <rPr>
            <b/>
            <sz val="8"/>
            <rFont val="Tahoma"/>
            <family val="0"/>
          </rPr>
          <t>MCC:</t>
        </r>
        <r>
          <rPr>
            <sz val="8"/>
            <rFont val="Tahoma"/>
            <family val="0"/>
          </rPr>
          <t xml:space="preserve">
Added based on estimate of future annual maintenance requirements from Pg. 4-45 of CDM Report.</t>
        </r>
      </text>
    </comment>
    <comment ref="B73" authorId="0">
      <text>
        <r>
          <rPr>
            <b/>
            <sz val="8"/>
            <rFont val="Tahoma"/>
            <family val="0"/>
          </rPr>
          <t>MCC:</t>
        </r>
        <r>
          <rPr>
            <sz val="8"/>
            <rFont val="Tahoma"/>
            <family val="0"/>
          </rPr>
          <t xml:space="preserve">
Added based on estimate of future annual maintenance requirements from Pg. 4-45 of CDM Report.</t>
        </r>
      </text>
    </comment>
    <comment ref="B74" authorId="0">
      <text>
        <r>
          <rPr>
            <b/>
            <sz val="8"/>
            <rFont val="Tahoma"/>
            <family val="0"/>
          </rPr>
          <t>MCC:</t>
        </r>
        <r>
          <rPr>
            <sz val="8"/>
            <rFont val="Tahoma"/>
            <family val="0"/>
          </rPr>
          <t xml:space="preserve">
Added based on estimate of future annual maintenance requirements from Pg. 4-45 of CDM Report.</t>
        </r>
      </text>
    </comment>
    <comment ref="B75" authorId="0">
      <text>
        <r>
          <rPr>
            <b/>
            <sz val="8"/>
            <rFont val="Tahoma"/>
            <family val="0"/>
          </rPr>
          <t>MCC:</t>
        </r>
        <r>
          <rPr>
            <sz val="8"/>
            <rFont val="Tahoma"/>
            <family val="0"/>
          </rPr>
          <t xml:space="preserve">
Added based on estimate of future annual maintenance requirements from Pg. 4-45 of CDM Report.</t>
        </r>
      </text>
    </comment>
    <comment ref="B76" authorId="0">
      <text>
        <r>
          <rPr>
            <b/>
            <sz val="8"/>
            <rFont val="Tahoma"/>
            <family val="0"/>
          </rPr>
          <t>MCC:</t>
        </r>
        <r>
          <rPr>
            <sz val="8"/>
            <rFont val="Tahoma"/>
            <family val="0"/>
          </rPr>
          <t xml:space="preserve">
Added based on estimate of future annual maintenance requirements from Pg. 4-45 of CDM Report.</t>
        </r>
      </text>
    </comment>
    <comment ref="B77" authorId="0">
      <text>
        <r>
          <rPr>
            <b/>
            <sz val="8"/>
            <rFont val="Tahoma"/>
            <family val="0"/>
          </rPr>
          <t>MCC:</t>
        </r>
        <r>
          <rPr>
            <sz val="8"/>
            <rFont val="Tahoma"/>
            <family val="0"/>
          </rPr>
          <t xml:space="preserve">
Added based on estimate of future annual maintenance requirements from Pg. 4-45 of CDM Report.</t>
        </r>
      </text>
    </comment>
    <comment ref="D76" authorId="0">
      <text>
        <r>
          <rPr>
            <b/>
            <sz val="8"/>
            <rFont val="Tahoma"/>
            <family val="0"/>
          </rPr>
          <t>MCC:</t>
        </r>
        <r>
          <rPr>
            <sz val="8"/>
            <rFont val="Tahoma"/>
            <family val="0"/>
          </rPr>
          <t xml:space="preserve">
Changed to 90.3% of the figure used by Consultant to reflect the national percentage of O&amp;M expenses that are actually spent</t>
        </r>
      </text>
    </comment>
    <comment ref="D77" authorId="0">
      <text>
        <r>
          <rPr>
            <b/>
            <sz val="8"/>
            <rFont val="Tahoma"/>
            <family val="0"/>
          </rPr>
          <t>MCC:</t>
        </r>
        <r>
          <rPr>
            <sz val="8"/>
            <rFont val="Tahoma"/>
            <family val="0"/>
          </rPr>
          <t xml:space="preserve">
Changed to 90.3% of the figure used by Consultant to reflect the national percentage of O&amp;M expenses that are actually spent</t>
        </r>
      </text>
    </comment>
  </commentList>
</comments>
</file>

<file path=xl/comments8.xml><?xml version="1.0" encoding="utf-8"?>
<comments xmlns="http://schemas.openxmlformats.org/spreadsheetml/2006/main">
  <authors>
    <author>SK</author>
  </authors>
  <commentList>
    <comment ref="J32" authorId="0">
      <text>
        <r>
          <rPr>
            <b/>
            <sz val="8"/>
            <rFont val="Tahoma"/>
            <family val="0"/>
          </rPr>
          <t>MCC:</t>
        </r>
        <r>
          <rPr>
            <sz val="8"/>
            <rFont val="Tahoma"/>
            <family val="0"/>
          </rPr>
          <t xml:space="preserve">
Difference from 120,000 Ha is the 15,000 Ha Alatona and the 21,000 Ha in Sugar
</t>
        </r>
      </text>
    </comment>
  </commentList>
</comments>
</file>

<file path=xl/comments9.xml><?xml version="1.0" encoding="utf-8"?>
<comments xmlns="http://schemas.openxmlformats.org/spreadsheetml/2006/main">
  <authors>
    <author>SK</author>
  </authors>
  <commentList>
    <comment ref="D32" authorId="0">
      <text>
        <r>
          <rPr>
            <b/>
            <sz val="8"/>
            <rFont val="Tahoma"/>
            <family val="0"/>
          </rPr>
          <t>MCC:</t>
        </r>
        <r>
          <rPr>
            <sz val="8"/>
            <rFont val="Tahoma"/>
            <family val="0"/>
          </rPr>
          <t xml:space="preserve">
Takes the ratio that Farm Profits represent of total benfits and attributes the same percentage of Project Costs to Farm Benficiaries.  Does not include road costs or the M&amp;E/Program Management costs. Includes an approximate 13% physical contingency.</t>
        </r>
      </text>
    </comment>
    <comment ref="D33" authorId="0">
      <text>
        <r>
          <rPr>
            <b/>
            <sz val="8"/>
            <rFont val="Tahoma"/>
            <family val="0"/>
          </rPr>
          <t>MCC:</t>
        </r>
        <r>
          <rPr>
            <sz val="8"/>
            <rFont val="Tahoma"/>
            <family val="0"/>
          </rPr>
          <t xml:space="preserve">
Takes the ratio that Labor costs represent of total benefits and attributes the same percentage of Project Costs to Labor Benficiaries.  Does not include road costs or the M&amp;E/Program Management costs. Includes an approximate 13% physical contigency.</t>
        </r>
      </text>
    </comment>
    <comment ref="I219" authorId="0">
      <text>
        <r>
          <rPr>
            <b/>
            <sz val="8"/>
            <rFont val="Tahoma"/>
            <family val="0"/>
          </rPr>
          <t>MCC:</t>
        </r>
        <r>
          <rPr>
            <sz val="8"/>
            <rFont val="Tahoma"/>
            <family val="0"/>
          </rPr>
          <t xml:space="preserve">
$32.70 a month - which is the WB International $1.08 per day standard.  Not adjusted for PPP.</t>
        </r>
      </text>
    </comment>
    <comment ref="M219" authorId="0">
      <text>
        <r>
          <rPr>
            <b/>
            <sz val="8"/>
            <rFont val="Tahoma"/>
            <family val="0"/>
          </rPr>
          <t xml:space="preserve">MCC:
 </t>
        </r>
        <r>
          <rPr>
            <sz val="8"/>
            <rFont val="Tahoma"/>
            <family val="0"/>
          </rPr>
          <t>2004 Mali Poverty Line of FCFA 144,022 converted to dollars.  Poverty Line figure based on expenditure necessary to the acquisition of the required daily 2450 Kcal and non-food needs at that year’s cost of living.  Source: USAID PMP for Productivity and Income Increases in Agricultural Sector which cites the “Enquête Malienne d’Evaluation de la Pauvreté”.  According to the same source national poverty incidence is 78% and poverty incidence in the Segou region is 90%.</t>
        </r>
      </text>
    </comment>
    <comment ref="D8" authorId="0">
      <text>
        <r>
          <rPr>
            <b/>
            <sz val="8"/>
            <rFont val="Tahoma"/>
            <family val="0"/>
          </rPr>
          <t>MCC:</t>
        </r>
        <r>
          <rPr>
            <sz val="8"/>
            <rFont val="Tahoma"/>
            <family val="0"/>
          </rPr>
          <t xml:space="preserve">
Current ON Average</t>
        </r>
      </text>
    </comment>
    <comment ref="I62" authorId="0">
      <text>
        <r>
          <rPr>
            <b/>
            <sz val="8"/>
            <rFont val="Tahoma"/>
            <family val="0"/>
          </rPr>
          <t>MCC:</t>
        </r>
        <r>
          <rPr>
            <sz val="8"/>
            <rFont val="Tahoma"/>
            <family val="0"/>
          </rPr>
          <t xml:space="preserve">
For Farm Households and Farm Laborers</t>
        </r>
      </text>
    </comment>
    <comment ref="D10" authorId="0">
      <text>
        <r>
          <rPr>
            <b/>
            <sz val="8"/>
            <rFont val="Tahoma"/>
            <family val="0"/>
          </rPr>
          <t>MCC:</t>
        </r>
        <r>
          <rPr>
            <sz val="8"/>
            <rFont val="Tahoma"/>
            <family val="0"/>
          </rPr>
          <t xml:space="preserve">
One 12.8 person family/5 Ha farm</t>
        </r>
      </text>
    </comment>
    <comment ref="D12" authorId="0">
      <text>
        <r>
          <rPr>
            <b/>
            <sz val="8"/>
            <rFont val="Tahoma"/>
            <family val="0"/>
          </rPr>
          <t>MCC:</t>
        </r>
        <r>
          <rPr>
            <sz val="8"/>
            <rFont val="Tahoma"/>
            <family val="0"/>
          </rPr>
          <t xml:space="preserve">
One 20.6 person family/10 Ha farm</t>
        </r>
      </text>
    </comment>
    <comment ref="D13" authorId="0">
      <text>
        <r>
          <rPr>
            <b/>
            <sz val="8"/>
            <rFont val="Tahoma"/>
            <family val="0"/>
          </rPr>
          <t>MCC:</t>
        </r>
        <r>
          <rPr>
            <sz val="8"/>
            <rFont val="Tahoma"/>
            <family val="0"/>
          </rPr>
          <t xml:space="preserve">
One 12.8 person owner family/30 farm (has tenants)</t>
        </r>
      </text>
    </comment>
    <comment ref="D14" authorId="0">
      <text>
        <r>
          <rPr>
            <b/>
            <sz val="8"/>
            <rFont val="Tahoma"/>
            <family val="0"/>
          </rPr>
          <t>MCC:</t>
        </r>
        <r>
          <rPr>
            <sz val="8"/>
            <rFont val="Tahoma"/>
            <family val="0"/>
          </rPr>
          <t xml:space="preserve">
One Owner/Investor per Farm</t>
        </r>
      </text>
    </comment>
    <comment ref="F62" authorId="0">
      <text>
        <r>
          <rPr>
            <b/>
            <sz val="8"/>
            <rFont val="Tahoma"/>
            <family val="0"/>
          </rPr>
          <t>MCC:</t>
        </r>
        <r>
          <rPr>
            <sz val="8"/>
            <rFont val="Tahoma"/>
            <family val="0"/>
          </rPr>
          <t xml:space="preserve">
Aggregate % of Income that is Incremental.  Calculated by taking a weight average of % of Farm Profits that are incremental and % of SS Wages that are incremental.  Weights used correspond to the percent of VA that is farm profits and percent of VA that is wages.</t>
        </r>
      </text>
    </comment>
    <comment ref="C10" authorId="0">
      <text>
        <r>
          <rPr>
            <b/>
            <sz val="8"/>
            <rFont val="Tahoma"/>
            <family val="0"/>
          </rPr>
          <t>MCC:</t>
        </r>
        <r>
          <rPr>
            <sz val="8"/>
            <rFont val="Tahoma"/>
            <family val="0"/>
          </rPr>
          <t xml:space="preserve">
Latest MCC Thinking</t>
        </r>
      </text>
    </comment>
    <comment ref="J9" authorId="0">
      <text>
        <r>
          <rPr>
            <b/>
            <sz val="8"/>
            <rFont val="Tahoma"/>
            <family val="0"/>
          </rPr>
          <t>MCC:</t>
        </r>
        <r>
          <rPr>
            <sz val="8"/>
            <rFont val="Tahoma"/>
            <family val="0"/>
          </rPr>
          <t xml:space="preserve">
Latest MCC Thinking</t>
        </r>
      </text>
    </comment>
    <comment ref="K9" authorId="0">
      <text>
        <r>
          <rPr>
            <b/>
            <sz val="8"/>
            <rFont val="Tahoma"/>
            <family val="0"/>
          </rPr>
          <t>MCC:</t>
        </r>
        <r>
          <rPr>
            <sz val="8"/>
            <rFont val="Tahoma"/>
            <family val="0"/>
          </rPr>
          <t xml:space="preserve">
Family full meets labor needs</t>
        </r>
      </text>
    </comment>
    <comment ref="K11" authorId="0">
      <text>
        <r>
          <rPr>
            <b/>
            <sz val="8"/>
            <rFont val="Tahoma"/>
            <family val="0"/>
          </rPr>
          <t>SK:</t>
        </r>
        <r>
          <rPr>
            <sz val="8"/>
            <rFont val="Tahoma"/>
            <family val="0"/>
          </rPr>
          <t xml:space="preserve">
5 Additional "Tenant/Laborer" HH</t>
        </r>
      </text>
    </comment>
    <comment ref="K10" authorId="0">
      <text>
        <r>
          <rPr>
            <b/>
            <sz val="8"/>
            <rFont val="Tahoma"/>
            <family val="0"/>
          </rPr>
          <t>MCC:</t>
        </r>
        <r>
          <rPr>
            <sz val="8"/>
            <rFont val="Tahoma"/>
            <family val="0"/>
          </rPr>
          <t xml:space="preserve">
Family full meets labor needs</t>
        </r>
      </text>
    </comment>
    <comment ref="K12" authorId="0">
      <text>
        <r>
          <rPr>
            <b/>
            <sz val="8"/>
            <rFont val="Tahoma"/>
            <family val="0"/>
          </rPr>
          <t>MCC:</t>
        </r>
        <r>
          <rPr>
            <sz val="8"/>
            <rFont val="Tahoma"/>
            <family val="0"/>
          </rPr>
          <t xml:space="preserve">
12 Additional "Tenant/Laborer" HH</t>
        </r>
      </text>
    </comment>
    <comment ref="C228" authorId="0">
      <text>
        <r>
          <rPr>
            <b/>
            <sz val="8"/>
            <rFont val="Tahoma"/>
            <family val="0"/>
          </rPr>
          <t>MCC:</t>
        </r>
        <r>
          <rPr>
            <sz val="8"/>
            <rFont val="Tahoma"/>
            <family val="0"/>
          </rPr>
          <t xml:space="preserve">
Existing Alatona Population</t>
        </r>
      </text>
    </comment>
    <comment ref="C226" authorId="0">
      <text>
        <r>
          <rPr>
            <b/>
            <sz val="8"/>
            <rFont val="Tahoma"/>
            <family val="0"/>
          </rPr>
          <t>MCC:</t>
        </r>
        <r>
          <rPr>
            <sz val="8"/>
            <rFont val="Tahoma"/>
            <family val="0"/>
          </rPr>
          <t xml:space="preserve">
Newly Settled Population</t>
        </r>
      </text>
    </comment>
    <comment ref="B54" authorId="0">
      <text>
        <r>
          <rPr>
            <b/>
            <sz val="8"/>
            <rFont val="Tahoma"/>
            <family val="0"/>
          </rPr>
          <t>MCC:</t>
        </r>
        <r>
          <rPr>
            <sz val="8"/>
            <rFont val="Tahoma"/>
            <family val="0"/>
          </rPr>
          <t xml:space="preserve">
Adding Back in Labor Costs from Production Budgets as Beneficiary Calculations assumed 12.8 person family (6 Brasvalide) can fully handle labor requirements.  Therefore labor costs in budget are retained by HH.</t>
        </r>
      </text>
    </comment>
    <comment ref="B134" authorId="0">
      <text>
        <r>
          <rPr>
            <b/>
            <sz val="8"/>
            <rFont val="Tahoma"/>
            <family val="0"/>
          </rPr>
          <t>MCC:</t>
        </r>
        <r>
          <rPr>
            <sz val="8"/>
            <rFont val="Tahoma"/>
            <family val="0"/>
          </rPr>
          <t xml:space="preserve">
Adding Back in Labor Costs from Production Budgets as Beneficiary Calculations assumed 25.6 person family (12 Brasvalide) can fully handle labor requirements.  Therefore labor costs in budget are retained by HH.</t>
        </r>
      </text>
    </comment>
    <comment ref="B171" authorId="0">
      <text>
        <r>
          <rPr>
            <b/>
            <sz val="8"/>
            <rFont val="Tahoma"/>
            <family val="0"/>
          </rPr>
          <t>MCC:</t>
        </r>
        <r>
          <rPr>
            <sz val="8"/>
            <rFont val="Tahoma"/>
            <family val="0"/>
          </rPr>
          <t xml:space="preserve">
Assumes the owner operator household of 12.6 people (6 Brasvalide) can farm 5 Ha themselves so adds back in labor costs for this portion of the farm only. Remaining labor costs will be paid in salaries to tenant farmers.</t>
        </r>
      </text>
    </comment>
    <comment ref="B202" authorId="0">
      <text>
        <r>
          <rPr>
            <b/>
            <sz val="8"/>
            <rFont val="Tahoma"/>
            <family val="0"/>
          </rPr>
          <t>MCC:</t>
        </r>
        <r>
          <rPr>
            <sz val="8"/>
            <rFont val="Tahoma"/>
            <family val="0"/>
          </rPr>
          <t xml:space="preserve">
Assumes all farmwork is performed by tenant laborers.</t>
        </r>
      </text>
    </comment>
    <comment ref="B97" authorId="0">
      <text>
        <r>
          <rPr>
            <b/>
            <sz val="8"/>
            <rFont val="Tahoma"/>
            <family val="0"/>
          </rPr>
          <t>MCC:</t>
        </r>
        <r>
          <rPr>
            <sz val="8"/>
            <rFont val="Tahoma"/>
            <family val="0"/>
          </rPr>
          <t xml:space="preserve">
Adding Back in Labor Costs from Production Budgets as Beneficiary Calculations assumed 12.8 person family (6 Brasvalide) can fully handle labor requirements.  Therefore labor costs in budget are retained by HH.</t>
        </r>
      </text>
    </comment>
    <comment ref="B96" authorId="0">
      <text>
        <r>
          <rPr>
            <b/>
            <sz val="8"/>
            <rFont val="Tahoma"/>
            <family val="0"/>
          </rPr>
          <t>MCC:</t>
        </r>
        <r>
          <rPr>
            <sz val="8"/>
            <rFont val="Tahoma"/>
            <family val="0"/>
          </rPr>
          <t xml:space="preserve">
Only Pays for 3 out of the 5 Ha (assumes 2 Ha resettlement package)</t>
        </r>
      </text>
    </comment>
    <comment ref="K41" authorId="0">
      <text>
        <r>
          <rPr>
            <b/>
            <sz val="8"/>
            <rFont val="Tahoma"/>
            <family val="0"/>
          </rPr>
          <t>MCC:</t>
        </r>
        <r>
          <rPr>
            <sz val="8"/>
            <rFont val="Tahoma"/>
            <family val="0"/>
          </rPr>
          <t xml:space="preserve">
4 Months of Day Labor (One Main Season of Rice @ FCFA 1,500/Day @ 5 days per week.  Source: Original MCA Mali Model</t>
        </r>
      </text>
    </comment>
    <comment ref="K42" authorId="0">
      <text>
        <r>
          <rPr>
            <b/>
            <sz val="8"/>
            <rFont val="Tahoma"/>
            <family val="0"/>
          </rPr>
          <t>MCC:</t>
        </r>
        <r>
          <rPr>
            <sz val="8"/>
            <rFont val="Tahoma"/>
            <family val="0"/>
          </rPr>
          <t xml:space="preserve">
Food is provided in addition to wages.  $63 represents montetized value of 2,450 calories per day for 4 months</t>
        </r>
      </text>
    </comment>
    <comment ref="D35" authorId="0">
      <text>
        <r>
          <rPr>
            <b/>
            <sz val="8"/>
            <rFont val="Tahoma"/>
            <family val="0"/>
          </rPr>
          <t>MCC:</t>
        </r>
        <r>
          <rPr>
            <sz val="8"/>
            <rFont val="Tahoma"/>
            <family val="0"/>
          </rPr>
          <t xml:space="preserve">
From CDM Draft Pre-Feasibility Report</t>
        </r>
      </text>
    </comment>
    <comment ref="D31" authorId="0">
      <text>
        <r>
          <rPr>
            <b/>
            <sz val="8"/>
            <rFont val="Tahoma"/>
            <family val="0"/>
          </rPr>
          <t>MCC:</t>
        </r>
        <r>
          <rPr>
            <sz val="8"/>
            <rFont val="Tahoma"/>
            <family val="0"/>
          </rPr>
          <t xml:space="preserve">
Does not include road costs or the M&amp;E/Program Management costs. Includes an approximate 13% physical contingency.</t>
        </r>
      </text>
    </comment>
    <comment ref="D36" authorId="0">
      <text>
        <r>
          <rPr>
            <b/>
            <sz val="8"/>
            <rFont val="Tahoma"/>
            <family val="0"/>
          </rPr>
          <t>MCC:</t>
        </r>
        <r>
          <rPr>
            <sz val="8"/>
            <rFont val="Tahoma"/>
            <family val="0"/>
          </rPr>
          <t xml:space="preserve">
Includes a 15% contigency on base costs.</t>
        </r>
      </text>
    </comment>
  </commentList>
</comments>
</file>

<file path=xl/sharedStrings.xml><?xml version="1.0" encoding="utf-8"?>
<sst xmlns="http://schemas.openxmlformats.org/spreadsheetml/2006/main" count="1963" uniqueCount="897">
  <si>
    <t>Actual production costs for farmers as a percentage of estimated production costs</t>
  </si>
  <si>
    <t>Actual crop prices as a percentage of crop prices</t>
  </si>
  <si>
    <t>400 - 550</t>
  </si>
  <si>
    <t>Average Annual Interest Paid Per Ha</t>
  </si>
  <si>
    <t>Oxen</t>
  </si>
  <si>
    <t>LV Traffic Growth Rate</t>
  </si>
  <si>
    <t>HV Traffic Growth Rate</t>
  </si>
  <si>
    <t xml:space="preserve">Alatona Projection, Price Contigency, Maintenance Savings </t>
  </si>
  <si>
    <t>LV Elas. Factor</t>
  </si>
  <si>
    <t>HV Elas. Factor</t>
  </si>
  <si>
    <t>Land Price per Hectare (CFA)</t>
  </si>
  <si>
    <t>Land Price per Hectare ($)</t>
  </si>
  <si>
    <t>Percent of Land Preparation Costs to be Recovered</t>
  </si>
  <si>
    <t>Calculation of Farmer if they pay full cost recovery of the for Land Preparation (In CFA) Up Front (IRR)</t>
  </si>
  <si>
    <t>Farm Revenues (CFA '000)</t>
  </si>
  <si>
    <t>Farm Costs (CFA '000)</t>
  </si>
  <si>
    <t>Farm Profits (CFA '000)</t>
  </si>
  <si>
    <t>Type of Farm</t>
  </si>
  <si>
    <t>(1: Mix of Crops, 2: Only one main season of rice)</t>
  </si>
  <si>
    <t>Implied Profits of the Average 10 Ha Farm ('000)</t>
  </si>
  <si>
    <t>Calculation of Farmer Cash Flow with Alternative Land Price, Mortgage Terms, and Interest rates</t>
  </si>
  <si>
    <t xml:space="preserve">(1: Consultant; 2: MCC Parameters; 3: MCC Parameters </t>
  </si>
  <si>
    <t>w/o Alatona)</t>
  </si>
  <si>
    <t>% of AIP Traffic that is Thru Traffic for Diabaly-Goma Coura</t>
  </si>
  <si>
    <t>% of AIP Traffic that is Thru Traffic for Niono-Diabaly</t>
  </si>
  <si>
    <t>Avg. Distance Below Poverty Line Among Beneficiaries who are Poor Prior to Program ($)</t>
  </si>
  <si>
    <t>Avg. Distance Below Poverty Line Among Beneficiaries who are Poor Prior to the Program ($)</t>
  </si>
  <si>
    <t>Avg. Distance Below Poverty Line Among Laborer Beneficiaries who were Poor Post Program ($)</t>
  </si>
  <si>
    <t>Avg. Distance Below Poverty Line Among Beneficiaries who were Poor Post Program ($)</t>
  </si>
  <si>
    <t>Labor Costs as Percentage of Total Costs for ON Ag Production</t>
  </si>
  <si>
    <t>ADT for Niono-Diabaly After Control For Local Only Traffic</t>
  </si>
  <si>
    <t>ADT for Diabaly-Goma Coura After Control for Local Only Traffic</t>
  </si>
  <si>
    <t>Source Table for Alternative Steady State Intensity and Diversification</t>
  </si>
  <si>
    <t>1st Year for 2nd Ag DD Trip Scenario</t>
  </si>
  <si>
    <t>1st Year for Scenarios Not Based on 2nd Ag DD Trip</t>
  </si>
  <si>
    <t>Poultry (fryers, layers, crosses) Q1</t>
  </si>
  <si>
    <t>Poultry (fryers, layers, crosses) Q2</t>
  </si>
  <si>
    <t>Poultry (fryers, layers, crosses) Q3</t>
  </si>
  <si>
    <t>Forestry and wood products Q1</t>
  </si>
  <si>
    <t>Forestry and wood products Q2</t>
  </si>
  <si>
    <t>Forestry and wood products Q3</t>
  </si>
  <si>
    <t>Weighted Average</t>
  </si>
  <si>
    <t>Estimate of Percentage of Total Project Income that is Incremental:</t>
  </si>
  <si>
    <t>Wages as a Percentage of Total VA</t>
  </si>
  <si>
    <t>Poverty Line to Use:</t>
  </si>
  <si>
    <t xml:space="preserve">-Average per capital annual rural expenditure per capita.  Source: 2004 “Enquête Malienne d’Evaluation de </t>
  </si>
  <si>
    <t>-2450 Calories per day monetized into FCFA 99,038 and converted into Dollars.  According to DNSI this</t>
  </si>
  <si>
    <t xml:space="preserve">is the expenditure necessary for the minimum level of caloric intake. Source: 2004 “Enquête Malienne </t>
  </si>
  <si>
    <t>d’Evaluation de la Pauvreté”.  Published by the DNSI.</t>
  </si>
  <si>
    <t>la Pauvreté”.  Published by the DNSI.</t>
  </si>
  <si>
    <t>1: WB $1.08/Day (Not PPP adjusted), 2: 2004 Malian Poverty Line of FCFA 144,022 Converted into $</t>
  </si>
  <si>
    <t>80% of Revenues (0=No, 1=Yes)</t>
  </si>
  <si>
    <t>Household Spending Requirements</t>
  </si>
  <si>
    <t>Assumed Farm Size (Ha)</t>
  </si>
  <si>
    <t>Household Cash Flow</t>
  </si>
  <si>
    <t>% Cost Recovery Implied</t>
  </si>
  <si>
    <t>Household Spending</t>
  </si>
  <si>
    <t>(5,10, 15, or 20 Year Term)</t>
  </si>
  <si>
    <t>Tons Per Truck Load</t>
  </si>
  <si>
    <t>Labor Dial</t>
  </si>
  <si>
    <t>Include Labor as Benefit? (1=Yes; 2=No)</t>
  </si>
  <si>
    <t xml:space="preserve">Food Requirements/HH/Year ($) </t>
  </si>
  <si>
    <t>Yields</t>
  </si>
  <si>
    <t>Output Prices</t>
  </si>
  <si>
    <t xml:space="preserve">Medium (top to line 70) and Short Term (line 75 and below) Credit Needs </t>
  </si>
  <si>
    <t xml:space="preserve">May 14, 2006: Number of Farms by Farm Size Linked to Farm Model Assumptions Sheet (can change number of farms by farm size -- in yellow -- and </t>
  </si>
  <si>
    <t>will still add up in tables below if total HA always equal to 13,500. EG: Change 5 ha farms to 800 and 30 ha farms to 100, but loose link to farm sheet).</t>
  </si>
  <si>
    <t>5-ha farm</t>
  </si>
  <si>
    <t>Ox Plows</t>
  </si>
  <si>
    <t>MT Credit: Per Farm Equipement Needs by Farm Size</t>
  </si>
  <si>
    <t>USD</t>
  </si>
  <si>
    <t>Equipment List</t>
  </si>
  <si>
    <t>Years of</t>
  </si>
  <si>
    <t>Salvage</t>
  </si>
  <si>
    <t>Annual</t>
  </si>
  <si>
    <t>Oxen Pairs</t>
  </si>
  <si>
    <t>Farm Size</t>
  </si>
  <si>
    <t>('000)</t>
  </si>
  <si>
    <t>Life</t>
  </si>
  <si>
    <t>Value</t>
  </si>
  <si>
    <t>Deprec.</t>
  </si>
  <si>
    <t>Harrows</t>
  </si>
  <si>
    <t>10-ha farm</t>
  </si>
  <si>
    <t>Scrapers (pelles de planage)</t>
  </si>
  <si>
    <t>Leveling Bars</t>
  </si>
  <si>
    <t>Ox Carts</t>
  </si>
  <si>
    <t>Walking Tractors w/ equipment</t>
  </si>
  <si>
    <t>Votex Treshers</t>
  </si>
  <si>
    <t>Twinfan Threshers</t>
  </si>
  <si>
    <t>Exchange Rate:</t>
  </si>
  <si>
    <t>Small Rice Hullers</t>
  </si>
  <si>
    <t>30-ha farm</t>
  </si>
  <si>
    <t>Number CFA/$</t>
  </si>
  <si>
    <t>Mini-Rice Plants</t>
  </si>
  <si>
    <t>Tractor 30 cv</t>
  </si>
  <si>
    <t>Equipment Price Information</t>
  </si>
  <si>
    <t>Total Equipment Needs by Farm Size</t>
  </si>
  <si>
    <t>Sources of Information</t>
  </si>
  <si>
    <t>Most of these prices are from the CAFON</t>
  </si>
  <si>
    <t>60-ha farm</t>
  </si>
  <si>
    <t>(Cooperative Artisanale des Forgerons de</t>
  </si>
  <si>
    <t>l'Office du Niger) in Niono. Check their price list</t>
  </si>
  <si>
    <t>Estimates the annual costs and benefits of the project and computes the resulting ERR over a 25-year time period.</t>
  </si>
  <si>
    <t>Shows detailed cost estimates for various components of the project at the time of the investment decision.</t>
  </si>
  <si>
    <t>Calculates the annual costs and benefits, resulting from vehicle operating cost savings, time savings, decreased maintenance costs, of the road activity.</t>
  </si>
  <si>
    <t>Decreased paddy production loss from water rationing</t>
  </si>
  <si>
    <t>Projects the annual costs and benefits of main irrigation system improvements and computes 25-year ERRs for the activity.</t>
  </si>
  <si>
    <t>Analyzes the project's impact on beneficiaries of the project.</t>
  </si>
  <si>
    <t>Estimates the annual costs and benefits of the land allocation activity.</t>
  </si>
  <si>
    <t>Projects agricultural production for the Alatona region over the first seven years of the project.</t>
  </si>
  <si>
    <t>A table showing irrigation-related financial and economic prices and costs for farmers in the project zone.</t>
  </si>
  <si>
    <t>Models the project's returns on social infrastructure.</t>
  </si>
  <si>
    <t xml:space="preserve">for possible increases. </t>
  </si>
  <si>
    <t>For walking tractors, check dealers in Bamako.</t>
  </si>
  <si>
    <t>For threshers and hullers, check possible use of</t>
  </si>
  <si>
    <t>Votex Threshers</t>
  </si>
  <si>
    <t>a common stationary engine (walking tractor).</t>
  </si>
  <si>
    <t xml:space="preserve">Similar equipment to village groups for smaller </t>
  </si>
  <si>
    <t>farmers (up to 60 ha)?  Policy question …</t>
  </si>
  <si>
    <t>90-ha farm</t>
  </si>
  <si>
    <t>Total Cost of Equipement by Farm Size (in millions of CFA)</t>
  </si>
  <si>
    <t>Rough Land Value &amp; Mortgage Calculation</t>
  </si>
  <si>
    <t>Ret/ha</t>
  </si>
  <si>
    <t>in $</t>
  </si>
  <si>
    <t>Rounded</t>
  </si>
  <si>
    <t>PVA 10%</t>
  </si>
  <si>
    <t>x 10 ha</t>
  </si>
  <si>
    <t>Loan rate</t>
  </si>
  <si>
    <t>120-ha farm</t>
  </si>
  <si>
    <t>Period</t>
  </si>
  <si>
    <t>Pmt/yr $</t>
  </si>
  <si>
    <t>Pmt/yr F</t>
  </si>
  <si>
    <t>Totals by Farm Size</t>
  </si>
  <si>
    <t>Totals for Small Farms (5-10)</t>
  </si>
  <si>
    <t>Totals for Larger Farms (&gt;30)</t>
  </si>
  <si>
    <t>Total Cost of Equipement by Farm Size (in USD '000)</t>
  </si>
  <si>
    <t>Mini-rice Plants</t>
  </si>
  <si>
    <t>Production</t>
  </si>
  <si>
    <t>MT Credit: This covers field production equipment costs and downstream processing equipment needs for rice (Total $2.9 million). Still need downstream (filiere) medium term credit need assumptions (for storage, processing, and marketing)for alternative an</t>
  </si>
  <si>
    <t>Short-Term Credit:</t>
  </si>
  <si>
    <t>Seasonal Credit Needs per hectare (seeds, fertilizer, hired labor)</t>
  </si>
  <si>
    <t>(Table copied with links)</t>
  </si>
  <si>
    <t>CFA ('000)</t>
  </si>
  <si>
    <t>$US</t>
  </si>
  <si>
    <t>Aly Diallo</t>
  </si>
  <si>
    <t xml:space="preserve"> -- need budget figure here (just a quess)</t>
  </si>
  <si>
    <t>Seasonal Credit by Crop and Farm Size (in CFA Millions)</t>
  </si>
  <si>
    <t>Larger Farm Machinery Operating Costs (partly covered by custom work?)</t>
  </si>
  <si>
    <t>US</t>
  </si>
  <si>
    <t>Total small farm ST credit</t>
  </si>
  <si>
    <t>Per HA Larger Farm ST credit</t>
  </si>
  <si>
    <t>1/3*1</t>
  </si>
  <si>
    <t>1/3*2</t>
  </si>
  <si>
    <t>1/3*3</t>
  </si>
  <si>
    <t>-- Aly Diallo</t>
  </si>
  <si>
    <t>Walking Tractor Op. Costs</t>
  </si>
  <si>
    <t>Votex Thresher Op. Costs</t>
  </si>
  <si>
    <t>Twinfan Thresher Op Costs</t>
  </si>
  <si>
    <t>per ton figure</t>
  </si>
  <si>
    <t>Small Rice Dehullers</t>
  </si>
  <si>
    <t>Min- Rice Mill</t>
  </si>
  <si>
    <t>Total larger farm ST credit</t>
  </si>
  <si>
    <t>Small and Large Farm ST Credit Needs</t>
  </si>
  <si>
    <t>Seasonal Credit by Crop and Farm Size (in $US Millions)</t>
  </si>
  <si>
    <t>Assuming 16,000 hectares</t>
  </si>
  <si>
    <t>of net irrigation after allowance for roads etc.</t>
  </si>
  <si>
    <t>Redundant tables were hidden rather than deleted.</t>
  </si>
  <si>
    <t>Rice was converted to paddy by dividing 0.68 which corresponds to the shelling rate.</t>
  </si>
  <si>
    <t>Project Components by Year -- Base Costs</t>
  </si>
  <si>
    <t>(US$ Million)</t>
  </si>
  <si>
    <t>2007</t>
  </si>
  <si>
    <t>2008</t>
  </si>
  <si>
    <t>2009</t>
  </si>
  <si>
    <t>2010</t>
  </si>
  <si>
    <t>2011</t>
  </si>
  <si>
    <t>Subtotal Niono - Goma Coura Road</t>
  </si>
  <si>
    <t>Total BASELINE COSTS</t>
  </si>
  <si>
    <t>Physical Contingencies</t>
  </si>
  <si>
    <t>Price Contingencies</t>
  </si>
  <si>
    <t>Rainy Season Paddy - 1st 5300 ha.</t>
  </si>
  <si>
    <t>Rainy Season Other - 1st 5300 ha</t>
  </si>
  <si>
    <t>RS Paddy - 2nd 5300 ha.</t>
  </si>
  <si>
    <t>Dry Season Production -1st 5300 ha.</t>
  </si>
  <si>
    <t>DS Production - 2nd 5300 ha.</t>
  </si>
  <si>
    <t>RS Other  - 2nd 5300 ha.</t>
  </si>
  <si>
    <t>RS Paddy - 3rd 5400 ha</t>
  </si>
  <si>
    <t>DS Production - 3rd 5400 ha</t>
  </si>
  <si>
    <t>RS Other - 3 rd 5400 ha</t>
  </si>
  <si>
    <t>Total Costs used for Alatona Beneficiaries  Calculation</t>
  </si>
  <si>
    <t>Revised IRR Calculations</t>
  </si>
  <si>
    <t>Dry Season Benefits</t>
  </si>
  <si>
    <t>Incremental DS Benefits</t>
  </si>
  <si>
    <t>DS Wheat</t>
  </si>
  <si>
    <t>July 2006 Options</t>
  </si>
  <si>
    <t>July 2006 - Consensus Figures ON, MCC, MCA and CDM</t>
  </si>
  <si>
    <t>Wheat DS</t>
  </si>
  <si>
    <t>Wheat</t>
  </si>
  <si>
    <t>Farms of size 60 ha above actually range from 30 ha to 120 ha, with average of 60 ha.</t>
  </si>
  <si>
    <t>Wheat (DS)</t>
  </si>
  <si>
    <t>resettlement, which is done in the dry season). Each Quarter = 5300 HA.</t>
  </si>
  <si>
    <t>Niebe Forage (DS)</t>
  </si>
  <si>
    <t>Niebe For. (DS)</t>
  </si>
  <si>
    <t xml:space="preserve">Rainy Season Benefits </t>
  </si>
  <si>
    <t>Incremental RS Benefits</t>
  </si>
  <si>
    <t>Prices and per ha costs (with family labor) were borrowed from Crawford files.</t>
  </si>
  <si>
    <t>Other Irrigation Schemes Upstream of Alatona</t>
  </si>
  <si>
    <t>Without Main System Improvements</t>
  </si>
  <si>
    <t>With Main System Improvements</t>
  </si>
  <si>
    <t>Inc. Benefit</t>
  </si>
  <si>
    <t>Inc. Costs</t>
  </si>
  <si>
    <t>Cash Flow</t>
  </si>
  <si>
    <t>Existing Irrig. Area</t>
  </si>
  <si>
    <t>New Irrig. Area</t>
  </si>
  <si>
    <t>New Infra. Cost/ha</t>
  </si>
  <si>
    <t>New Inf. Cost</t>
  </si>
  <si>
    <t>Total Equipped Area</t>
  </si>
  <si>
    <t>Rice Yield</t>
  </si>
  <si>
    <t>Total Production</t>
  </si>
  <si>
    <t>Value Of Production</t>
  </si>
  <si>
    <t>MSI Costs</t>
  </si>
  <si>
    <t>Total Inf. Cost</t>
  </si>
  <si>
    <t>Incr. Costs</t>
  </si>
  <si>
    <t>Inc. Returns</t>
  </si>
  <si>
    <t>US$</t>
  </si>
  <si>
    <t>ha</t>
  </si>
  <si>
    <t>US$/ha</t>
  </si>
  <si>
    <t>tons/ha</t>
  </si>
  <si>
    <t>tons</t>
  </si>
  <si>
    <t>Indicative Economic Analysis of Main System Improvements - Figures in '000 US$</t>
  </si>
  <si>
    <t>Returns on MSI Investments</t>
  </si>
  <si>
    <t>Combined Alatona</t>
  </si>
  <si>
    <t>The project total ignores allowance on MSI and Alatona O&amp;M costs not considered.</t>
  </si>
  <si>
    <t>and Non-Alatona Schemes</t>
  </si>
  <si>
    <t>Other Schemes Incremental</t>
  </si>
  <si>
    <t>With Project Benefit, Costs, Cash Flow</t>
  </si>
  <si>
    <t>Proposed Alatona Scheme</t>
  </si>
  <si>
    <t>ERR</t>
  </si>
  <si>
    <t>Model Based on Economic Prices</t>
  </si>
  <si>
    <t>Economic Analysis</t>
  </si>
  <si>
    <t>Economic price of paddy is 0.27 cents per kg.</t>
  </si>
  <si>
    <t>Maize and Niebe Labor Cost as % of Total Cost</t>
  </si>
  <si>
    <t>Paddy Labor Costs as % of Total Cost</t>
  </si>
  <si>
    <t>Crop Mix Assumptions</t>
  </si>
  <si>
    <t xml:space="preserve"> Mixes (per Ha)</t>
  </si>
  <si>
    <t>Projected Crop Areas By Crop By Year /a</t>
  </si>
  <si>
    <t xml:space="preserve">/a These values are used for calculating crop VA streams, crop area will not actually be </t>
  </si>
  <si>
    <t>achieved in this fashion as the land will come on-line in thirds.</t>
  </si>
  <si>
    <t>Total Tons of Production by Crop /b</t>
  </si>
  <si>
    <t>/b Same as projected crop areas, this is used as a source table to calculate tons</t>
  </si>
  <si>
    <t>of production for transport in the Alatona Prod Sheet</t>
  </si>
  <si>
    <t>CFA/$</t>
  </si>
  <si>
    <t>Number of Farms</t>
  </si>
  <si>
    <t xml:space="preserve">Number of People per 5 Ha </t>
  </si>
  <si>
    <t xml:space="preserve">   Number of 10 Ha Farm Beneficiaries</t>
  </si>
  <si>
    <t xml:space="preserve">   Number of 30 Ha Farm Beneficiaries</t>
  </si>
  <si>
    <t xml:space="preserve">   Number of Larger Farm Beneficiaries</t>
  </si>
  <si>
    <t>Farmer Owner Change in Income</t>
  </si>
  <si>
    <t>Implied Annual Profits of the Average 5 Ha Farm ($)</t>
  </si>
  <si>
    <t>Income After Land Payment</t>
  </si>
  <si>
    <t>Estimate of Percentage Farm HH Income that is Incremental</t>
  </si>
  <si>
    <t xml:space="preserve">-3 Ha Farm that serves 12.8 people, full season of rice, offseason rice and market gardening consistent with </t>
  </si>
  <si>
    <t xml:space="preserve">-Average per capita annual rural expenditure per capita.  Source: 2004 “Enquête Malienne d’Evaluation de </t>
  </si>
  <si>
    <t>Income Level Achieved By Project for 10 Ha Farm</t>
  </si>
  <si>
    <t>Income Level Achieved By Project for 30 Ha Farm</t>
  </si>
  <si>
    <t>Income Level Achieved By Project for Larger Farms (Assumed to be 60 Ha)</t>
  </si>
  <si>
    <t>Implied Annual Profits of the Average 60 Ha Farm ($)</t>
  </si>
  <si>
    <t>% Smaller Farm Beneficiaries Coming from 3 Ha Farm Scenario</t>
  </si>
  <si>
    <t>% Small Farm Beneficiaries Coming from Rural GDP Per Capita Scenario</t>
  </si>
  <si>
    <t>% Small Farm Beneficiaries Coming from Subsistence Scenario</t>
  </si>
  <si>
    <t>Total 10 Ha Farms</t>
  </si>
  <si>
    <t>Total 30 Ha Farms</t>
  </si>
  <si>
    <t>% Coming from 30 Ha Scenario</t>
  </si>
  <si>
    <t>Total Larger Farms</t>
  </si>
  <si>
    <t>% Coming from 60 Ha Scenario</t>
  </si>
  <si>
    <t>Average Income of Poor Beneficiaries Prior to Program ($)</t>
  </si>
  <si>
    <t>Total Weighted Average Increase</t>
  </si>
  <si>
    <t>Rainy Season Paddy</t>
  </si>
  <si>
    <t>`</t>
  </si>
  <si>
    <t>Percent Which Are Poor</t>
  </si>
  <si>
    <t>Avg Per Farm</t>
  </si>
  <si>
    <t>Income After Payments</t>
  </si>
  <si>
    <t>No Rice in DS (Base)</t>
  </si>
  <si>
    <t>July 2006 Appraisal (High)</t>
  </si>
  <si>
    <t>Low Case (110%)</t>
  </si>
  <si>
    <t>Start Point</t>
  </si>
  <si>
    <t>110% Cropping intensity with no DS rice or non-shallot vegetables,</t>
  </si>
  <si>
    <t>120% Cropping Intensity with DS Rice and non-shallot vegetables,</t>
  </si>
  <si>
    <t>115% cropping intensity with no DS Rice but with non-shallot vegetables,</t>
  </si>
  <si>
    <t>Farm Income</t>
  </si>
  <si>
    <t>Laborer Income</t>
  </si>
  <si>
    <t>Income After Land and Labor</t>
  </si>
  <si>
    <t>Number of Laborer Beneficiaries</t>
  </si>
  <si>
    <t>Number of 5 Ha Farm Laborer Beneficiaries</t>
  </si>
  <si>
    <t>Number of 10 Ha Farm Laborer Beneficiaries</t>
  </si>
  <si>
    <t>Number of 30 Ha Farm Laborer Beneficiaries</t>
  </si>
  <si>
    <t>Number of Larger Farm Laborer Beneficiaries</t>
  </si>
  <si>
    <t>Average Annual Wage Per Laborer In SS ($)</t>
  </si>
  <si>
    <t>-750 is three times Mali's average rural expenditure per capita</t>
  </si>
  <si>
    <t>-$5,000 is a placeholder</t>
  </si>
  <si>
    <t>Implied Annual Revenue of the Average 5 Ha Farm ('000)</t>
  </si>
  <si>
    <t>Implied Annual Costs of the Average 5 Ha Farm ('000)</t>
  </si>
  <si>
    <t xml:space="preserve">     The Alatona Project is estimated to generate an economic return of 15.3% based on a quantification of incremental agricultural production, avoided reductions in rice yields in the ON resulting from the increase in conveyance capacity of the ON’s main canal system, and lower vehicle operating costs along the Niono-Goma Coura Road. The economic analysis aimed to quantify the direct impact of the MCC investment on value added from agricultural production. The economic analysis has not evaluated the indirect impacts of the MCC investment on the whole supply chain (upstream and downstream suppliers). Estimates conducted by MCC consultants indicate that this “supply chain multiplier” could be as high as 30% of direct impacts, but no direct evidence of this was gathered. The Alatona Project is also expected to generate non-quantified social, health, and education improvements through investment in social infrastructure in the Alatona zone and greater access to existing health and social services facilities through the Niono-Goma Coura road upgrade.</t>
  </si>
  <si>
    <t xml:space="preserve">     The Alatona Irrigation Project is focused on increasing production and productivity, increasing farmer incomes, improving land tenure security, modernizing irrigated production systems and mitigating the uncertainty from subsistence rain-fed agriculture. It seeks to develop newly irrigated lands, increase the “drought-proof” cropland and the country’s total stock of fully or partially irrigated land. The Alatona Irrigation Project will introduce innovative agricultural, land tenure, and water management practices, as well as policy and organizational reforms aimed at realizing the potential of the Office du Niger to serve as an engine of rural growth for Mali.</t>
  </si>
  <si>
    <t>Cash Flow of  Farm that is representative of the Crop Mix in the Alatona</t>
  </si>
  <si>
    <t>For Net Irrigable Area Developed</t>
  </si>
  <si>
    <t>HH Size</t>
  </si>
  <si>
    <t>Land Financing Required (CFA)</t>
  </si>
  <si>
    <t>Number of 5 Ha Farm Beneficiaries (Resettled)</t>
  </si>
  <si>
    <t>Number of 5 Ha Farm Beneficiaries (Newly Settled)</t>
  </si>
  <si>
    <t>Note</t>
  </si>
  <si>
    <t>New Settlers</t>
  </si>
  <si>
    <t xml:space="preserve">Resettled </t>
  </si>
  <si>
    <t>Income Level Achieved By Project for 5 Ha Farm (Newly Settled Farmers)</t>
  </si>
  <si>
    <t>Income Level Achieved By Project for 5 Ha Farm (Resettled Population)</t>
  </si>
  <si>
    <t>5 Ha Farms (Settled Population)</t>
  </si>
  <si>
    <t>5 Ha Farms (Resettled Population)</t>
  </si>
  <si>
    <t>Size of Resettlement Package (In Ha out of a 5 Ha Farm</t>
  </si>
  <si>
    <t>Land Price to Include in Farmer Income Calculation</t>
  </si>
  <si>
    <t>1: $5,000 Per Ha, 20 Yr Loan Term, 0% Interest, 1 Year Grace (Land DD Reccs); 2: Direct Link to Land_Financing Sheet</t>
  </si>
  <si>
    <t>Average Annual Wage Per Laborer in SS ($)</t>
  </si>
  <si>
    <t>Valuation of Food Provided to Laborer in SS ($)</t>
  </si>
  <si>
    <t>of these beneficiaries will in fact be non-working family members.  This potential overstating of incomes</t>
  </si>
  <si>
    <t>Exchange rate (CFA franc/US$)</t>
  </si>
  <si>
    <t>Actual crop yields as a percentage of expected crop yields</t>
  </si>
  <si>
    <t>= Financial prices</t>
  </si>
  <si>
    <t>= Economic prices</t>
  </si>
  <si>
    <t>Project year in which farmers are connected to the system</t>
  </si>
  <si>
    <t>Specific</t>
  </si>
  <si>
    <t>2 - 5</t>
  </si>
  <si>
    <t>is balanced by the fact that the Laborer Beneficiaries' role on the larger farms will likely go beyond that</t>
  </si>
  <si>
    <t>of seasonal labor to being tenant farmers and receiving a share of crop income on the 30 Ha and larger</t>
  </si>
  <si>
    <t>farms.</t>
  </si>
  <si>
    <r>
      <t>Note:</t>
    </r>
    <r>
      <rPr>
        <sz val="10"/>
        <rFont val="Arial"/>
        <family val="0"/>
      </rPr>
      <t xml:space="preserve"> </t>
    </r>
  </si>
  <si>
    <t>This analysis assumes that all of the Laborer Beneficiaries will earn a wage.  It is likely that some</t>
  </si>
  <si>
    <t>Average Income of Poor Beneficiaries After Program ($)</t>
  </si>
  <si>
    <t>Average Increase in Income Per Poor Farmer Beneficiary ($)</t>
  </si>
  <si>
    <t>Average Increase in Income Per Poor Laborer Beneficiary (%)</t>
  </si>
  <si>
    <t>Table 5-6: Irrigation Related Financial and Economic Prices and Farmer Costs</t>
  </si>
  <si>
    <t>Prices and Farmer Costs – Financial and Economic</t>
  </si>
  <si>
    <t>Financial</t>
  </si>
  <si>
    <t>Economic</t>
  </si>
  <si>
    <t>Per Person ($)</t>
  </si>
  <si>
    <t>Price Dial</t>
  </si>
  <si>
    <t>Taken from Cost Benefit Analysis Page 5-20 in CDM Draft Pre-Feasibility Report</t>
  </si>
  <si>
    <t>Implied Profits of the Average 5 Ha Farm ('000)</t>
  </si>
  <si>
    <t>Econ/Finan Prices</t>
  </si>
  <si>
    <t>Hectares</t>
  </si>
  <si>
    <t>Number of People</t>
  </si>
  <si>
    <t>DS Cereal</t>
  </si>
  <si>
    <t>DS Non Cereal</t>
  </si>
  <si>
    <t>Incremental Social Infrastructure Benefits</t>
  </si>
  <si>
    <t>Incremental Social Infrastructure From Guarantee Fund</t>
  </si>
  <si>
    <t>5. Social Infra From Remaining Credit</t>
  </si>
  <si>
    <t>Total Benefits</t>
  </si>
  <si>
    <t>Net Benefits</t>
  </si>
  <si>
    <t>Costs, Benefits, Net Benefit Scenarios, ERRs</t>
  </si>
  <si>
    <t>Year (Amounts in $'000)</t>
  </si>
  <si>
    <t xml:space="preserve"> </t>
  </si>
  <si>
    <t>Base Cost</t>
  </si>
  <si>
    <t>A. Alatona Irrigation Project</t>
  </si>
  <si>
    <t>1. Presettlement</t>
  </si>
  <si>
    <t>2. Niono - Goma Coura Road</t>
  </si>
  <si>
    <t>a. Niono-Diabaly Road (Section I)</t>
  </si>
  <si>
    <t>b. Diabaly-Goma Coura Road (Section II)</t>
  </si>
  <si>
    <t>3. Irrigation and Planning Infrastructure</t>
  </si>
  <si>
    <t>a. Main System Capacity Enhancement</t>
  </si>
  <si>
    <t>b. Alatona Main System Works</t>
  </si>
  <si>
    <t>c. Alatona Distribution Network Works</t>
  </si>
  <si>
    <t>d. Alatona Main System O&amp;M</t>
  </si>
  <si>
    <t>e. Alatona Distribution System O&amp;M</t>
  </si>
  <si>
    <t>Subtotal Irrigation and Planning Infrastructure</t>
  </si>
  <si>
    <t>4. Land Allocation</t>
  </si>
  <si>
    <t>5. Social Infrastructure, Social Services, Resettlement and Settlement</t>
  </si>
  <si>
    <t>a. Social Infrastructure</t>
  </si>
  <si>
    <t>b. Health Sector Interventions</t>
  </si>
  <si>
    <t>Subtotal Social Infrastructure, Social Services, Resettlement and Settlement</t>
  </si>
  <si>
    <t>6. Agricultural Services</t>
  </si>
  <si>
    <t>a. Agricultural Extension and Farmer Training</t>
  </si>
  <si>
    <t>b. Applied Agricultural Research</t>
  </si>
  <si>
    <t>c. Commodity Chain Development</t>
  </si>
  <si>
    <t>Subtotal Agricultural Services</t>
  </si>
  <si>
    <t>7. Financial Services</t>
  </si>
  <si>
    <t>Subtotal Financial Services</t>
  </si>
  <si>
    <t>8. Institutional Strenthening</t>
  </si>
  <si>
    <t>a. Support for Farmer Organizations</t>
  </si>
  <si>
    <t>b. Support to Water Management</t>
  </si>
  <si>
    <t>Subtotal Institutional Strenthening</t>
  </si>
  <si>
    <t>Subtotal Alatona Irrigation Project</t>
  </si>
  <si>
    <t>B. Monitoring and Evaluation</t>
  </si>
  <si>
    <t>C. Program Administration and Controls</t>
  </si>
  <si>
    <t>Total PROJECT COSTS</t>
  </si>
  <si>
    <t>Already in Crop Budget</t>
  </si>
  <si>
    <t>B. Project Administration and M&amp;E</t>
  </si>
  <si>
    <t>1. Monitoring and Evaluation</t>
  </si>
  <si>
    <t>2. Project Management</t>
  </si>
  <si>
    <t>a. Loan Partial Guarantee Program</t>
  </si>
  <si>
    <t>b. Credit Bureau Strengthening</t>
  </si>
  <si>
    <t>c. Financial Institution Capacity Building</t>
  </si>
  <si>
    <t>d. Support to Farmers</t>
  </si>
  <si>
    <t>1=Low Case (110%, No DS Rice or non-shallot veg); 2=Base Case (115%, No DS Rice); 3=High Case (120%); 4=main season rice only (100)%</t>
  </si>
  <si>
    <t>c. Road O&amp;M</t>
  </si>
  <si>
    <t>Spending</t>
  </si>
  <si>
    <t>b. Social Infrastructure</t>
  </si>
  <si>
    <t>c. Health Sector Interventions</t>
  </si>
  <si>
    <t>f. Support to Water Management</t>
  </si>
  <si>
    <t>a. Land Parcel Creation</t>
  </si>
  <si>
    <t>b. Land Rights Education</t>
  </si>
  <si>
    <t>c. Registration System Upgrade</t>
  </si>
  <si>
    <t>d. Land Parcel Allocation and Titling</t>
  </si>
  <si>
    <t>e. Land Revenue Collection and Management</t>
  </si>
  <si>
    <t>Subtotal Land Allocation</t>
  </si>
  <si>
    <t>a. Presettlement</t>
  </si>
  <si>
    <t>1. Niono - Goma Coura Road</t>
  </si>
  <si>
    <t>2. Irrigation and Planning Infrastructure</t>
  </si>
  <si>
    <t>3. Land Allocation</t>
  </si>
  <si>
    <t>4. Social Infrastructure, Social Services, Resettlement and Settlement</t>
  </si>
  <si>
    <t>5. Agricultural Services</t>
  </si>
  <si>
    <t>6. Financial Services</t>
  </si>
  <si>
    <t>b. Agricultural Extension and Farmer Training</t>
  </si>
  <si>
    <t>c. Applied Agricultural Research</t>
  </si>
  <si>
    <t>Models Notional Returns on Social Infrastructure</t>
  </si>
  <si>
    <t>25 Year EIRR</t>
  </si>
  <si>
    <t>Rice Conversion Factor</t>
  </si>
  <si>
    <t>Annual Average Rice Consumption Per Capita</t>
  </si>
  <si>
    <t>Alatona Paddy</t>
  </si>
  <si>
    <t>Alatona Rice</t>
  </si>
  <si>
    <t>Number of People's Consumption Satisfied</t>
  </si>
  <si>
    <t>% of National Paddy Consumption</t>
  </si>
  <si>
    <t>% of Paddy Imports</t>
  </si>
  <si>
    <t>Growth Rate in Rice Demand</t>
  </si>
  <si>
    <t>Actual</t>
  </si>
  <si>
    <t>Projected</t>
  </si>
  <si>
    <t>CAGR</t>
  </si>
  <si>
    <t>Production (Mt) FAO</t>
  </si>
  <si>
    <t>Of Which is ON</t>
  </si>
  <si>
    <t>Imports equivalent paddy FAO et Douanes 2002 2003</t>
  </si>
  <si>
    <t>Consommation (paddy)</t>
  </si>
  <si>
    <t>Consommation (rice)</t>
  </si>
  <si>
    <t>Percent of Consumption Imported</t>
  </si>
  <si>
    <t>Estimates the assumptions about cropping patterns, yields and revenues for individual farms.</t>
  </si>
  <si>
    <t>Pg. 58 Agence Française de Développement (2005), La filière riz au Mali : compétitivité et perspectives de marché.</t>
  </si>
  <si>
    <t>ON Paddy Production (Tons)</t>
  </si>
  <si>
    <t>ON Rice Production</t>
  </si>
  <si>
    <t>% of National Production</t>
  </si>
  <si>
    <t>Additional Demand in Rice for 2010, 2015</t>
  </si>
  <si>
    <t>2010: 239,444 tons of additional paddy required</t>
  </si>
  <si>
    <t>2015: 458, 449 tons of additional paddy</t>
  </si>
  <si>
    <t>209678</t>
  </si>
  <si>
    <t>Tableau 24</t>
  </si>
  <si>
    <t>232206</t>
  </si>
  <si>
    <t>244563</t>
  </si>
  <si>
    <t>A 2005 AFD study predicts that the growth rate in rice demand in Mali is 3.5%.  Based on this simulation it is estimated that by 2015, Mali's annual consumption demand for rice will be 924,000 tons, an increase of the forcast demand of 246,000 in 2006.  It is estimated that in 2015 the Alatona Zone will generate 99,000 tons of rice, or approximately 40% of the forecast increase in demand.  Utilizing the average consumption per capita of rice in Mali of 52 Kg per person per year, the Alatona production equates to the rice consumption needs of 1.2 million people.</t>
  </si>
  <si>
    <t>267186</t>
  </si>
  <si>
    <t>308630</t>
  </si>
  <si>
    <t>319300</t>
  </si>
  <si>
    <t>Paddy Increase Required (2006 to 2015)</t>
  </si>
  <si>
    <t>2015 Paddy Demand</t>
  </si>
  <si>
    <t>Rice Increase Required (2006 to 2015)</t>
  </si>
  <si>
    <t>2015 Rice Demand</t>
  </si>
  <si>
    <t>Alatona Percentage of Paddy Increase</t>
  </si>
  <si>
    <t>Alatona % Paddy D</t>
  </si>
  <si>
    <t>Alatona Percentage of Rice Increase</t>
  </si>
  <si>
    <t>Alatona % Rice D</t>
  </si>
  <si>
    <t xml:space="preserve">Source: </t>
  </si>
  <si>
    <t>AFD (2003) La filiere riz au Mali:  compétitivité et perspectives de marche</t>
  </si>
  <si>
    <t>Percent of Irrigable Land Irrigated By Year</t>
  </si>
  <si>
    <t>Assumed to be 100%</t>
  </si>
  <si>
    <t>55.7% of total M&amp;E Costs of $4.9m</t>
  </si>
  <si>
    <t>55.7% of total Program Admin Costs of $37.4m</t>
  </si>
  <si>
    <t>Road Beneficiaries</t>
  </si>
  <si>
    <t>Road Cost per Beneficiary ($)</t>
  </si>
  <si>
    <t>Irrigation Project Cost/Beneficiary ($)</t>
  </si>
  <si>
    <t/>
  </si>
  <si>
    <t>Base Case</t>
  </si>
  <si>
    <t>Total Inc.Benefits-Total Costs - Alatona + Road + MSI</t>
  </si>
  <si>
    <t>Total Inc. Benefits-Total Costs - Alatona + Road</t>
  </si>
  <si>
    <t>Last updated:  8/31/2006</t>
  </si>
  <si>
    <t>Project name</t>
  </si>
  <si>
    <t>Spreadsheet version</t>
  </si>
  <si>
    <t>Investment memo, final</t>
  </si>
  <si>
    <t>Date</t>
  </si>
  <si>
    <t>Amount of MCC funds</t>
  </si>
  <si>
    <t>Project description</t>
  </si>
  <si>
    <t>ERR and sensitivity analysis</t>
  </si>
  <si>
    <t>Description of key parameters</t>
  </si>
  <si>
    <t>Parameter values</t>
  </si>
  <si>
    <t>Values used in ERR computation</t>
  </si>
  <si>
    <t>Economic rate of return (ERR):</t>
  </si>
  <si>
    <t>User Input</t>
  </si>
  <si>
    <t>Actual costs as a percentage of estimated costs</t>
  </si>
  <si>
    <t>Actual benefits as a percentage of estimated benefits</t>
  </si>
  <si>
    <t>80 - 120%</t>
  </si>
  <si>
    <t>MCC Estimate</t>
  </si>
  <si>
    <t>All summary parameters set to initial values?</t>
  </si>
  <si>
    <t xml:space="preserve">   More Info</t>
  </si>
  <si>
    <t>Parameter type</t>
  </si>
  <si>
    <t>Plausible range</t>
  </si>
  <si>
    <r>
      <t>Change the "</t>
    </r>
    <r>
      <rPr>
        <sz val="10"/>
        <color indexed="12"/>
        <rFont val="Arial"/>
        <family val="2"/>
      </rPr>
      <t>User Input</t>
    </r>
    <r>
      <rPr>
        <sz val="10"/>
        <rFont val="Arial"/>
        <family val="0"/>
      </rPr>
      <t>" cells in the table below to see the effect on the compact's Economic Rate of Return (ERR) and net benefits (see chart below).  To reset all values to the default MCC estimates, click the "</t>
    </r>
    <r>
      <rPr>
        <sz val="10"/>
        <color indexed="12"/>
        <rFont val="Arial"/>
        <family val="2"/>
      </rPr>
      <t>Reset Parameters</t>
    </r>
    <r>
      <rPr>
        <sz val="10"/>
        <rFont val="Arial"/>
        <family val="0"/>
      </rPr>
      <t>" button at right.  Be sure to reset all summary parameters to their original values ("MCC Estimate" values) before changing specific parameters.</t>
    </r>
  </si>
  <si>
    <r>
      <t xml:space="preserve">   </t>
    </r>
    <r>
      <rPr>
        <u val="single"/>
        <sz val="10"/>
        <color indexed="12"/>
        <rFont val="Arial"/>
        <family val="0"/>
      </rPr>
      <t>Project Description</t>
    </r>
  </si>
  <si>
    <r>
      <t xml:space="preserve">   </t>
    </r>
    <r>
      <rPr>
        <u val="single"/>
        <sz val="10"/>
        <color indexed="12"/>
        <rFont val="Arial"/>
        <family val="0"/>
      </rPr>
      <t>User's Guide</t>
    </r>
  </si>
  <si>
    <r>
      <t xml:space="preserve">MCC Estimated ERR </t>
    </r>
    <r>
      <rPr>
        <b/>
        <sz val="8"/>
        <rFont val="Arial"/>
        <family val="2"/>
      </rPr>
      <t>(as of 8/31/2006)</t>
    </r>
    <r>
      <rPr>
        <b/>
        <sz val="10"/>
        <rFont val="Arial"/>
        <family val="2"/>
      </rPr>
      <t>:</t>
    </r>
  </si>
  <si>
    <t>Benefit streams included in ERR</t>
  </si>
  <si>
    <t>Costs included in ERR (other than costs borne by MCC)</t>
  </si>
  <si>
    <t>None</t>
  </si>
  <si>
    <t>Estimated ERR and time horizon</t>
  </si>
  <si>
    <t>Worksheets in this file</t>
  </si>
  <si>
    <t>Project Description</t>
  </si>
  <si>
    <t>Last updated: 8/31/2006</t>
  </si>
  <si>
    <t>One should read this sheet first, as it offers a summary of the activity, a list of components, and states the economic rationale for the project.</t>
  </si>
  <si>
    <t>ERR &amp; Sensitivity Analysis</t>
  </si>
  <si>
    <t>This worksheet highlights key assumptions and summarizes how the ERR may change due to varying costs and benefits.</t>
  </si>
  <si>
    <t>Mali: Alatona Irrigation</t>
  </si>
  <si>
    <t>Mali: Alatona Irrigation Project</t>
  </si>
  <si>
    <t>$234.6 million</t>
  </si>
  <si>
    <t>15.3% over 25 years</t>
  </si>
  <si>
    <t>Summary</t>
  </si>
  <si>
    <t>Components</t>
  </si>
  <si>
    <t>Economic Rationale</t>
  </si>
  <si>
    <t>The Project Activities that are funded under this Project are:</t>
  </si>
  <si>
    <r>
      <t xml:space="preserve">      5.   Agricultural Services</t>
    </r>
    <r>
      <rPr>
        <sz val="10"/>
        <rFont val="Arial"/>
        <family val="0"/>
      </rPr>
      <t>. This Project Activity will support a range of agricultural, institutional and related services to 
             strengthen capacity and improve agricultural practice through applied agricultural research, extension and farmer training, 
             support to farmer organizations, and support to water users associations (“WUAs”).</t>
    </r>
  </si>
  <si>
    <r>
      <t xml:space="preserve">      6.   Financial Services</t>
    </r>
    <r>
      <rPr>
        <sz val="10"/>
        <rFont val="Arial"/>
        <family val="0"/>
      </rPr>
      <t>. This Project Activity will encourage agricultural lending by reducing the risks of extending credit in 
             this newly developed zone, improving transparency within the existing financial system, and strengthening the 
             capabilities of local financial institutions through a credit risk sharing program, microfinance credit bureau strengthening, 
             financial institution capacity building, and direct support to farmers.</t>
    </r>
  </si>
  <si>
    <r>
      <t xml:space="preserve">     1.   Niono – Goma Coura Road</t>
    </r>
    <r>
      <rPr>
        <sz val="10"/>
        <rFont val="Arial"/>
        <family val="0"/>
      </rPr>
      <t>. This Project Activity will upgrade an 81 km north-south road within the national highway 
            network from its current earth/gravel condition to a paved standard. The investment will also include an additional access 
            spur to the Alatona perimeter at the village of Dogofry.</t>
    </r>
  </si>
  <si>
    <r>
      <t xml:space="preserve">     2.   Irrigation Planning and Infrastructure</t>
    </r>
    <r>
      <rPr>
        <sz val="10"/>
        <rFont val="Arial"/>
        <family val="0"/>
      </rPr>
      <t>. This Project Activity will involve main conveyance system expansion, Alatona 
            irrigation system development, and support to the ON agency on water management.</t>
    </r>
  </si>
  <si>
    <r>
      <t xml:space="preserve">     3.   Land Allocation</t>
    </r>
    <r>
      <rPr>
        <sz val="10"/>
        <rFont val="Arial"/>
        <family val="0"/>
      </rPr>
      <t>. The Alatona Irrigation Project will improve rural land tenure security in Mali by allocating newly developed, 
            irrigated land to family farmers, women market gardeners, and farming companies in private ownership. These land 
            recipients will purchase the land by making annual payments over a 15-20 year period. This Project Activity consists of 
            land parcel creation, land rights education, registration system upgrade, land parcel allocation and titling, and 
            management of land revenues.</t>
    </r>
  </si>
  <si>
    <r>
      <t xml:space="preserve">      4.   Resettlement, Social Infrastructure, and Social Services</t>
    </r>
    <r>
      <rPr>
        <sz val="10"/>
        <rFont val="Arial"/>
        <family val="0"/>
      </rPr>
      <t>. This Project Activity will compensate families residing in the 
             perimeter or with rights to land therein consistent with World Bank Operational Policy 4.12 on Involuntary Resettlement 
             by offering land in the irrigation perimeter or, if the land option is not chosen, other compensation alternatives. This 
             Project Activity will provide social infrastructure, to serve these project-affected persons plus incoming settlers and other 
             migrant families and also support social services (primarily education and health staff) during the last three years of the 
             Compact Term.</t>
    </r>
  </si>
  <si>
    <t>The Alatona Irrigation Project is focused on increasing production and productivity, increasing farmer incomes, improving land tenure security, modernizing irrigated production systems and mitigating the uncertainty from subsistence rain-fed agriculture. It seeks to develop newly irrigated lands, increase the “drought-proof” cropland and the country’s total stock of fully or partially irrigated land. The Alatona Irrigation Project will introduce innovative agricultural, land tenure, and water management practices, as well as policy and organizational reforms aimed at realizing the ON’s potential to serve as an engine of rural growth for Mali.</t>
  </si>
  <si>
    <t>Increased value-added from agricultural production</t>
  </si>
  <si>
    <t>Decreased vehicle operating costs (VOCs)</t>
  </si>
  <si>
    <t>Time savings for road users</t>
  </si>
  <si>
    <t>Decreased maintenance cost</t>
  </si>
  <si>
    <t>Summary ERRs</t>
  </si>
  <si>
    <t>Farm Model Assumptions</t>
  </si>
  <si>
    <t>Project_Costs</t>
  </si>
  <si>
    <t>Road Model</t>
  </si>
  <si>
    <t>Econ_Analysis_MSI</t>
  </si>
  <si>
    <t>Alatona Beneficiaries</t>
  </si>
  <si>
    <t>Land_Financing</t>
  </si>
  <si>
    <t>Alatona Prod</t>
  </si>
  <si>
    <t>Finan-Econ Prices</t>
  </si>
  <si>
    <t>SocialInfraRtnCalc</t>
  </si>
  <si>
    <t>Years</t>
  </si>
  <si>
    <t>30 Years</t>
  </si>
  <si>
    <t>Beneficiary and Farming System Assumptions</t>
  </si>
  <si>
    <t>ON Farms by Size</t>
  </si>
  <si>
    <t>Woodlot Assumptions by Farm Size</t>
  </si>
  <si>
    <t>Number</t>
  </si>
  <si>
    <t>Size (Ha)</t>
  </si>
  <si>
    <t>Total HA</t>
  </si>
  <si>
    <t>Farm</t>
  </si>
  <si>
    <t>Total</t>
  </si>
  <si>
    <t>HH's</t>
  </si>
  <si>
    <t>Ponds/hh</t>
  </si>
  <si>
    <t>Ponds</t>
  </si>
  <si>
    <t>HA/hh</t>
  </si>
  <si>
    <t>HA</t>
  </si>
  <si>
    <t>Totals</t>
  </si>
  <si>
    <t>Banana</t>
  </si>
  <si>
    <t>Shallots</t>
  </si>
  <si>
    <t>Potato</t>
  </si>
  <si>
    <t>Although the above distributional figure was not part of the Investment Memorandum (IM) ERR calculation, 
it reflects the best information available on parameters as of the IM (8/31/2006)</t>
  </si>
  <si>
    <t>Tomato/other veg.</t>
  </si>
  <si>
    <t>Rainy season Paddy</t>
  </si>
  <si>
    <t>Dry Season Paddy</t>
  </si>
  <si>
    <t>Maize DS</t>
  </si>
  <si>
    <t>Maize RS</t>
  </si>
  <si>
    <t>Yield Assumptions by Year</t>
  </si>
  <si>
    <t>Yr 1</t>
  </si>
  <si>
    <t>Yr 2</t>
  </si>
  <si>
    <t>Yr 3</t>
  </si>
  <si>
    <t>Yr 4</t>
  </si>
  <si>
    <t>Yr 5</t>
  </si>
  <si>
    <t>Units</t>
  </si>
  <si>
    <t>T/HA</t>
  </si>
  <si>
    <t>Crops</t>
  </si>
  <si>
    <t>Niebe Hay (forage)</t>
  </si>
  <si>
    <t>Niebe Beans</t>
  </si>
  <si>
    <t>Costs/ha</t>
  </si>
  <si>
    <t>Gross Y3</t>
  </si>
  <si>
    <t>Gross Y1</t>
  </si>
  <si>
    <t>Gross Y2</t>
  </si>
  <si>
    <t>Gross Y4</t>
  </si>
  <si>
    <t>Gross Y5</t>
  </si>
  <si>
    <t>Crop Prices, Production Costs, and Net Returns/ha</t>
  </si>
  <si>
    <t>Net Y1</t>
  </si>
  <si>
    <t>Net Y2</t>
  </si>
  <si>
    <t>Net Y3</t>
  </si>
  <si>
    <t>Net Y4</t>
  </si>
  <si>
    <t>Net Y5</t>
  </si>
  <si>
    <t>Gross Returns/HA/YR (CFA '000)</t>
  </si>
  <si>
    <t>Net Returns/ha/yr (CFA '000)</t>
  </si>
  <si>
    <t>Net Returns/ha/yr (USD)</t>
  </si>
  <si>
    <t>RS Paddy</t>
  </si>
  <si>
    <t>RS Maize</t>
  </si>
  <si>
    <t>DS Paddy</t>
  </si>
  <si>
    <t>DS Maize</t>
  </si>
  <si>
    <t>Tomato</t>
  </si>
  <si>
    <t>Niebe</t>
  </si>
  <si>
    <t>Niebe Hay</t>
  </si>
  <si>
    <t>All benefit streams are constant in year 5 and afterwards. ($'000)</t>
  </si>
  <si>
    <t>Sub RS Other (1,2)</t>
  </si>
  <si>
    <t>Sub DS Crops (3-9)</t>
  </si>
  <si>
    <t>CFA/KG</t>
  </si>
  <si>
    <t>Total Costs</t>
  </si>
  <si>
    <t>(All cost/benefit figures in $'000)</t>
  </si>
  <si>
    <t>Fish Pond Ramp Up (see detailed budget)</t>
  </si>
  <si>
    <t>Fish Ponds Q1</t>
  </si>
  <si>
    <t>Fish Ponds Q2</t>
  </si>
  <si>
    <t>Fish Ponds Q3</t>
  </si>
  <si>
    <t>Shallots (DS)</t>
  </si>
  <si>
    <t>Potato (DS)</t>
  </si>
  <si>
    <t>Tomato (DS)</t>
  </si>
  <si>
    <t>Niebe (DS)</t>
  </si>
  <si>
    <t>"5 are" Fish Ponds by Farm Size</t>
  </si>
  <si>
    <t>% Land</t>
  </si>
  <si>
    <t>Costs</t>
  </si>
  <si>
    <t>DS Shallots</t>
  </si>
  <si>
    <t>DS Potato</t>
  </si>
  <si>
    <t>DS Tomato/other veg.</t>
  </si>
  <si>
    <t>DS Niebe (forage)</t>
  </si>
  <si>
    <t>Total RS</t>
  </si>
  <si>
    <t>Total DS</t>
  </si>
  <si>
    <r>
      <t>Crop VA Streams</t>
    </r>
    <r>
      <rPr>
        <sz val="10"/>
        <rFont val="Arial"/>
        <family val="2"/>
      </rPr>
      <t xml:space="preserve"> by quarter (beginning with the first rainy season after </t>
    </r>
  </si>
  <si>
    <t>Percentage of VA that is Incremental</t>
  </si>
  <si>
    <t>Value Chain Multiplier</t>
  </si>
  <si>
    <t>Total Income</t>
  </si>
  <si>
    <t>People per Farm</t>
  </si>
  <si>
    <t>Alternative Scenarios</t>
  </si>
  <si>
    <t>Rural GDP Per Capita</t>
  </si>
  <si>
    <t>Subsistence</t>
  </si>
  <si>
    <t>3 Ha Farm</t>
  </si>
  <si>
    <t>Projected Cropped Areas by Crop By Farm Size in Steady State</t>
  </si>
  <si>
    <t>In Ha</t>
  </si>
  <si>
    <t>Total Irrigable Area/10 Ha</t>
  </si>
  <si>
    <t>% of Farms &lt; 30 Ha</t>
  </si>
  <si>
    <t>Farm Size (Ha)</t>
  </si>
  <si>
    <t>Notes:</t>
  </si>
  <si>
    <t>Labor Costs/ha/yr (USD)</t>
  </si>
  <si>
    <t>Value Added By Crop By Year ($'000)</t>
  </si>
  <si>
    <t>Year Farmers are Installed (2-5)</t>
  </si>
  <si>
    <t>VA of ON Agricultural Production</t>
  </si>
  <si>
    <t>Total Incremental Benefits</t>
  </si>
  <si>
    <t>Sub-Total</t>
  </si>
  <si>
    <t>Highlighted Streams used to calculate Summary IRR</t>
  </si>
  <si>
    <t>Steady State Crop Mix and Intensity</t>
  </si>
  <si>
    <t>Sensitivity Factors</t>
  </si>
  <si>
    <t>Project Costs</t>
  </si>
  <si>
    <t>Farmer Cost of Production</t>
  </si>
  <si>
    <t>Yields and Project Costs are as Expected</t>
  </si>
  <si>
    <t>Total Tons of Production by Crop</t>
  </si>
  <si>
    <t>Total (Tons)</t>
  </si>
  <si>
    <t>Tot Inc/Person</t>
  </si>
  <si>
    <t>Niebe Hay(forage)</t>
  </si>
  <si>
    <t>Fish</t>
  </si>
  <si>
    <t>Scenarios:</t>
  </si>
  <si>
    <t>Net Benefit Stream</t>
  </si>
  <si>
    <t>IRR</t>
  </si>
  <si>
    <t>Total Area Avail for Farming</t>
  </si>
  <si>
    <t>Total Beneficiaries</t>
  </si>
  <si>
    <t>Number of Farmer Beneficiaries</t>
  </si>
  <si>
    <t>Farming Beneficiary Calculation</t>
  </si>
  <si>
    <t>Laborer Beneficiary Calculation</t>
  </si>
  <si>
    <t>Total Benficiaries (Farmers + Laborers)</t>
  </si>
  <si>
    <t>Range of Potential Alternative Income Opportunties As</t>
  </si>
  <si>
    <t>4 Months of Day Labor @ FCFA 1,500/Day</t>
  </si>
  <si>
    <t>Compared to Implied Average S.S. Laborer's Wage of $</t>
  </si>
  <si>
    <t>Project Cost Attributed to Farm Beneficiaries/Farm Benficiary ($)</t>
  </si>
  <si>
    <t>Project Costs Per Beneficiary</t>
  </si>
  <si>
    <t>Laborer Beneficiary Change in Income</t>
  </si>
  <si>
    <t>Project Cost Attributed to Laborer/ Laborer Beneficiary ($)</t>
  </si>
  <si>
    <t>Bananas, Shallots, Potatoes, Tomatoes Labor Cost as % of Total Cost</t>
  </si>
  <si>
    <t>Implied Annual Profits of the Average 10 Ha Farm ($)</t>
  </si>
  <si>
    <t>Alternative Income Per Person ($)</t>
  </si>
  <si>
    <t>% of Project Income that is Incremental</t>
  </si>
  <si>
    <t>Implied $ Change in Income Per Person</t>
  </si>
  <si>
    <t>Implied Relative Change in Income per Person</t>
  </si>
  <si>
    <t>Farmer Poverty Reduction</t>
  </si>
  <si>
    <t>current ON levels using current ON yields on shallots and rice</t>
  </si>
  <si>
    <t>Alternative Below Poverty Line? (Y/N)</t>
  </si>
  <si>
    <t>Percent</t>
  </si>
  <si>
    <t>Number of Beneficiaries brought out of poverty</t>
  </si>
  <si>
    <t>Laborer Beneficiaries Coming from Rural GDP Per Capita Scenario</t>
  </si>
  <si>
    <t>Laborer Beneficiaries Coming from Subsistence Scenario</t>
  </si>
  <si>
    <t>Laborer Beneficiaries Coming from 4 Months of Day Labor Scenario</t>
  </si>
  <si>
    <t>Of Which Are Poor</t>
  </si>
  <si>
    <t>Average Income After Program ($)</t>
  </si>
  <si>
    <t>Average Increase in Income Per Farmer Beneficiary (%)</t>
  </si>
  <si>
    <t>Average Increase in Income Per Laborer Beneficiary ($)</t>
  </si>
  <si>
    <t>Laborer Poverty Reduction</t>
  </si>
  <si>
    <t>Number of Beneficiaries Below Poverty Line Prior to Program</t>
  </si>
  <si>
    <t>Number of Beneficiaries Below Poverty Line After Program</t>
  </si>
  <si>
    <t>Poverty Line ($)</t>
  </si>
  <si>
    <t>Poverty Gap Prior to the Program</t>
  </si>
  <si>
    <t>Poverty Gap After the Program</t>
  </si>
  <si>
    <t>Compared  to  Implied  S.S.  Profits  Level  Per  Person  of  $</t>
  </si>
  <si>
    <t>Equipment Costs</t>
  </si>
  <si>
    <t>Yr 6</t>
  </si>
  <si>
    <t>Yr 7</t>
  </si>
  <si>
    <t>Yr 8</t>
  </si>
  <si>
    <t>Yr 9</t>
  </si>
  <si>
    <t>Yr 10</t>
  </si>
  <si>
    <t>Labor Costs</t>
  </si>
  <si>
    <t>Water Costs</t>
  </si>
  <si>
    <t>Input Costs</t>
  </si>
  <si>
    <t>Variable Cost of Production</t>
  </si>
  <si>
    <t>Percentage of Input Costs Financed</t>
  </si>
  <si>
    <t>Main Season Water (Rice)</t>
  </si>
  <si>
    <t>Off Season Water (Rice)</t>
  </si>
  <si>
    <t>Vegetables</t>
  </si>
  <si>
    <t>Labor Costs as Percentage of Total Variable Costs (Yr 5)</t>
  </si>
  <si>
    <t>Input Financing</t>
  </si>
  <si>
    <t>Unit cost</t>
  </si>
  <si>
    <t>Total value</t>
  </si>
  <si>
    <t>Residual value</t>
  </si>
  <si>
    <t>Duration</t>
  </si>
  <si>
    <t>Amortized</t>
  </si>
  <si>
    <t>Cultivator</t>
  </si>
  <si>
    <t>Cart</t>
  </si>
  <si>
    <t>TOTAL</t>
  </si>
  <si>
    <t>Duration (years)</t>
  </si>
  <si>
    <t>Maintenance of Animals</t>
  </si>
  <si>
    <t>Maintenance of Equipment</t>
  </si>
  <si>
    <t>Depreciation of Equipment</t>
  </si>
  <si>
    <t>Financial Expenses</t>
  </si>
  <si>
    <t>Maintenance of Equip</t>
  </si>
  <si>
    <t>Down Payment on Equip</t>
  </si>
  <si>
    <t>Total Revenues</t>
  </si>
  <si>
    <t>Net Margin</t>
  </si>
  <si>
    <t>Yr 11</t>
  </si>
  <si>
    <t>Yr 12</t>
  </si>
  <si>
    <t>Yr 13</t>
  </si>
  <si>
    <t>Yr 14</t>
  </si>
  <si>
    <t>Yr 15</t>
  </si>
  <si>
    <t>Per Ha in SS</t>
  </si>
  <si>
    <t>Worst</t>
  </si>
  <si>
    <t>Best</t>
  </si>
  <si>
    <t>Base</t>
  </si>
  <si>
    <t>Total Costs/Ha</t>
  </si>
  <si>
    <t>Net Margin Per Ha</t>
  </si>
  <si>
    <t>Implied Annual Revenue of the Average 10 Ha Farm ('000)</t>
  </si>
  <si>
    <t>Implied Annual Costs of the Average 10 Ha Farm ('000)</t>
  </si>
  <si>
    <t>Variable Cost Per Ha of Rice Production</t>
  </si>
  <si>
    <t>Input Costs as Percentage of Total Variable Costs (Yr 5)</t>
  </si>
  <si>
    <t>Yr 16</t>
  </si>
  <si>
    <t xml:space="preserve">Yr 17 </t>
  </si>
  <si>
    <t>Yr 18</t>
  </si>
  <si>
    <t>Yr 19</t>
  </si>
  <si>
    <t>Yr 20</t>
  </si>
  <si>
    <t>Land Payment</t>
  </si>
  <si>
    <t>Land Payment Per Ha</t>
  </si>
  <si>
    <t>Total Cost with Land Payment</t>
  </si>
  <si>
    <t>Cash Flow with Land Payment</t>
  </si>
  <si>
    <t>Cash Flow Per Hectare</t>
  </si>
  <si>
    <t>Interest Rate</t>
  </si>
  <si>
    <t>Table of Equipment Investments Required for 10 Ha farm</t>
  </si>
  <si>
    <t>Table of Water Fees Per Hectare</t>
  </si>
  <si>
    <t>Table of Input Financing Requirements</t>
  </si>
  <si>
    <t>Table of Equipment Financing Requirements</t>
  </si>
  <si>
    <t>Interest Rate for Seasonal Loan for Inputs</t>
  </si>
  <si>
    <t>Interest Rate for Medium Term Loan</t>
  </si>
  <si>
    <t xml:space="preserve">Amount Borrowed </t>
  </si>
  <si>
    <t>Total Interest Paid</t>
  </si>
  <si>
    <t>Percentage of Total Value Borrowed</t>
  </si>
  <si>
    <t>Annual Installment Payment</t>
  </si>
  <si>
    <t>Ongoing Equipment Costs</t>
  </si>
  <si>
    <t>Cash Flow of a 10 Ha Farm that is representative of the Crop Mix in the Alatona</t>
  </si>
  <si>
    <t>Total Costs (With No Land Fees)</t>
  </si>
  <si>
    <t>Total Revenues Per Ha</t>
  </si>
  <si>
    <t>Which Costs To Use</t>
  </si>
  <si>
    <t>1: Direct Weighted Avg of the Costs used Farm Model Assumption; 2: Costs built up by Components so that Estimates of input financing Can be calculated</t>
  </si>
  <si>
    <t>Steady State Cost Per Ha</t>
  </si>
  <si>
    <t>Average Cost Per Ha</t>
  </si>
  <si>
    <t>Depreciaton of Equipment</t>
  </si>
  <si>
    <t>Calculation of the Implied Value of the Land from this benefit stream</t>
  </si>
  <si>
    <t>Cost Per Hectare of Land Prep ($)</t>
  </si>
  <si>
    <t>Total Cost with Land Prep Costs</t>
  </si>
  <si>
    <t>Total Cost with full Land Value</t>
  </si>
  <si>
    <t>Net Margin With Full Land Value</t>
  </si>
  <si>
    <t>Net Margin With Land Prep Costs</t>
  </si>
  <si>
    <t>10 Year IRR With Land Prep Costs</t>
  </si>
  <si>
    <t>15 Year IRR With Land Prep Costs</t>
  </si>
  <si>
    <t>20 Year IRR With Land Prep Costs</t>
  </si>
  <si>
    <t>10 Year IRR With Full Land Value</t>
  </si>
  <si>
    <t>15 Year IRR With Full Land Value</t>
  </si>
  <si>
    <t>20 Year IRR With Full Land Value</t>
  </si>
  <si>
    <t>Land Preparation Costs</t>
  </si>
  <si>
    <t>Land Preparation Costs Per Ha</t>
  </si>
  <si>
    <t>Full Land Value Per 10 Ha Farm</t>
  </si>
  <si>
    <t>Full Land Value Per Ha</t>
  </si>
  <si>
    <t>Full Project Cost Per Ha ($)</t>
  </si>
  <si>
    <t>Cost Per Hectare of Land Prep (CFA)</t>
  </si>
  <si>
    <t>First Year of Repayment</t>
  </si>
  <si>
    <t>(Years 1 through 5)</t>
  </si>
  <si>
    <t>Cash Flow Per Hectare ($)</t>
  </si>
  <si>
    <t>Total Profits</t>
  </si>
  <si>
    <t>Total Costs (CFA '000)</t>
  </si>
  <si>
    <t>Total Costs (CFA)</t>
  </si>
  <si>
    <t>Source Data for Average 10 Ha Farm Revenues, Costs, and Margins</t>
  </si>
  <si>
    <r>
      <t xml:space="preserve">Land Value is arrived at by calculating the price which would set return on the benefit stream associated with the net margin developed above to 0% over a 20 year horizon with </t>
    </r>
    <r>
      <rPr>
        <b/>
        <u val="single"/>
        <sz val="10"/>
        <rFont val="Arial"/>
        <family val="2"/>
      </rPr>
      <t>base case assumptions</t>
    </r>
  </si>
  <si>
    <t>Scenario In Use:</t>
  </si>
  <si>
    <t>Total Input Financing Requirements by Cohort</t>
  </si>
  <si>
    <t>Total Equipment Financing Requirements by Cohort</t>
  </si>
  <si>
    <t>Total Non-Land Financing ($)</t>
  </si>
  <si>
    <t>Total Non-Land Financing Required by Cohort (CFA)</t>
  </si>
  <si>
    <t>Land Financing Required</t>
  </si>
  <si>
    <t>Equip and Input Financing Required</t>
  </si>
  <si>
    <t>Total Financing Required By Cohort</t>
  </si>
  <si>
    <t>Total Financing By Cohort ($)</t>
  </si>
  <si>
    <t>CFA</t>
  </si>
  <si>
    <t>$</t>
  </si>
  <si>
    <t>Total ON Benefits</t>
  </si>
  <si>
    <t>Incremental ON VA (ON Production + Supply Chain)</t>
  </si>
  <si>
    <t>Incremental ON Benefits</t>
  </si>
  <si>
    <t>Incremental Road Benefits</t>
  </si>
  <si>
    <t>Road Dial</t>
  </si>
  <si>
    <t>Include Road? (1=Yes; 2=No)</t>
  </si>
  <si>
    <t>Incremental Niono - Goma Coura Road VA</t>
  </si>
  <si>
    <t>PRELIMINARY TRAFFIC PROJECTIONS</t>
  </si>
  <si>
    <t>Diverted traffic as % of Normal:</t>
  </si>
  <si>
    <t>LV - VOC on existing road (FCFA/v-km):</t>
  </si>
  <si>
    <t>Days/Year:</t>
  </si>
  <si>
    <t>Generated LV traffic as % of Normal:</t>
  </si>
  <si>
    <t>LV - VOC on upgraded road (FCFA/v-km):</t>
  </si>
  <si>
    <t>National Funding of 0&amp;M Requirements</t>
  </si>
  <si>
    <t>Generated HV traffic as % of Normal:</t>
  </si>
  <si>
    <t>HV - VOC on existing road (FCFA/v-km):</t>
  </si>
  <si>
    <t>HV - VOC on upgraded road (FCFA/v-km):</t>
  </si>
  <si>
    <t>Time savings factor (% of VOC Savings):</t>
  </si>
  <si>
    <t>LV Tariff on existing road (FCFA per passenger-km)</t>
  </si>
  <si>
    <t>Average Passenger Load</t>
  </si>
  <si>
    <t>LV Tarriff on upgraded road (FCFA per passenger-km)</t>
  </si>
  <si>
    <t>Average Truck Load (Tons)</t>
  </si>
  <si>
    <t>HV Tariff on existing road (FCFA ton/km)</t>
  </si>
  <si>
    <t>LV AARV: HV AARV for Niono-Diabily</t>
  </si>
  <si>
    <t>HV Tariff on upgraded road (FCFA ton/km)</t>
  </si>
  <si>
    <t>LV AARV: HV AARV for Diabaly Goma Coura</t>
  </si>
  <si>
    <t>NIONO - DIABALY SECTION</t>
  </si>
  <si>
    <t>Length:</t>
  </si>
  <si>
    <t>DIABALY - GOMA COURA SECTION</t>
  </si>
  <si>
    <t>Normal Traffic</t>
  </si>
  <si>
    <t>Diverted Traffic</t>
  </si>
  <si>
    <t>Induced Traffic</t>
  </si>
  <si>
    <t>AIP Traffic</t>
  </si>
  <si>
    <t>Year</t>
  </si>
  <si>
    <t>LV</t>
  </si>
  <si>
    <t>HV</t>
  </si>
  <si>
    <t>PRELIMINARY ECONOMIC EVALUATION (In Economic Costs, FCFA Millions)</t>
  </si>
  <si>
    <t>Project</t>
  </si>
  <si>
    <t>Existing</t>
  </si>
  <si>
    <t>Niono - Diabaly VOC &amp; Time Savings</t>
  </si>
  <si>
    <t>Diabaly - Goma Coura VOC &amp; Time Savings</t>
  </si>
  <si>
    <t>Con/Main</t>
  </si>
  <si>
    <t>Maint.</t>
  </si>
  <si>
    <t>Normal</t>
  </si>
  <si>
    <t>Diverted</t>
  </si>
  <si>
    <t>Generated</t>
  </si>
  <si>
    <t>AIP</t>
  </si>
  <si>
    <t>VOC/Time</t>
  </si>
  <si>
    <t>Net</t>
  </si>
  <si>
    <t>Cost</t>
  </si>
  <si>
    <t>Traffic</t>
  </si>
  <si>
    <t>Savings</t>
  </si>
  <si>
    <t>Benefits</t>
  </si>
  <si>
    <t>PRELIMINARY ECONOMIC EVALUATION (In Economic Costs, Dollars)</t>
  </si>
  <si>
    <t>Exchange Rate</t>
  </si>
  <si>
    <t>Alatona Production</t>
  </si>
  <si>
    <t>Per Person Rice Consumption Needs (Tons)</t>
  </si>
  <si>
    <t>Beneficiaries (Farming HH + Laborers)</t>
  </si>
  <si>
    <t>Rice Needs</t>
  </si>
  <si>
    <t>Percent of Rice Production</t>
  </si>
  <si>
    <t>Alatona Generated Traffic Calculation</t>
  </si>
  <si>
    <t>Tons</t>
  </si>
  <si>
    <t>Ratio</t>
  </si>
  <si>
    <t>Consultant's Assumed AIP Production</t>
  </si>
  <si>
    <t>N/A</t>
  </si>
  <si>
    <t>Consultant's Other Cargo (Inputs, etc)</t>
  </si>
  <si>
    <t>Tons of Production</t>
  </si>
  <si>
    <t>Tons of Other Cargo</t>
  </si>
  <si>
    <t>Truck Loads</t>
  </si>
  <si>
    <t>Truck Trips</t>
  </si>
  <si>
    <t>ADT</t>
  </si>
  <si>
    <t>Year 1 AIP Production</t>
  </si>
  <si>
    <t>Year 2 AIP Production</t>
  </si>
  <si>
    <t>Year 3 AIP Production</t>
  </si>
  <si>
    <t>Year 4 AIP Production</t>
  </si>
  <si>
    <t>Year 5 AIP Production</t>
  </si>
  <si>
    <t>Year 6 AIP Production</t>
  </si>
  <si>
    <t>Year 7 AIP Production</t>
  </si>
  <si>
    <t>ON Model is</t>
  </si>
  <si>
    <t>20 Year EIRR</t>
  </si>
  <si>
    <t>This Sheet Does Not Include Road Costs or Road Beneficiaries</t>
  </si>
  <si>
    <t>Calculation does not include Road Costs or Beneficiaries</t>
  </si>
  <si>
    <t>Dollars</t>
  </si>
  <si>
    <t>Price</t>
  </si>
  <si>
    <t>Contingency</t>
  </si>
  <si>
    <t>Yields are only 80% of Expected Levels, and Project Costs are 120% of Expected Levels</t>
  </si>
  <si>
    <t>Yields are 120% of Expected Levels, and Project Costs are 80% of Expected Levels</t>
  </si>
  <si>
    <t>Average Annual Interest Paid</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</si>
</sst>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quot;$&quot;#,##0"/>
    <numFmt numFmtId="180" formatCode="#,##0.000"/>
    <numFmt numFmtId="181" formatCode="0.0"/>
    <numFmt numFmtId="182" formatCode="#,##0.0"/>
    <numFmt numFmtId="183" formatCode="_(* #,##0.0_);_(* \(#,##0.0\);_(* &quot;-&quot;??_);_(@_)"/>
    <numFmt numFmtId="184" formatCode="_(* #,##0_);_(* \(#,##0\);_(* &quot;-&quot;??_);_(@_)"/>
    <numFmt numFmtId="185" formatCode="0.00000"/>
    <numFmt numFmtId="186" formatCode="0.0000"/>
    <numFmt numFmtId="187" formatCode="0.000"/>
    <numFmt numFmtId="188" formatCode="_(* #,##0.000_);_(* \(#,##0.000\);_(* &quot;-&quot;??_);_(@_)"/>
    <numFmt numFmtId="189" formatCode="_(* #,##0.0000_);_(* \(#,##0.0000\);_(* &quot;-&quot;??_);_(@_)"/>
    <numFmt numFmtId="190" formatCode="_(&quot;$&quot;* #,##0.0_);_(&quot;$&quot;* \(#,##0.0\);_(&quot;$&quot;* &quot;-&quot;??_);_(@_)"/>
    <numFmt numFmtId="191" formatCode="_(&quot;$&quot;* #,##0_);_(&quot;$&quot;* \(#,##0\);_(&quot;$&quot;* &quot;-&quot;??_);_(@_)"/>
    <numFmt numFmtId="192" formatCode="0.000000"/>
    <numFmt numFmtId="193" formatCode="&quot;$&quot;#,##0.0"/>
    <numFmt numFmtId="194" formatCode="&quot;$&quot;#,##0.00"/>
    <numFmt numFmtId="195" formatCode="&quot;$&quot;#,##0.000"/>
    <numFmt numFmtId="196" formatCode="&quot;$&quot;#,##0.0_);[Red]\(&quot;$&quot;#,##0.0\)"/>
    <numFmt numFmtId="197" formatCode="0.00000000"/>
    <numFmt numFmtId="198" formatCode="0.0000000"/>
    <numFmt numFmtId="199" formatCode="0.000000000000000%"/>
    <numFmt numFmtId="200" formatCode="0.00000000000"/>
    <numFmt numFmtId="201" formatCode="#,##0.00000000000"/>
    <numFmt numFmtId="202" formatCode="m/d/yy"/>
    <numFmt numFmtId="203" formatCode="m/d/yy\ h:mm"/>
    <numFmt numFmtId="204" formatCode="#,##0.0;\-#,##0.0;\-"/>
    <numFmt numFmtId="205" formatCode="#,##0.00;\-#,##0.00;\-"/>
    <numFmt numFmtId="206" formatCode="#,##0;\-#,##0;\-"/>
    <numFmt numFmtId="207" formatCode="0.000000000"/>
    <numFmt numFmtId="208" formatCode="&quot;Yes&quot;;&quot;Yes&quot;;&quot;No&quot;"/>
    <numFmt numFmtId="209" formatCode="&quot;True&quot;;&quot;True&quot;;&quot;False&quot;"/>
    <numFmt numFmtId="210" formatCode="&quot;On&quot;;&quot;On&quot;;&quot;Off&quot;"/>
    <numFmt numFmtId="211" formatCode="[$€-2]\ #,##0.00_);[Red]\([$€-2]\ #,##0.00\)"/>
    <numFmt numFmtId="212" formatCode=";;;"/>
    <numFmt numFmtId="213" formatCode="_-* #,##0_-;\-* #,##0_-;_-* &quot;-&quot;??_-;_-@_-"/>
    <numFmt numFmtId="214" formatCode="dd/mmm/yyyy_);;&quot;-  &quot;;&quot; &quot;@"/>
    <numFmt numFmtId="215" formatCode="dd/mmm/yy_);;&quot;-  &quot;;&quot; &quot;@"/>
    <numFmt numFmtId="216" formatCode="#,##0.0000_);\(#,##0.0000\);&quot;-  &quot;;&quot; &quot;@"/>
    <numFmt numFmtId="217" formatCode="_(* #,##0.0_);_(* \(#,##0.0\);_(* &quot;-&quot;?_);_(@_)"/>
  </numFmts>
  <fonts count="37">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14"/>
      <name val="Arial"/>
      <family val="0"/>
    </font>
    <font>
      <sz val="8"/>
      <name val="Tahoma"/>
      <family val="0"/>
    </font>
    <font>
      <b/>
      <sz val="8"/>
      <name val="Tahoma"/>
      <family val="0"/>
    </font>
    <font>
      <b/>
      <u val="single"/>
      <sz val="10"/>
      <name val="Arial"/>
      <family val="2"/>
    </font>
    <font>
      <sz val="10"/>
      <color indexed="9"/>
      <name val="Arial"/>
      <family val="0"/>
    </font>
    <font>
      <sz val="10"/>
      <color indexed="10"/>
      <name val="Arial"/>
      <family val="0"/>
    </font>
    <font>
      <b/>
      <sz val="8"/>
      <name val="Times New Roman"/>
      <family val="1"/>
    </font>
    <font>
      <sz val="8"/>
      <color indexed="10"/>
      <name val="Arial"/>
      <family val="0"/>
    </font>
    <font>
      <b/>
      <sz val="8"/>
      <name val="Arial"/>
      <family val="2"/>
    </font>
    <font>
      <b/>
      <sz val="8"/>
      <color indexed="10"/>
      <name val="Arial"/>
      <family val="2"/>
    </font>
    <font>
      <b/>
      <sz val="10"/>
      <color indexed="10"/>
      <name val="Arial"/>
      <family val="2"/>
    </font>
    <font>
      <b/>
      <u val="single"/>
      <sz val="24"/>
      <color indexed="61"/>
      <name val="Arial"/>
      <family val="2"/>
    </font>
    <font>
      <sz val="10"/>
      <name val="Helvetica"/>
      <family val="2"/>
    </font>
    <font>
      <b/>
      <sz val="10"/>
      <color indexed="9"/>
      <name val="Arial"/>
      <family val="2"/>
    </font>
    <font>
      <b/>
      <sz val="12"/>
      <name val="Arial"/>
      <family val="2"/>
    </font>
    <font>
      <b/>
      <sz val="10"/>
      <color indexed="14"/>
      <name val="Arial"/>
      <family val="2"/>
    </font>
    <font>
      <b/>
      <u val="single"/>
      <sz val="8"/>
      <name val="Arial"/>
      <family val="0"/>
    </font>
    <font>
      <b/>
      <sz val="16"/>
      <name val="Arial"/>
      <family val="2"/>
    </font>
    <font>
      <sz val="10"/>
      <name val="Times New Roman"/>
      <family val="1"/>
    </font>
    <font>
      <i/>
      <sz val="10"/>
      <name val="Arial"/>
      <family val="2"/>
    </font>
    <font>
      <b/>
      <sz val="10"/>
      <color indexed="12"/>
      <name val="Arial"/>
      <family val="2"/>
    </font>
    <font>
      <b/>
      <sz val="18"/>
      <color indexed="32"/>
      <name val="Arial"/>
      <family val="2"/>
    </font>
    <font>
      <sz val="8"/>
      <color indexed="17"/>
      <name val="Arial"/>
      <family val="2"/>
    </font>
    <font>
      <sz val="10"/>
      <color indexed="12"/>
      <name val="Arial"/>
      <family val="2"/>
    </font>
    <font>
      <sz val="10"/>
      <color indexed="23"/>
      <name val="Arial"/>
      <family val="2"/>
    </font>
    <font>
      <b/>
      <sz val="10"/>
      <color indexed="55"/>
      <name val="Arial"/>
      <family val="2"/>
    </font>
    <font>
      <b/>
      <i/>
      <sz val="9"/>
      <name val="Arial"/>
      <family val="2"/>
    </font>
    <font>
      <sz val="9"/>
      <name val="Arial"/>
      <family val="2"/>
    </font>
    <font>
      <b/>
      <sz val="11.75"/>
      <name val="Arial"/>
      <family val="0"/>
    </font>
    <font>
      <b/>
      <sz val="9.75"/>
      <name val="Arial"/>
      <family val="0"/>
    </font>
    <font>
      <sz val="9.75"/>
      <name val="Arial"/>
      <family val="0"/>
    </font>
    <font>
      <sz val="12"/>
      <name val="Arial"/>
      <family val="0"/>
    </font>
  </fonts>
  <fills count="13">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0"/>
        <bgColor indexed="64"/>
      </patternFill>
    </fill>
    <fill>
      <patternFill patternType="solid">
        <fgColor indexed="13"/>
        <bgColor indexed="64"/>
      </patternFill>
    </fill>
    <fill>
      <patternFill patternType="solid">
        <fgColor indexed="15"/>
        <bgColor indexed="64"/>
      </patternFill>
    </fill>
    <fill>
      <patternFill patternType="solid">
        <fgColor indexed="46"/>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
      <patternFill patternType="solid">
        <fgColor indexed="47"/>
        <bgColor indexed="64"/>
      </patternFill>
    </fill>
    <fill>
      <patternFill patternType="solid">
        <fgColor indexed="41"/>
        <bgColor indexed="64"/>
      </patternFill>
    </fill>
  </fills>
  <borders count="100">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style="medium"/>
      <top style="medium"/>
      <bottom style="mediu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color indexed="63"/>
      </left>
      <right>
        <color indexed="63"/>
      </right>
      <top style="medium"/>
      <bottom style="medium"/>
    </border>
    <border>
      <left style="thin"/>
      <right style="medium"/>
      <top>
        <color indexed="63"/>
      </top>
      <bottom style="thin"/>
    </border>
    <border>
      <left style="thin"/>
      <right style="medium"/>
      <top style="medium"/>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color indexed="63"/>
      </bottom>
    </border>
    <border>
      <left style="medium"/>
      <right style="medium"/>
      <top>
        <color indexed="63"/>
      </top>
      <bottom style="medium"/>
    </border>
    <border>
      <left style="medium"/>
      <right style="thin"/>
      <top>
        <color indexed="63"/>
      </top>
      <bottom style="thin"/>
    </border>
    <border>
      <left style="medium"/>
      <right style="medium"/>
      <top style="medium"/>
      <bottom style="thin"/>
    </border>
    <border>
      <left style="medium"/>
      <right style="medium"/>
      <top>
        <color indexed="63"/>
      </top>
      <bottom style="thin"/>
    </border>
    <border>
      <left style="medium"/>
      <right style="medium"/>
      <top style="thin"/>
      <bottom>
        <color indexed="63"/>
      </bottom>
    </border>
    <border>
      <left>
        <color indexed="63"/>
      </left>
      <right style="medium"/>
      <top>
        <color indexed="63"/>
      </top>
      <bottom style="thin"/>
    </border>
    <border>
      <left>
        <color indexed="63"/>
      </left>
      <right style="thin"/>
      <top style="medium"/>
      <bottom style="thin"/>
    </border>
    <border>
      <left>
        <color indexed="63"/>
      </left>
      <right style="thin"/>
      <top style="medium"/>
      <bottom style="medium"/>
    </border>
    <border>
      <left style="thin"/>
      <right style="thin"/>
      <top style="medium"/>
      <bottom style="medium"/>
    </border>
    <border>
      <left style="thin"/>
      <right style="thin"/>
      <top>
        <color indexed="63"/>
      </top>
      <bottom style="medium"/>
    </border>
    <border>
      <left style="thin"/>
      <right style="medium"/>
      <top>
        <color indexed="63"/>
      </top>
      <bottom>
        <color indexed="63"/>
      </bottom>
    </border>
    <border>
      <left>
        <color indexed="63"/>
      </left>
      <right style="medium"/>
      <top style="thin"/>
      <bottom>
        <color indexed="63"/>
      </bottom>
    </border>
    <border>
      <left>
        <color indexed="63"/>
      </left>
      <right style="thin"/>
      <top>
        <color indexed="63"/>
      </top>
      <bottom style="medium"/>
    </border>
    <border>
      <left>
        <color indexed="63"/>
      </left>
      <right style="medium"/>
      <top style="medium"/>
      <bottom style="thin"/>
    </border>
    <border>
      <left style="thin"/>
      <right style="thin"/>
      <top style="medium"/>
      <bottom style="thin"/>
    </border>
    <border>
      <left style="medium"/>
      <right style="thin"/>
      <top style="medium"/>
      <bottom style="thin"/>
    </border>
    <border>
      <left style="medium"/>
      <right style="thin"/>
      <top>
        <color indexed="63"/>
      </top>
      <bottom>
        <color indexed="63"/>
      </bottom>
    </border>
    <border>
      <left style="medium"/>
      <right style="thin"/>
      <top style="medium"/>
      <bottom>
        <color indexed="63"/>
      </bottom>
    </border>
    <border>
      <left style="thin"/>
      <right style="medium"/>
      <top style="medium"/>
      <bottom style="medium"/>
    </border>
    <border>
      <left style="thin"/>
      <right style="thin"/>
      <top style="thin"/>
      <bottom style="medium"/>
    </border>
    <border>
      <left style="medium"/>
      <right style="thin"/>
      <top style="thin"/>
      <bottom style="thin"/>
    </border>
    <border>
      <left style="thin"/>
      <right style="medium"/>
      <top style="thin"/>
      <bottom style="medium"/>
    </border>
    <border>
      <left style="medium"/>
      <right style="thin"/>
      <top style="thin"/>
      <bottom style="medium"/>
    </border>
    <border>
      <left style="thin"/>
      <right style="medium"/>
      <top style="thin"/>
      <bottom style="thin"/>
    </border>
    <border>
      <left style="thin"/>
      <right>
        <color indexed="63"/>
      </right>
      <top style="medium"/>
      <bottom style="thin"/>
    </border>
    <border>
      <left style="medium"/>
      <right>
        <color indexed="63"/>
      </right>
      <top style="medium"/>
      <bottom style="thin"/>
    </border>
    <border>
      <left style="medium"/>
      <right>
        <color indexed="63"/>
      </right>
      <top style="thin"/>
      <bottom>
        <color indexed="63"/>
      </bottom>
    </border>
    <border>
      <left>
        <color indexed="63"/>
      </left>
      <right>
        <color indexed="63"/>
      </right>
      <top style="medium"/>
      <bottom style="thin"/>
    </border>
    <border>
      <left style="thin"/>
      <right style="medium"/>
      <top style="thin"/>
      <bottom>
        <color indexed="63"/>
      </bottom>
    </border>
    <border>
      <left style="medium"/>
      <right>
        <color indexed="63"/>
      </right>
      <top style="thin"/>
      <bottom style="thin"/>
    </border>
    <border>
      <left style="medium"/>
      <right>
        <color indexed="63"/>
      </right>
      <top style="thin"/>
      <bottom style="medium"/>
    </border>
    <border>
      <left style="thin"/>
      <right>
        <color indexed="63"/>
      </right>
      <top style="medium"/>
      <bottom style="medium"/>
    </border>
    <border>
      <left style="thin"/>
      <right style="medium"/>
      <top>
        <color indexed="63"/>
      </top>
      <bottom style="medium"/>
    </border>
    <border>
      <left style="medium"/>
      <right style="medium"/>
      <top style="thin"/>
      <bottom style="thin"/>
    </border>
    <border>
      <left style="medium"/>
      <right style="medium"/>
      <top style="thin"/>
      <bottom style="medium"/>
    </border>
    <border>
      <left>
        <color indexed="63"/>
      </left>
      <right style="thin"/>
      <top style="thin"/>
      <bottom style="medium"/>
    </border>
    <border>
      <left style="medium"/>
      <right style="thin"/>
      <top>
        <color indexed="63"/>
      </top>
      <bottom style="medium"/>
    </border>
    <border>
      <left style="medium"/>
      <right>
        <color indexed="63"/>
      </right>
      <top>
        <color indexed="63"/>
      </top>
      <bottom style="thin"/>
    </border>
    <border>
      <left>
        <color indexed="63"/>
      </left>
      <right style="medium"/>
      <top style="thin"/>
      <bottom style="medium"/>
    </border>
    <border>
      <left style="medium"/>
      <right style="thin"/>
      <top style="thin"/>
      <bottom>
        <color indexed="63"/>
      </bottom>
    </border>
    <border>
      <left>
        <color indexed="63"/>
      </left>
      <right style="medium"/>
      <top style="thin"/>
      <bottom style="thin"/>
    </border>
    <border>
      <left>
        <color indexed="63"/>
      </left>
      <right>
        <color indexed="63"/>
      </right>
      <top style="thin"/>
      <bottom style="medium"/>
    </border>
    <border>
      <left style="double"/>
      <right>
        <color indexed="63"/>
      </right>
      <top style="double"/>
      <bottom style="double"/>
    </border>
    <border>
      <left style="thin"/>
      <right style="double"/>
      <top style="double"/>
      <bottom style="double"/>
    </border>
    <border>
      <left style="double"/>
      <right style="thin"/>
      <top>
        <color indexed="63"/>
      </top>
      <bottom style="thin"/>
    </border>
    <border>
      <left>
        <color indexed="63"/>
      </left>
      <right style="double"/>
      <top>
        <color indexed="63"/>
      </top>
      <bottom style="thin"/>
    </border>
    <border>
      <left style="double"/>
      <right style="thin"/>
      <top style="thin"/>
      <bottom style="thin"/>
    </border>
    <border>
      <left>
        <color indexed="63"/>
      </left>
      <right style="double"/>
      <top style="thin"/>
      <bottom style="thin"/>
    </border>
    <border>
      <left style="thin"/>
      <right style="double"/>
      <top style="thin"/>
      <bottom style="thin"/>
    </border>
    <border>
      <left>
        <color indexed="63"/>
      </left>
      <right style="double"/>
      <top>
        <color indexed="63"/>
      </top>
      <bottom>
        <color indexed="63"/>
      </botto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double"/>
      <right style="thin"/>
      <top style="thin"/>
      <bottom>
        <color indexed="63"/>
      </bottom>
    </border>
    <border>
      <left style="thin"/>
      <right style="double"/>
      <top>
        <color indexed="63"/>
      </top>
      <bottom style="double"/>
    </border>
    <border>
      <left>
        <color indexed="63"/>
      </left>
      <right style="thick">
        <color indexed="18"/>
      </right>
      <top>
        <color indexed="63"/>
      </top>
      <bottom style="thick">
        <color indexed="18"/>
      </bottom>
    </border>
    <border>
      <left style="thick">
        <color indexed="18"/>
      </left>
      <right style="thick">
        <color indexed="18"/>
      </right>
      <top>
        <color indexed="63"/>
      </top>
      <bottom style="thick">
        <color indexed="18"/>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double"/>
    </border>
    <border>
      <left style="thick">
        <color indexed="18"/>
      </left>
      <right>
        <color indexed="63"/>
      </right>
      <top style="thick">
        <color indexed="18"/>
      </top>
      <bottom style="thick">
        <color indexed="18"/>
      </bottom>
    </border>
    <border>
      <left>
        <color indexed="63"/>
      </left>
      <right>
        <color indexed="63"/>
      </right>
      <top style="thick">
        <color indexed="18"/>
      </top>
      <bottom style="thick">
        <color indexed="18"/>
      </bottom>
    </border>
    <border>
      <left>
        <color indexed="63"/>
      </left>
      <right style="thick">
        <color indexed="18"/>
      </right>
      <top style="thick">
        <color indexed="18"/>
      </top>
      <bottom style="thick">
        <color indexed="18"/>
      </bottom>
    </border>
    <border>
      <left style="thick">
        <color indexed="18"/>
      </left>
      <right style="thick">
        <color indexed="18"/>
      </right>
      <top style="thick">
        <color indexed="18"/>
      </top>
      <bottom>
        <color indexed="63"/>
      </bottom>
    </border>
  </borders>
  <cellStyleXfs count="26">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alignment/>
      <protection/>
    </xf>
    <xf numFmtId="0" fontId="1" fillId="0" borderId="0">
      <alignment/>
      <protection/>
    </xf>
    <xf numFmtId="0" fontId="23" fillId="0" borderId="0">
      <alignment/>
      <protection/>
    </xf>
    <xf numFmtId="0" fontId="1" fillId="0" borderId="0">
      <alignment/>
      <protection/>
    </xf>
    <xf numFmtId="9" fontId="0" fillId="0" borderId="0" applyFont="0" applyFill="0" applyBorder="0" applyAlignment="0" applyProtection="0"/>
  </cellStyleXfs>
  <cellXfs count="1202">
    <xf numFmtId="0" fontId="0" fillId="0" borderId="0" xfId="0" applyAlignment="1">
      <alignment/>
    </xf>
    <xf numFmtId="3" fontId="0" fillId="0" borderId="0" xfId="0" applyNumberFormat="1" applyAlignment="1">
      <alignment/>
    </xf>
    <xf numFmtId="178"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4" fillId="0" borderId="0" xfId="0" applyFont="1" applyAlignment="1">
      <alignment/>
    </xf>
    <xf numFmtId="0" fontId="0" fillId="0" borderId="2" xfId="0" applyBorder="1" applyAlignment="1">
      <alignment horizontal="center"/>
    </xf>
    <xf numFmtId="0" fontId="0" fillId="0" borderId="7" xfId="0" applyBorder="1" applyAlignment="1">
      <alignment/>
    </xf>
    <xf numFmtId="0" fontId="0" fillId="0" borderId="4"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3" fontId="0" fillId="0" borderId="6" xfId="0" applyNumberFormat="1" applyBorder="1" applyAlignment="1">
      <alignment/>
    </xf>
    <xf numFmtId="3" fontId="0" fillId="0" borderId="9" xfId="0" applyNumberFormat="1" applyBorder="1" applyAlignment="1">
      <alignment/>
    </xf>
    <xf numFmtId="0" fontId="0" fillId="0" borderId="10" xfId="0" applyBorder="1" applyAlignment="1">
      <alignment horizontal="center"/>
    </xf>
    <xf numFmtId="3" fontId="0" fillId="0" borderId="0" xfId="0" applyNumberFormat="1" applyBorder="1" applyAlignment="1">
      <alignment/>
    </xf>
    <xf numFmtId="3" fontId="0" fillId="0" borderId="11" xfId="0" applyNumberFormat="1" applyBorder="1" applyAlignment="1">
      <alignment/>
    </xf>
    <xf numFmtId="3" fontId="0" fillId="0" borderId="8" xfId="0" applyNumberFormat="1" applyBorder="1" applyAlignment="1">
      <alignment/>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horizontal="right"/>
    </xf>
    <xf numFmtId="3" fontId="0" fillId="0" borderId="5" xfId="0" applyNumberFormat="1" applyBorder="1" applyAlignment="1">
      <alignment/>
    </xf>
    <xf numFmtId="0" fontId="0" fillId="0" borderId="3" xfId="0" applyBorder="1" applyAlignment="1">
      <alignment horizontal="center"/>
    </xf>
    <xf numFmtId="3" fontId="0" fillId="0" borderId="12" xfId="0" applyNumberFormat="1" applyBorder="1" applyAlignment="1">
      <alignment/>
    </xf>
    <xf numFmtId="3" fontId="0" fillId="0" borderId="1" xfId="0" applyNumberFormat="1" applyBorder="1" applyAlignment="1">
      <alignment/>
    </xf>
    <xf numFmtId="3" fontId="0" fillId="0" borderId="13" xfId="0" applyNumberFormat="1" applyBorder="1" applyAlignment="1">
      <alignment/>
    </xf>
    <xf numFmtId="3" fontId="0" fillId="0" borderId="2" xfId="0" applyNumberFormat="1" applyBorder="1" applyAlignment="1">
      <alignment/>
    </xf>
    <xf numFmtId="179" fontId="0" fillId="0" borderId="6" xfId="0" applyNumberFormat="1" applyBorder="1" applyAlignment="1">
      <alignment/>
    </xf>
    <xf numFmtId="0" fontId="0" fillId="0" borderId="0" xfId="0" applyBorder="1" applyAlignment="1">
      <alignment horizontal="right"/>
    </xf>
    <xf numFmtId="179" fontId="0" fillId="0" borderId="0" xfId="0" applyNumberFormat="1" applyBorder="1" applyAlignment="1">
      <alignment/>
    </xf>
    <xf numFmtId="0" fontId="4" fillId="0" borderId="0" xfId="0" applyFont="1" applyBorder="1" applyAlignment="1">
      <alignment horizontal="center"/>
    </xf>
    <xf numFmtId="179" fontId="0" fillId="0" borderId="2" xfId="0" applyNumberFormat="1" applyBorder="1" applyAlignment="1">
      <alignment/>
    </xf>
    <xf numFmtId="0" fontId="4" fillId="0" borderId="5" xfId="0" applyFont="1" applyBorder="1" applyAlignment="1">
      <alignment horizontal="right"/>
    </xf>
    <xf numFmtId="3" fontId="0" fillId="0" borderId="14" xfId="0" applyNumberFormat="1" applyBorder="1" applyAlignment="1">
      <alignment/>
    </xf>
    <xf numFmtId="3" fontId="0" fillId="0" borderId="7" xfId="0" applyNumberFormat="1" applyBorder="1" applyAlignment="1">
      <alignment/>
    </xf>
    <xf numFmtId="0" fontId="4" fillId="0" borderId="5" xfId="0" applyFont="1" applyBorder="1" applyAlignment="1">
      <alignment/>
    </xf>
    <xf numFmtId="0" fontId="0" fillId="0" borderId="9" xfId="0" applyBorder="1" applyAlignment="1">
      <alignment horizontal="center"/>
    </xf>
    <xf numFmtId="184" fontId="0" fillId="0" borderId="0" xfId="15" applyNumberFormat="1" applyBorder="1" applyAlignment="1">
      <alignment/>
    </xf>
    <xf numFmtId="1" fontId="0" fillId="0" borderId="0" xfId="15" applyNumberFormat="1" applyBorder="1" applyAlignment="1">
      <alignment/>
    </xf>
    <xf numFmtId="3" fontId="0" fillId="0" borderId="15" xfId="0" applyNumberFormat="1" applyBorder="1" applyAlignment="1">
      <alignment/>
    </xf>
    <xf numFmtId="0" fontId="4" fillId="0" borderId="10" xfId="0" applyFont="1" applyBorder="1" applyAlignment="1">
      <alignment/>
    </xf>
    <xf numFmtId="3" fontId="0" fillId="0" borderId="10" xfId="0" applyNumberFormat="1" applyBorder="1" applyAlignment="1">
      <alignment/>
    </xf>
    <xf numFmtId="0" fontId="0" fillId="0" borderId="0" xfId="0" applyBorder="1" applyAlignment="1">
      <alignment/>
    </xf>
    <xf numFmtId="178" fontId="0" fillId="0" borderId="0" xfId="0" applyNumberFormat="1" applyBorder="1" applyAlignment="1">
      <alignment/>
    </xf>
    <xf numFmtId="0" fontId="0" fillId="0" borderId="16" xfId="0" applyBorder="1" applyAlignment="1">
      <alignment/>
    </xf>
    <xf numFmtId="0" fontId="0" fillId="0" borderId="17" xfId="0" applyBorder="1" applyAlignment="1">
      <alignment horizontal="left"/>
    </xf>
    <xf numFmtId="1" fontId="0" fillId="0" borderId="0" xfId="0" applyNumberFormat="1" applyAlignment="1">
      <alignment/>
    </xf>
    <xf numFmtId="0" fontId="0" fillId="0" borderId="0" xfId="0" applyBorder="1" applyAlignment="1">
      <alignment horizontal="center" vertical="center"/>
    </xf>
    <xf numFmtId="0" fontId="0" fillId="0" borderId="18" xfId="0" applyBorder="1" applyAlignment="1">
      <alignment/>
    </xf>
    <xf numFmtId="0" fontId="0" fillId="0" borderId="11" xfId="0" applyBorder="1" applyAlignment="1">
      <alignment horizontal="center"/>
    </xf>
    <xf numFmtId="0" fontId="4" fillId="0" borderId="19" xfId="0" applyFont="1" applyFill="1" applyBorder="1" applyAlignment="1">
      <alignment horizontal="left"/>
    </xf>
    <xf numFmtId="0" fontId="0" fillId="0" borderId="20"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xf>
    <xf numFmtId="0" fontId="4" fillId="0" borderId="0" xfId="0" applyFont="1" applyFill="1" applyBorder="1" applyAlignment="1">
      <alignment/>
    </xf>
    <xf numFmtId="0" fontId="0" fillId="0" borderId="0" xfId="0" applyFill="1" applyBorder="1" applyAlignment="1">
      <alignment horizontal="center"/>
    </xf>
    <xf numFmtId="3" fontId="0" fillId="0" borderId="0" xfId="0" applyNumberFormat="1" applyFill="1" applyBorder="1" applyAlignment="1">
      <alignment/>
    </xf>
    <xf numFmtId="0" fontId="0" fillId="0" borderId="14" xfId="0" applyBorder="1" applyAlignment="1">
      <alignment horizontal="center"/>
    </xf>
    <xf numFmtId="0" fontId="0" fillId="0" borderId="7" xfId="0" applyBorder="1" applyAlignment="1">
      <alignment horizontal="center"/>
    </xf>
    <xf numFmtId="0" fontId="0" fillId="0" borderId="23" xfId="0" applyBorder="1" applyAlignment="1">
      <alignment/>
    </xf>
    <xf numFmtId="0" fontId="0" fillId="0" borderId="24" xfId="0" applyBorder="1" applyAlignment="1">
      <alignment horizontal="center"/>
    </xf>
    <xf numFmtId="0" fontId="0" fillId="0" borderId="25" xfId="0" applyBorder="1" applyAlignment="1">
      <alignment horizontal="center"/>
    </xf>
    <xf numFmtId="0" fontId="4" fillId="0" borderId="0" xfId="0" applyFont="1" applyBorder="1" applyAlignment="1">
      <alignment horizontal="right"/>
    </xf>
    <xf numFmtId="2" fontId="4" fillId="0" borderId="0" xfId="0" applyNumberFormat="1" applyFont="1" applyBorder="1" applyAlignment="1">
      <alignment/>
    </xf>
    <xf numFmtId="0" fontId="4" fillId="0" borderId="0" xfId="0" applyFont="1" applyBorder="1" applyAlignment="1">
      <alignment/>
    </xf>
    <xf numFmtId="0" fontId="0" fillId="0" borderId="0" xfId="0" applyFill="1" applyBorder="1" applyAlignment="1">
      <alignment horizontal="left"/>
    </xf>
    <xf numFmtId="0" fontId="0" fillId="0" borderId="0" xfId="0" applyBorder="1" applyAlignment="1">
      <alignment horizontal="left"/>
    </xf>
    <xf numFmtId="0" fontId="0" fillId="0" borderId="26" xfId="0" applyBorder="1" applyAlignment="1">
      <alignment/>
    </xf>
    <xf numFmtId="0" fontId="0" fillId="0" borderId="27" xfId="0" applyBorder="1" applyAlignment="1">
      <alignment/>
    </xf>
    <xf numFmtId="0" fontId="4" fillId="0" borderId="28" xfId="0" applyFont="1" applyBorder="1" applyAlignment="1">
      <alignment horizontal="center"/>
    </xf>
    <xf numFmtId="0" fontId="0" fillId="0" borderId="29" xfId="0" applyBorder="1" applyAlignment="1">
      <alignment/>
    </xf>
    <xf numFmtId="0" fontId="0" fillId="0" borderId="30" xfId="0" applyBorder="1" applyAlignment="1">
      <alignment horizontal="left"/>
    </xf>
    <xf numFmtId="0" fontId="0" fillId="0" borderId="31" xfId="0" applyBorder="1" applyAlignment="1">
      <alignment/>
    </xf>
    <xf numFmtId="0" fontId="0" fillId="0" borderId="32" xfId="0" applyBorder="1" applyAlignment="1">
      <alignment/>
    </xf>
    <xf numFmtId="0" fontId="4" fillId="0" borderId="0" xfId="0" applyFont="1" applyBorder="1" applyAlignment="1">
      <alignment/>
    </xf>
    <xf numFmtId="0" fontId="0" fillId="0" borderId="33" xfId="0" applyBorder="1" applyAlignment="1">
      <alignment/>
    </xf>
    <xf numFmtId="0" fontId="4" fillId="0" borderId="34" xfId="0" applyFont="1" applyBorder="1" applyAlignment="1">
      <alignment/>
    </xf>
    <xf numFmtId="0" fontId="0" fillId="0" borderId="34" xfId="0" applyBorder="1" applyAlignment="1">
      <alignment horizontal="center"/>
    </xf>
    <xf numFmtId="0" fontId="0" fillId="0" borderId="18" xfId="0" applyBorder="1" applyAlignment="1">
      <alignment horizontal="left"/>
    </xf>
    <xf numFmtId="0" fontId="0" fillId="0" borderId="35" xfId="0" applyBorder="1" applyAlignment="1">
      <alignment/>
    </xf>
    <xf numFmtId="0" fontId="4" fillId="0" borderId="19" xfId="0" applyFont="1" applyBorder="1" applyAlignment="1">
      <alignment/>
    </xf>
    <xf numFmtId="0" fontId="0" fillId="0" borderId="19" xfId="0" applyBorder="1" applyAlignment="1">
      <alignment/>
    </xf>
    <xf numFmtId="0" fontId="0" fillId="0" borderId="29" xfId="0" applyBorder="1" applyAlignment="1">
      <alignment horizontal="center"/>
    </xf>
    <xf numFmtId="0" fontId="0" fillId="0" borderId="17" xfId="0" applyBorder="1" applyAlignment="1">
      <alignment/>
    </xf>
    <xf numFmtId="0" fontId="0" fillId="0" borderId="36" xfId="0" applyBorder="1" applyAlignment="1">
      <alignment/>
    </xf>
    <xf numFmtId="0" fontId="0" fillId="0" borderId="37" xfId="0" applyBorder="1" applyAlignment="1">
      <alignment/>
    </xf>
    <xf numFmtId="0" fontId="0" fillId="0" borderId="24" xfId="0" applyFill="1" applyBorder="1" applyAlignment="1">
      <alignment horizontal="center"/>
    </xf>
    <xf numFmtId="0" fontId="0" fillId="0" borderId="8" xfId="0" applyBorder="1" applyAlignment="1">
      <alignment horizontal="left"/>
    </xf>
    <xf numFmtId="0" fontId="0" fillId="0" borderId="38" xfId="0" applyBorder="1" applyAlignment="1">
      <alignment horizontal="left"/>
    </xf>
    <xf numFmtId="0" fontId="0" fillId="0" borderId="39" xfId="0" applyFill="1" applyBorder="1" applyAlignment="1">
      <alignment/>
    </xf>
    <xf numFmtId="0" fontId="0" fillId="0" borderId="38" xfId="0" applyFill="1" applyBorder="1" applyAlignment="1">
      <alignment/>
    </xf>
    <xf numFmtId="0" fontId="0" fillId="0" borderId="39" xfId="0" applyBorder="1" applyAlignment="1">
      <alignment horizontal="left"/>
    </xf>
    <xf numFmtId="0" fontId="0" fillId="0" borderId="40" xfId="0" applyBorder="1" applyAlignment="1">
      <alignment horizontal="left"/>
    </xf>
    <xf numFmtId="0" fontId="0" fillId="0" borderId="16" xfId="0" applyBorder="1" applyAlignment="1">
      <alignment horizontal="left"/>
    </xf>
    <xf numFmtId="0" fontId="4" fillId="0" borderId="36" xfId="0" applyFont="1" applyBorder="1" applyAlignment="1">
      <alignment horizontal="left"/>
    </xf>
    <xf numFmtId="0" fontId="0" fillId="0" borderId="8" xfId="0" applyFont="1" applyBorder="1" applyAlignment="1">
      <alignment horizontal="center" vertical="center" wrapText="1"/>
    </xf>
    <xf numFmtId="0" fontId="0" fillId="0" borderId="17" xfId="0" applyFont="1" applyBorder="1" applyAlignment="1">
      <alignment horizontal="left"/>
    </xf>
    <xf numFmtId="0" fontId="0" fillId="0" borderId="41" xfId="0" applyBorder="1" applyAlignment="1">
      <alignment horizontal="center"/>
    </xf>
    <xf numFmtId="0" fontId="0" fillId="0" borderId="6" xfId="0" applyBorder="1" applyAlignment="1">
      <alignment horizontal="center"/>
    </xf>
    <xf numFmtId="0" fontId="0" fillId="0" borderId="39" xfId="0" applyBorder="1" applyAlignment="1">
      <alignment/>
    </xf>
    <xf numFmtId="0" fontId="4" fillId="0" borderId="28" xfId="0" applyFont="1" applyBorder="1" applyAlignment="1">
      <alignment/>
    </xf>
    <xf numFmtId="0" fontId="0" fillId="0" borderId="33" xfId="0" applyBorder="1" applyAlignment="1">
      <alignment horizontal="center"/>
    </xf>
    <xf numFmtId="0" fontId="0" fillId="0" borderId="42" xfId="0" applyBorder="1" applyAlignment="1">
      <alignment horizontal="center"/>
    </xf>
    <xf numFmtId="3" fontId="0" fillId="0" borderId="6" xfId="0" applyNumberFormat="1" applyBorder="1" applyAlignment="1">
      <alignment horizontal="center"/>
    </xf>
    <xf numFmtId="178" fontId="0" fillId="0" borderId="33" xfId="0" applyNumberFormat="1" applyBorder="1" applyAlignment="1">
      <alignment horizontal="center"/>
    </xf>
    <xf numFmtId="3" fontId="4" fillId="0" borderId="43" xfId="0" applyNumberFormat="1" applyFont="1" applyBorder="1" applyAlignment="1">
      <alignment horizontal="center"/>
    </xf>
    <xf numFmtId="178" fontId="4" fillId="0" borderId="29" xfId="0" applyNumberFormat="1" applyFont="1" applyBorder="1" applyAlignment="1">
      <alignment horizontal="center"/>
    </xf>
    <xf numFmtId="1" fontId="0" fillId="0" borderId="33" xfId="0" applyNumberFormat="1"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3" fontId="0" fillId="0" borderId="0" xfId="0" applyNumberFormat="1" applyBorder="1" applyAlignment="1">
      <alignment horizontal="center"/>
    </xf>
    <xf numFmtId="3" fontId="0" fillId="0" borderId="27" xfId="0" applyNumberFormat="1" applyBorder="1" applyAlignment="1">
      <alignment horizontal="center"/>
    </xf>
    <xf numFmtId="3" fontId="0" fillId="0" borderId="32" xfId="0" applyNumberFormat="1" applyBorder="1" applyAlignment="1">
      <alignment horizontal="center"/>
    </xf>
    <xf numFmtId="3" fontId="0" fillId="0" borderId="8" xfId="0" applyNumberFormat="1" applyBorder="1" applyAlignment="1">
      <alignment horizontal="center"/>
    </xf>
    <xf numFmtId="3" fontId="0" fillId="0" borderId="45" xfId="0" applyNumberFormat="1" applyBorder="1" applyAlignment="1">
      <alignment horizontal="center"/>
    </xf>
    <xf numFmtId="3" fontId="0" fillId="0" borderId="46" xfId="0" applyNumberFormat="1" applyBorder="1" applyAlignment="1">
      <alignment horizontal="center"/>
    </xf>
    <xf numFmtId="0" fontId="0" fillId="0" borderId="17" xfId="0" applyFill="1" applyBorder="1" applyAlignment="1">
      <alignment horizontal="left"/>
    </xf>
    <xf numFmtId="3" fontId="0" fillId="0" borderId="13" xfId="0" applyNumberFormat="1" applyBorder="1" applyAlignment="1">
      <alignment horizontal="center"/>
    </xf>
    <xf numFmtId="3" fontId="0" fillId="0" borderId="47" xfId="0" applyNumberFormat="1" applyBorder="1" applyAlignment="1">
      <alignment horizontal="center"/>
    </xf>
    <xf numFmtId="3" fontId="0" fillId="0" borderId="33" xfId="0" applyNumberFormat="1" applyBorder="1" applyAlignment="1">
      <alignment horizontal="center"/>
    </xf>
    <xf numFmtId="3" fontId="4" fillId="0" borderId="48" xfId="0" applyNumberFormat="1" applyFont="1" applyBorder="1" applyAlignment="1">
      <alignment horizontal="center"/>
    </xf>
    <xf numFmtId="3" fontId="4" fillId="0" borderId="45" xfId="0" applyNumberFormat="1" applyFont="1" applyBorder="1" applyAlignment="1">
      <alignment horizontal="center"/>
    </xf>
    <xf numFmtId="3" fontId="4" fillId="0" borderId="23" xfId="0" applyNumberFormat="1" applyFont="1" applyBorder="1" applyAlignment="1">
      <alignment horizontal="center"/>
    </xf>
    <xf numFmtId="3" fontId="4" fillId="0" borderId="29" xfId="0" applyNumberFormat="1" applyFont="1" applyBorder="1" applyAlignment="1">
      <alignment horizontal="center"/>
    </xf>
    <xf numFmtId="0" fontId="0" fillId="0" borderId="8" xfId="0" applyFill="1"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36" xfId="0" applyFill="1" applyBorder="1" applyAlignment="1">
      <alignment horizontal="left"/>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5" xfId="0" applyNumberFormat="1" applyBorder="1" applyAlignment="1">
      <alignment horizontal="center"/>
    </xf>
    <xf numFmtId="3" fontId="0" fillId="0" borderId="20" xfId="0" applyNumberFormat="1" applyBorder="1" applyAlignment="1">
      <alignment horizontal="center"/>
    </xf>
    <xf numFmtId="3" fontId="0" fillId="0" borderId="18" xfId="0" applyNumberFormat="1" applyBorder="1" applyAlignment="1">
      <alignment horizontal="center"/>
    </xf>
    <xf numFmtId="0" fontId="0" fillId="0" borderId="51" xfId="0" applyBorder="1" applyAlignment="1">
      <alignment horizontal="center"/>
    </xf>
    <xf numFmtId="0" fontId="0" fillId="0" borderId="19" xfId="0" applyBorder="1" applyAlignment="1">
      <alignment horizontal="left"/>
    </xf>
    <xf numFmtId="0" fontId="0" fillId="0" borderId="34" xfId="0" applyBorder="1" applyAlignment="1">
      <alignment horizontal="left"/>
    </xf>
    <xf numFmtId="3" fontId="0" fillId="2" borderId="35" xfId="0" applyNumberFormat="1" applyFill="1" applyBorder="1" applyAlignment="1">
      <alignment horizontal="center"/>
    </xf>
    <xf numFmtId="3" fontId="0" fillId="2" borderId="8" xfId="0" applyNumberFormat="1" applyFill="1" applyBorder="1" applyAlignment="1">
      <alignment horizontal="center"/>
    </xf>
    <xf numFmtId="3" fontId="0" fillId="2" borderId="20" xfId="0" applyNumberFormat="1" applyFill="1" applyBorder="1" applyAlignment="1">
      <alignment horizontal="center"/>
    </xf>
    <xf numFmtId="3" fontId="4" fillId="0" borderId="20" xfId="0" applyNumberFormat="1" applyFont="1" applyBorder="1" applyAlignment="1">
      <alignment horizontal="center"/>
    </xf>
    <xf numFmtId="3" fontId="4" fillId="0" borderId="35" xfId="0" applyNumberFormat="1" applyFont="1" applyBorder="1" applyAlignment="1">
      <alignment horizontal="center"/>
    </xf>
    <xf numFmtId="3" fontId="4" fillId="0" borderId="22" xfId="0" applyNumberFormat="1" applyFont="1" applyBorder="1" applyAlignment="1">
      <alignment horizontal="center"/>
    </xf>
    <xf numFmtId="0" fontId="0" fillId="0" borderId="39" xfId="0" applyFont="1" applyBorder="1" applyAlignment="1">
      <alignment/>
    </xf>
    <xf numFmtId="0" fontId="4" fillId="0" borderId="16" xfId="0" applyFont="1" applyBorder="1" applyAlignment="1">
      <alignment/>
    </xf>
    <xf numFmtId="0" fontId="4" fillId="0" borderId="36" xfId="0" applyFont="1" applyBorder="1" applyAlignment="1">
      <alignment/>
    </xf>
    <xf numFmtId="0" fontId="0" fillId="0" borderId="0" xfId="0" applyAlignment="1" quotePrefix="1">
      <alignment/>
    </xf>
    <xf numFmtId="0" fontId="0" fillId="0" borderId="25" xfId="0" applyBorder="1" applyAlignment="1">
      <alignment horizontal="center" vertical="center" wrapText="1"/>
    </xf>
    <xf numFmtId="0" fontId="4" fillId="0" borderId="34" xfId="0" applyFont="1" applyBorder="1" applyAlignment="1">
      <alignment/>
    </xf>
    <xf numFmtId="0" fontId="0" fillId="0" borderId="37" xfId="0" applyBorder="1" applyAlignment="1">
      <alignment horizontal="center"/>
    </xf>
    <xf numFmtId="3" fontId="0" fillId="2" borderId="52" xfId="0" applyNumberFormat="1" applyFill="1" applyBorder="1" applyAlignment="1">
      <alignment horizontal="center"/>
    </xf>
    <xf numFmtId="3" fontId="0" fillId="2" borderId="46" xfId="0" applyNumberFormat="1" applyFill="1" applyBorder="1" applyAlignment="1">
      <alignment horizontal="center"/>
    </xf>
    <xf numFmtId="3" fontId="0" fillId="0" borderId="52" xfId="0" applyNumberFormat="1" applyBorder="1" applyAlignment="1">
      <alignment horizontal="center"/>
    </xf>
    <xf numFmtId="3" fontId="0" fillId="2" borderId="53" xfId="0" applyNumberFormat="1" applyFill="1" applyBorder="1" applyAlignment="1">
      <alignment horizontal="center"/>
    </xf>
    <xf numFmtId="182" fontId="0" fillId="0" borderId="0" xfId="0" applyNumberFormat="1" applyFill="1" applyBorder="1" applyAlignment="1">
      <alignment/>
    </xf>
    <xf numFmtId="3" fontId="4" fillId="0" borderId="12" xfId="0" applyNumberFormat="1" applyFont="1" applyBorder="1" applyAlignment="1">
      <alignment/>
    </xf>
    <xf numFmtId="3" fontId="4" fillId="0" borderId="10" xfId="0" applyNumberFormat="1" applyFont="1" applyBorder="1" applyAlignment="1">
      <alignment/>
    </xf>
    <xf numFmtId="0" fontId="4" fillId="0" borderId="10" xfId="0" applyFont="1" applyBorder="1" applyAlignment="1">
      <alignment horizontal="center"/>
    </xf>
    <xf numFmtId="0" fontId="0" fillId="0" borderId="9" xfId="0" applyBorder="1" applyAlignment="1">
      <alignment/>
    </xf>
    <xf numFmtId="3" fontId="4" fillId="0" borderId="15" xfId="0" applyNumberFormat="1" applyFont="1" applyBorder="1" applyAlignment="1">
      <alignment/>
    </xf>
    <xf numFmtId="0" fontId="4" fillId="2" borderId="10" xfId="0" applyFont="1" applyFill="1" applyBorder="1" applyAlignment="1">
      <alignment/>
    </xf>
    <xf numFmtId="3" fontId="4" fillId="2" borderId="15" xfId="15" applyNumberFormat="1" applyFont="1" applyFill="1" applyBorder="1" applyAlignment="1">
      <alignment/>
    </xf>
    <xf numFmtId="3" fontId="4" fillId="2" borderId="15" xfId="0" applyNumberFormat="1" applyFont="1" applyFill="1" applyBorder="1" applyAlignment="1">
      <alignment/>
    </xf>
    <xf numFmtId="3" fontId="4" fillId="2" borderId="12" xfId="0" applyNumberFormat="1" applyFont="1" applyFill="1" applyBorder="1" applyAlignment="1">
      <alignment/>
    </xf>
    <xf numFmtId="0" fontId="4" fillId="2" borderId="10" xfId="0" applyFont="1" applyFill="1" applyBorder="1" applyAlignment="1">
      <alignment horizontal="left"/>
    </xf>
    <xf numFmtId="3" fontId="0" fillId="0" borderId="13" xfId="0" applyNumberFormat="1" applyFill="1" applyBorder="1" applyAlignment="1">
      <alignment/>
    </xf>
    <xf numFmtId="3" fontId="0" fillId="0" borderId="3" xfId="0" applyNumberFormat="1" applyBorder="1" applyAlignment="1">
      <alignment/>
    </xf>
    <xf numFmtId="3" fontId="0" fillId="0" borderId="14" xfId="0" applyNumberFormat="1" applyFill="1" applyBorder="1" applyAlignment="1">
      <alignment/>
    </xf>
    <xf numFmtId="3" fontId="0" fillId="0" borderId="8" xfId="0" applyNumberFormat="1" applyFill="1" applyBorder="1" applyAlignment="1">
      <alignment/>
    </xf>
    <xf numFmtId="0" fontId="4" fillId="0" borderId="18" xfId="0" applyFont="1" applyBorder="1" applyAlignment="1">
      <alignment horizontal="left"/>
    </xf>
    <xf numFmtId="0" fontId="4" fillId="0" borderId="31" xfId="0" applyFont="1" applyBorder="1" applyAlignment="1">
      <alignment horizontal="left"/>
    </xf>
    <xf numFmtId="0" fontId="4" fillId="0" borderId="34" xfId="0" applyFont="1" applyBorder="1" applyAlignment="1">
      <alignment horizontal="left"/>
    </xf>
    <xf numFmtId="179" fontId="4" fillId="0" borderId="12" xfId="0" applyNumberFormat="1" applyFont="1" applyBorder="1" applyAlignment="1">
      <alignment horizontal="center"/>
    </xf>
    <xf numFmtId="0" fontId="0" fillId="0" borderId="12" xfId="0" applyBorder="1" applyAlignment="1">
      <alignment/>
    </xf>
    <xf numFmtId="0" fontId="0" fillId="0" borderId="17" xfId="0" applyFill="1" applyBorder="1" applyAlignment="1">
      <alignment/>
    </xf>
    <xf numFmtId="0" fontId="0" fillId="0" borderId="0" xfId="0" applyFont="1" applyBorder="1" applyAlignment="1">
      <alignment horizontal="left"/>
    </xf>
    <xf numFmtId="0" fontId="0" fillId="0" borderId="0" xfId="0" applyFont="1" applyBorder="1" applyAlignment="1">
      <alignment horizontal="center" vertical="center" wrapText="1"/>
    </xf>
    <xf numFmtId="178" fontId="0" fillId="0" borderId="0" xfId="0" applyNumberFormat="1" applyBorder="1" applyAlignment="1">
      <alignment horizontal="center"/>
    </xf>
    <xf numFmtId="0" fontId="0" fillId="0" borderId="38" xfId="0" applyFont="1" applyBorder="1" applyAlignment="1">
      <alignment horizontal="center" vertical="center"/>
    </xf>
    <xf numFmtId="0" fontId="0" fillId="0" borderId="42" xfId="0" applyFont="1" applyBorder="1" applyAlignment="1">
      <alignment horizontal="center" vertical="center" wrapText="1"/>
    </xf>
    <xf numFmtId="0" fontId="0" fillId="0" borderId="49" xfId="0" applyFont="1" applyBorder="1" applyAlignment="1">
      <alignment horizontal="center" vertical="center" wrapText="1"/>
    </xf>
    <xf numFmtId="3" fontId="0" fillId="0" borderId="14" xfId="0" applyNumberFormat="1" applyBorder="1" applyAlignment="1">
      <alignment horizontal="center"/>
    </xf>
    <xf numFmtId="3" fontId="4" fillId="0" borderId="44" xfId="0" applyNumberFormat="1" applyFont="1" applyBorder="1" applyAlignment="1">
      <alignment horizontal="center"/>
    </xf>
    <xf numFmtId="3" fontId="4" fillId="0" borderId="54" xfId="0" applyNumberFormat="1" applyFont="1" applyBorder="1" applyAlignment="1">
      <alignment horizontal="center"/>
    </xf>
    <xf numFmtId="178" fontId="0" fillId="0" borderId="17" xfId="0" applyNumberFormat="1" applyBorder="1" applyAlignment="1">
      <alignment horizontal="left"/>
    </xf>
    <xf numFmtId="178" fontId="4" fillId="0" borderId="19" xfId="0" applyNumberFormat="1" applyFont="1" applyBorder="1" applyAlignment="1">
      <alignment horizontal="left"/>
    </xf>
    <xf numFmtId="0" fontId="0" fillId="0" borderId="31" xfId="0" applyBorder="1" applyAlignment="1">
      <alignment horizontal="left"/>
    </xf>
    <xf numFmtId="0" fontId="4" fillId="0" borderId="10" xfId="0" applyFont="1" applyBorder="1" applyAlignment="1">
      <alignment horizontal="left"/>
    </xf>
    <xf numFmtId="4" fontId="0" fillId="0" borderId="0" xfId="0" applyNumberFormat="1" applyBorder="1" applyAlignment="1">
      <alignment/>
    </xf>
    <xf numFmtId="0" fontId="4" fillId="0" borderId="0" xfId="0" applyFont="1" applyBorder="1" applyAlignment="1">
      <alignment horizontal="left"/>
    </xf>
    <xf numFmtId="0" fontId="4" fillId="0" borderId="18" xfId="0" applyFont="1" applyBorder="1" applyAlignment="1">
      <alignment/>
    </xf>
    <xf numFmtId="0" fontId="4" fillId="0" borderId="31" xfId="0" applyFont="1" applyBorder="1" applyAlignment="1">
      <alignment/>
    </xf>
    <xf numFmtId="0" fontId="4" fillId="3" borderId="29" xfId="0" applyFont="1" applyFill="1" applyBorder="1" applyAlignment="1">
      <alignment/>
    </xf>
    <xf numFmtId="0" fontId="4" fillId="0" borderId="0" xfId="0" applyFont="1" applyFill="1" applyBorder="1" applyAlignment="1">
      <alignment horizontal="right"/>
    </xf>
    <xf numFmtId="178" fontId="0" fillId="0" borderId="18" xfId="0" applyNumberFormat="1" applyBorder="1" applyAlignment="1">
      <alignment/>
    </xf>
    <xf numFmtId="178" fontId="0" fillId="0" borderId="31" xfId="0" applyNumberFormat="1" applyBorder="1" applyAlignment="1">
      <alignment/>
    </xf>
    <xf numFmtId="178" fontId="0" fillId="0" borderId="18" xfId="0" applyNumberFormat="1" applyFont="1" applyBorder="1" applyAlignment="1">
      <alignment/>
    </xf>
    <xf numFmtId="0" fontId="4" fillId="0" borderId="26" xfId="0" applyFont="1" applyBorder="1" applyAlignment="1">
      <alignment/>
    </xf>
    <xf numFmtId="178" fontId="0" fillId="0" borderId="31" xfId="0" applyNumberFormat="1" applyFont="1" applyBorder="1" applyAlignment="1">
      <alignment/>
    </xf>
    <xf numFmtId="0" fontId="0" fillId="0" borderId="0" xfId="0" applyAlignment="1">
      <alignment horizontal="center"/>
    </xf>
    <xf numFmtId="0" fontId="0" fillId="0" borderId="15" xfId="0" applyBorder="1" applyAlignment="1">
      <alignment/>
    </xf>
    <xf numFmtId="0" fontId="4" fillId="0" borderId="19" xfId="0" applyFont="1" applyFill="1" applyBorder="1" applyAlignment="1">
      <alignment/>
    </xf>
    <xf numFmtId="184" fontId="4" fillId="0" borderId="0" xfId="0" applyNumberFormat="1" applyFont="1" applyBorder="1" applyAlignment="1">
      <alignment/>
    </xf>
    <xf numFmtId="0" fontId="4" fillId="0" borderId="34" xfId="0" applyFont="1" applyFill="1" applyBorder="1" applyAlignment="1">
      <alignment horizontal="left"/>
    </xf>
    <xf numFmtId="0" fontId="8" fillId="0" borderId="0" xfId="0" applyFont="1" applyFill="1" applyBorder="1" applyAlignment="1">
      <alignment/>
    </xf>
    <xf numFmtId="9" fontId="0" fillId="0" borderId="13" xfId="0" applyNumberFormat="1" applyBorder="1" applyAlignment="1">
      <alignment/>
    </xf>
    <xf numFmtId="9" fontId="0" fillId="0" borderId="0" xfId="0" applyNumberFormat="1" applyBorder="1" applyAlignment="1">
      <alignment/>
    </xf>
    <xf numFmtId="0" fontId="0" fillId="0" borderId="51" xfId="0" applyBorder="1" applyAlignment="1">
      <alignment vertical="center" wrapText="1"/>
    </xf>
    <xf numFmtId="0" fontId="0" fillId="0" borderId="50" xfId="0" applyBorder="1" applyAlignment="1">
      <alignment/>
    </xf>
    <xf numFmtId="0" fontId="0" fillId="0" borderId="55" xfId="0" applyBorder="1" applyAlignment="1">
      <alignment/>
    </xf>
    <xf numFmtId="0" fontId="0" fillId="0" borderId="56" xfId="0" applyBorder="1" applyAlignment="1">
      <alignment vertical="center" wrapText="1"/>
    </xf>
    <xf numFmtId="0" fontId="8" fillId="0" borderId="0" xfId="0" applyFont="1" applyAlignment="1">
      <alignment/>
    </xf>
    <xf numFmtId="3" fontId="4" fillId="0" borderId="0" xfId="0" applyNumberFormat="1" applyFont="1" applyBorder="1" applyAlignment="1">
      <alignment horizontal="left"/>
    </xf>
    <xf numFmtId="3" fontId="4" fillId="2" borderId="57" xfId="0" applyNumberFormat="1" applyFont="1" applyFill="1" applyBorder="1" applyAlignment="1">
      <alignment horizontal="center"/>
    </xf>
    <xf numFmtId="1" fontId="4" fillId="0" borderId="0" xfId="0" applyNumberFormat="1" applyFont="1" applyAlignment="1">
      <alignment horizontal="left"/>
    </xf>
    <xf numFmtId="0" fontId="0" fillId="0" borderId="51" xfId="0" applyBorder="1" applyAlignment="1">
      <alignment/>
    </xf>
    <xf numFmtId="0" fontId="0" fillId="0" borderId="58" xfId="0" applyBorder="1" applyAlignment="1">
      <alignment/>
    </xf>
    <xf numFmtId="3" fontId="0" fillId="0" borderId="59" xfId="0" applyNumberFormat="1" applyBorder="1" applyAlignment="1">
      <alignment horizontal="center"/>
    </xf>
    <xf numFmtId="3" fontId="0" fillId="0" borderId="25" xfId="0" applyNumberFormat="1" applyBorder="1" applyAlignment="1">
      <alignment horizontal="center"/>
    </xf>
    <xf numFmtId="0" fontId="0" fillId="0" borderId="0" xfId="0" applyAlignment="1">
      <alignment horizontal="left" indent="1"/>
    </xf>
    <xf numFmtId="9" fontId="0" fillId="0" borderId="6" xfId="0" applyNumberFormat="1" applyBorder="1" applyAlignment="1">
      <alignment/>
    </xf>
    <xf numFmtId="43" fontId="9" fillId="0" borderId="0" xfId="15" applyFont="1" applyFill="1" applyBorder="1" applyAlignment="1">
      <alignment horizontal="center"/>
    </xf>
    <xf numFmtId="0" fontId="0" fillId="0" borderId="60" xfId="0" applyBorder="1" applyAlignment="1">
      <alignment horizontal="center" vertical="center" wrapText="1"/>
    </xf>
    <xf numFmtId="0" fontId="0" fillId="0" borderId="61" xfId="0" applyBorder="1" applyAlignment="1">
      <alignment horizontal="left" vertical="center" wrapText="1"/>
    </xf>
    <xf numFmtId="0" fontId="0" fillId="0" borderId="62" xfId="0" applyBorder="1" applyAlignment="1">
      <alignment/>
    </xf>
    <xf numFmtId="0" fontId="0" fillId="0" borderId="30" xfId="0" applyBorder="1" applyAlignment="1">
      <alignment/>
    </xf>
    <xf numFmtId="1" fontId="0" fillId="0" borderId="8" xfId="25" applyNumberFormat="1" applyBorder="1" applyAlignment="1">
      <alignment horizontal="center"/>
    </xf>
    <xf numFmtId="181" fontId="0" fillId="0" borderId="8" xfId="25" applyNumberFormat="1" applyBorder="1" applyAlignment="1">
      <alignment horizontal="center"/>
    </xf>
    <xf numFmtId="0" fontId="0" fillId="0" borderId="51" xfId="0" applyBorder="1" applyAlignment="1">
      <alignment horizontal="center" vertical="center" wrapText="1"/>
    </xf>
    <xf numFmtId="1" fontId="0" fillId="0" borderId="30" xfId="0" applyNumberFormat="1" applyBorder="1" applyAlignment="1">
      <alignment horizontal="center"/>
    </xf>
    <xf numFmtId="9" fontId="0" fillId="0" borderId="46" xfId="25" applyBorder="1" applyAlignment="1">
      <alignment horizontal="center"/>
    </xf>
    <xf numFmtId="0" fontId="10" fillId="0" borderId="0" xfId="0" applyFont="1" applyAlignment="1">
      <alignment/>
    </xf>
    <xf numFmtId="0" fontId="0" fillId="0" borderId="61" xfId="0" applyBorder="1" applyAlignment="1">
      <alignment vertical="center" wrapText="1"/>
    </xf>
    <xf numFmtId="0" fontId="0" fillId="0" borderId="0" xfId="0" applyBorder="1" applyAlignment="1">
      <alignment horizontal="center" vertical="center" wrapText="1"/>
    </xf>
    <xf numFmtId="9" fontId="0" fillId="0" borderId="0" xfId="25" applyBorder="1" applyAlignment="1">
      <alignment horizontal="center"/>
    </xf>
    <xf numFmtId="0" fontId="0" fillId="0" borderId="63" xfId="0" applyBorder="1" applyAlignment="1">
      <alignment horizontal="center" vertical="center" wrapText="1"/>
    </xf>
    <xf numFmtId="1" fontId="0" fillId="0" borderId="0" xfId="0" applyNumberFormat="1" applyAlignment="1">
      <alignment horizontal="center"/>
    </xf>
    <xf numFmtId="3" fontId="0" fillId="0" borderId="0" xfId="0" applyNumberFormat="1" applyAlignment="1">
      <alignment horizontal="center"/>
    </xf>
    <xf numFmtId="3" fontId="0" fillId="0" borderId="0" xfId="0" applyNumberFormat="1" applyFill="1" applyBorder="1" applyAlignment="1">
      <alignment horizontal="center"/>
    </xf>
    <xf numFmtId="3" fontId="4" fillId="0" borderId="0" xfId="0" applyNumberFormat="1" applyFont="1" applyAlignment="1">
      <alignment horizontal="center"/>
    </xf>
    <xf numFmtId="9" fontId="4" fillId="0" borderId="0" xfId="25" applyFont="1" applyAlignment="1">
      <alignment horizontal="center"/>
    </xf>
    <xf numFmtId="0" fontId="0" fillId="0" borderId="50" xfId="0" applyBorder="1" applyAlignment="1">
      <alignment horizontal="center" vertical="center" wrapText="1"/>
    </xf>
    <xf numFmtId="0" fontId="0" fillId="0" borderId="61" xfId="0" applyBorder="1" applyAlignment="1">
      <alignment horizontal="center" vertical="center" wrapText="1"/>
    </xf>
    <xf numFmtId="0" fontId="0" fillId="0" borderId="42" xfId="0" applyBorder="1" applyAlignment="1">
      <alignment horizontal="center" vertical="center" wrapText="1"/>
    </xf>
    <xf numFmtId="9" fontId="4" fillId="0" borderId="44" xfId="0" applyNumberFormat="1" applyFont="1" applyBorder="1" applyAlignment="1">
      <alignment horizontal="center"/>
    </xf>
    <xf numFmtId="3" fontId="0" fillId="0" borderId="15" xfId="0" applyNumberFormat="1" applyBorder="1" applyAlignment="1">
      <alignment horizontal="center" vertical="center"/>
    </xf>
    <xf numFmtId="3" fontId="0" fillId="0" borderId="59" xfId="0" applyNumberFormat="1" applyBorder="1" applyAlignment="1">
      <alignment horizontal="center" vertical="center"/>
    </xf>
    <xf numFmtId="3" fontId="0" fillId="0" borderId="14" xfId="0" applyNumberFormat="1" applyBorder="1" applyAlignment="1">
      <alignment horizontal="center" vertical="center"/>
    </xf>
    <xf numFmtId="3" fontId="0" fillId="0" borderId="64" xfId="0" applyNumberFormat="1" applyBorder="1" applyAlignment="1">
      <alignment horizontal="center" vertical="center"/>
    </xf>
    <xf numFmtId="0" fontId="0" fillId="0" borderId="65" xfId="0" applyBorder="1" applyAlignment="1">
      <alignment horizontal="left" vertical="center" wrapText="1"/>
    </xf>
    <xf numFmtId="9" fontId="0" fillId="0" borderId="0" xfId="25" applyAlignment="1">
      <alignment horizontal="center"/>
    </xf>
    <xf numFmtId="0" fontId="0" fillId="0" borderId="66" xfId="0" applyBorder="1" applyAlignment="1">
      <alignment horizontal="left" vertical="center" wrapText="1"/>
    </xf>
    <xf numFmtId="1" fontId="0" fillId="0" borderId="0" xfId="0" applyNumberFormat="1" applyAlignment="1">
      <alignment horizontal="center" vertical="center"/>
    </xf>
    <xf numFmtId="3" fontId="4" fillId="2" borderId="54" xfId="0" applyNumberFormat="1" applyFont="1" applyFill="1" applyBorder="1" applyAlignment="1">
      <alignment horizontal="center"/>
    </xf>
    <xf numFmtId="3" fontId="0" fillId="0" borderId="0" xfId="0" applyNumberFormat="1" applyAlignment="1">
      <alignment horizontal="left"/>
    </xf>
    <xf numFmtId="3" fontId="0" fillId="0" borderId="0" xfId="0" applyNumberFormat="1" applyAlignment="1">
      <alignment horizontal="left" indent="1"/>
    </xf>
    <xf numFmtId="0" fontId="0" fillId="0" borderId="0" xfId="0" applyAlignment="1">
      <alignment horizontal="left"/>
    </xf>
    <xf numFmtId="0" fontId="0" fillId="0" borderId="0" xfId="0" applyNumberFormat="1" applyAlignment="1">
      <alignment horizontal="center"/>
    </xf>
    <xf numFmtId="4" fontId="11" fillId="0" borderId="0" xfId="0" applyNumberFormat="1" applyFont="1" applyBorder="1" applyAlignment="1">
      <alignment horizontal="center"/>
    </xf>
    <xf numFmtId="3" fontId="11" fillId="0" borderId="0" xfId="0" applyNumberFormat="1" applyFont="1" applyBorder="1" applyAlignment="1">
      <alignment/>
    </xf>
    <xf numFmtId="0" fontId="0" fillId="0" borderId="6" xfId="0" applyFont="1" applyBorder="1" applyAlignment="1">
      <alignment horizontal="center" vertical="center"/>
    </xf>
    <xf numFmtId="184" fontId="0" fillId="0" borderId="0" xfId="15" applyNumberFormat="1" applyAlignment="1">
      <alignment/>
    </xf>
    <xf numFmtId="0" fontId="0" fillId="0" borderId="0" xfId="0" applyNumberFormat="1" applyAlignment="1">
      <alignment/>
    </xf>
    <xf numFmtId="0" fontId="0" fillId="0" borderId="0" xfId="0" applyFont="1" applyBorder="1" applyAlignment="1">
      <alignment horizontal="center"/>
    </xf>
    <xf numFmtId="3" fontId="0" fillId="0" borderId="0" xfId="0" applyNumberFormat="1" applyFont="1" applyBorder="1" applyAlignment="1">
      <alignment horizontal="center"/>
    </xf>
    <xf numFmtId="0" fontId="0" fillId="0" borderId="0" xfId="0" applyFont="1" applyAlignment="1">
      <alignment/>
    </xf>
    <xf numFmtId="0" fontId="0" fillId="3" borderId="0" xfId="0" applyFont="1" applyFill="1" applyBorder="1" applyAlignment="1">
      <alignment horizontal="center"/>
    </xf>
    <xf numFmtId="3" fontId="4" fillId="0" borderId="0" xfId="0" applyNumberFormat="1" applyFont="1" applyFill="1" applyBorder="1" applyAlignment="1">
      <alignment horizontal="center"/>
    </xf>
    <xf numFmtId="0" fontId="0" fillId="3" borderId="13" xfId="0" applyFont="1" applyFill="1" applyBorder="1" applyAlignment="1">
      <alignment horizontal="center"/>
    </xf>
    <xf numFmtId="3" fontId="0" fillId="3" borderId="14" xfId="0" applyNumberFormat="1" applyFont="1" applyFill="1" applyBorder="1" applyAlignment="1">
      <alignment horizontal="center"/>
    </xf>
    <xf numFmtId="3" fontId="0" fillId="3" borderId="8" xfId="0" applyNumberFormat="1" applyFont="1" applyFill="1" applyBorder="1" applyAlignment="1">
      <alignment horizontal="center"/>
    </xf>
    <xf numFmtId="3" fontId="0" fillId="0" borderId="14" xfId="0" applyNumberFormat="1" applyFont="1" applyFill="1" applyBorder="1" applyAlignment="1">
      <alignment horizontal="center"/>
    </xf>
    <xf numFmtId="3" fontId="0" fillId="0" borderId="8" xfId="0" applyNumberFormat="1" applyFont="1" applyFill="1" applyBorder="1" applyAlignment="1">
      <alignment horizontal="center"/>
    </xf>
    <xf numFmtId="0" fontId="0" fillId="3" borderId="14" xfId="0" applyFont="1" applyFill="1" applyBorder="1" applyAlignment="1">
      <alignment horizontal="center"/>
    </xf>
    <xf numFmtId="0" fontId="0" fillId="3" borderId="8" xfId="0" applyFont="1" applyFill="1" applyBorder="1" applyAlignment="1">
      <alignment horizontal="center"/>
    </xf>
    <xf numFmtId="0" fontId="0" fillId="0" borderId="0" xfId="0" applyFont="1" applyBorder="1" applyAlignment="1">
      <alignment/>
    </xf>
    <xf numFmtId="3" fontId="4" fillId="0" borderId="44" xfId="0" applyNumberFormat="1" applyFont="1" applyFill="1" applyBorder="1" applyAlignment="1">
      <alignment horizontal="center"/>
    </xf>
    <xf numFmtId="0" fontId="4" fillId="0" borderId="44" xfId="0" applyFont="1" applyFill="1" applyBorder="1" applyAlignment="1">
      <alignment horizontal="center"/>
    </xf>
    <xf numFmtId="3" fontId="4" fillId="0" borderId="29" xfId="0" applyNumberFormat="1" applyFont="1" applyFill="1" applyBorder="1" applyAlignment="1">
      <alignment horizontal="center"/>
    </xf>
    <xf numFmtId="3" fontId="0" fillId="0" borderId="47" xfId="0" applyNumberFormat="1" applyFont="1" applyFill="1" applyBorder="1" applyAlignment="1">
      <alignment horizontal="center"/>
    </xf>
    <xf numFmtId="3" fontId="0" fillId="0" borderId="33" xfId="0" applyNumberFormat="1" applyFont="1" applyFill="1" applyBorder="1" applyAlignment="1">
      <alignment horizontal="center"/>
    </xf>
    <xf numFmtId="0" fontId="4" fillId="0" borderId="23" xfId="0" applyFont="1" applyFill="1" applyBorder="1" applyAlignment="1">
      <alignment horizontal="center"/>
    </xf>
    <xf numFmtId="0" fontId="0" fillId="0" borderId="16" xfId="0" applyFont="1" applyBorder="1" applyAlignment="1">
      <alignment/>
    </xf>
    <xf numFmtId="0" fontId="0" fillId="0" borderId="40" xfId="0" applyFont="1" applyBorder="1" applyAlignment="1">
      <alignment/>
    </xf>
    <xf numFmtId="0" fontId="0" fillId="0" borderId="17" xfId="0" applyFont="1" applyBorder="1" applyAlignment="1">
      <alignment/>
    </xf>
    <xf numFmtId="0" fontId="4" fillId="0" borderId="22" xfId="0" applyFont="1" applyBorder="1" applyAlignment="1">
      <alignment horizontal="center" vertical="center"/>
    </xf>
    <xf numFmtId="3" fontId="4" fillId="0" borderId="22" xfId="0" applyNumberFormat="1" applyFont="1" applyBorder="1" applyAlignment="1">
      <alignment horizontal="center" vertical="center"/>
    </xf>
    <xf numFmtId="3" fontId="4" fillId="0" borderId="22" xfId="0" applyNumberFormat="1" applyFont="1" applyBorder="1" applyAlignment="1">
      <alignment horizontal="center" vertical="center" wrapText="1"/>
    </xf>
    <xf numFmtId="0" fontId="4" fillId="0" borderId="22" xfId="0" applyFont="1" applyBorder="1" applyAlignment="1">
      <alignment horizontal="center" vertical="center" wrapText="1"/>
    </xf>
    <xf numFmtId="0" fontId="4" fillId="0" borderId="22" xfId="0" applyNumberFormat="1" applyFont="1" applyBorder="1" applyAlignment="1">
      <alignment horizontal="center" vertical="center"/>
    </xf>
    <xf numFmtId="3" fontId="4" fillId="0" borderId="35" xfId="0" applyNumberFormat="1" applyFont="1" applyBorder="1" applyAlignment="1">
      <alignment horizontal="center" vertical="center"/>
    </xf>
    <xf numFmtId="3" fontId="0" fillId="3" borderId="35" xfId="0" applyNumberFormat="1" applyFill="1" applyBorder="1" applyAlignment="1">
      <alignment/>
    </xf>
    <xf numFmtId="3" fontId="0" fillId="3" borderId="33" xfId="0" applyNumberFormat="1" applyFill="1" applyBorder="1" applyAlignment="1">
      <alignment/>
    </xf>
    <xf numFmtId="3" fontId="0" fillId="3" borderId="32" xfId="0" applyNumberFormat="1" applyFill="1" applyBorder="1" applyAlignment="1">
      <alignment/>
    </xf>
    <xf numFmtId="178" fontId="0" fillId="3" borderId="35" xfId="25" applyNumberFormat="1" applyFill="1" applyBorder="1" applyAlignment="1">
      <alignment/>
    </xf>
    <xf numFmtId="178" fontId="0" fillId="3" borderId="32" xfId="25" applyNumberFormat="1" applyFill="1" applyBorder="1" applyAlignment="1">
      <alignment/>
    </xf>
    <xf numFmtId="0" fontId="0" fillId="0" borderId="18" xfId="0" applyFont="1" applyBorder="1" applyAlignment="1">
      <alignment/>
    </xf>
    <xf numFmtId="0" fontId="0" fillId="0" borderId="26" xfId="0" applyFont="1" applyBorder="1" applyAlignment="1">
      <alignment/>
    </xf>
    <xf numFmtId="9" fontId="0" fillId="3" borderId="35" xfId="0" applyNumberFormat="1" applyFont="1" applyFill="1" applyBorder="1" applyAlignment="1">
      <alignment horizontal="center"/>
    </xf>
    <xf numFmtId="0" fontId="0" fillId="0" borderId="30" xfId="0" applyFont="1" applyBorder="1" applyAlignment="1">
      <alignment/>
    </xf>
    <xf numFmtId="0" fontId="0" fillId="3" borderId="33" xfId="0" applyFont="1" applyFill="1" applyBorder="1" applyAlignment="1">
      <alignment horizontal="center"/>
    </xf>
    <xf numFmtId="9" fontId="0" fillId="3" borderId="33" xfId="25" applyFont="1" applyFill="1" applyBorder="1" applyAlignment="1">
      <alignment horizontal="center"/>
    </xf>
    <xf numFmtId="3" fontId="0" fillId="0" borderId="33" xfId="0" applyNumberFormat="1" applyFont="1" applyBorder="1" applyAlignment="1">
      <alignment horizontal="center"/>
    </xf>
    <xf numFmtId="0" fontId="0" fillId="0" borderId="31" xfId="0" applyFont="1" applyBorder="1" applyAlignment="1">
      <alignment/>
    </xf>
    <xf numFmtId="0" fontId="0" fillId="0" borderId="27" xfId="0" applyFont="1" applyBorder="1" applyAlignment="1">
      <alignment/>
    </xf>
    <xf numFmtId="3" fontId="0" fillId="0" borderId="32" xfId="0" applyNumberFormat="1" applyFont="1" applyBorder="1" applyAlignment="1">
      <alignment horizontal="center"/>
    </xf>
    <xf numFmtId="0" fontId="0" fillId="0" borderId="36" xfId="0" applyFont="1" applyBorder="1" applyAlignment="1">
      <alignment/>
    </xf>
    <xf numFmtId="3" fontId="0" fillId="0" borderId="35" xfId="0" applyNumberFormat="1" applyFont="1" applyFill="1" applyBorder="1" applyAlignment="1">
      <alignment horizontal="center"/>
    </xf>
    <xf numFmtId="3" fontId="0" fillId="0" borderId="32" xfId="0" applyNumberFormat="1" applyFont="1" applyFill="1" applyBorder="1" applyAlignment="1">
      <alignment horizontal="center"/>
    </xf>
    <xf numFmtId="0" fontId="0" fillId="0" borderId="35" xfId="0" applyFont="1" applyBorder="1" applyAlignment="1">
      <alignment/>
    </xf>
    <xf numFmtId="0" fontId="0" fillId="0" borderId="33" xfId="0" applyFont="1" applyBorder="1" applyAlignment="1">
      <alignment/>
    </xf>
    <xf numFmtId="0" fontId="0" fillId="0" borderId="32" xfId="0" applyFont="1" applyBorder="1" applyAlignment="1">
      <alignment/>
    </xf>
    <xf numFmtId="3" fontId="0" fillId="0" borderId="8" xfId="0" applyNumberFormat="1" applyBorder="1" applyAlignment="1">
      <alignment horizontal="left" indent="1"/>
    </xf>
    <xf numFmtId="3" fontId="0" fillId="0" borderId="8" xfId="0" applyNumberFormat="1" applyBorder="1" applyAlignment="1">
      <alignment horizontal="left"/>
    </xf>
    <xf numFmtId="3" fontId="0" fillId="0" borderId="0" xfId="0" applyNumberFormat="1" applyBorder="1" applyAlignment="1">
      <alignment horizontal="left"/>
    </xf>
    <xf numFmtId="3" fontId="0" fillId="0" borderId="33" xfId="0" applyNumberFormat="1" applyBorder="1" applyAlignment="1">
      <alignment horizontal="left"/>
    </xf>
    <xf numFmtId="3" fontId="0" fillId="0" borderId="0" xfId="0" applyNumberFormat="1" applyBorder="1" applyAlignment="1">
      <alignment horizontal="left" indent="1"/>
    </xf>
    <xf numFmtId="0" fontId="0" fillId="0" borderId="17" xfId="0" applyBorder="1" applyAlignment="1">
      <alignment horizontal="left" indent="1"/>
    </xf>
    <xf numFmtId="0" fontId="4" fillId="0" borderId="16" xfId="0" applyFont="1" applyBorder="1" applyAlignment="1">
      <alignment horizontal="left"/>
    </xf>
    <xf numFmtId="3" fontId="4" fillId="0" borderId="26" xfId="0" applyNumberFormat="1" applyFont="1" applyBorder="1" applyAlignment="1">
      <alignment horizontal="left"/>
    </xf>
    <xf numFmtId="3" fontId="4" fillId="0" borderId="20" xfId="0" applyNumberFormat="1" applyFont="1" applyBorder="1" applyAlignment="1">
      <alignment horizontal="left"/>
    </xf>
    <xf numFmtId="3" fontId="4" fillId="0" borderId="35" xfId="0" applyNumberFormat="1" applyFont="1" applyBorder="1" applyAlignment="1">
      <alignment horizontal="left"/>
    </xf>
    <xf numFmtId="3" fontId="4" fillId="0" borderId="27" xfId="0" applyNumberFormat="1" applyFont="1" applyBorder="1" applyAlignment="1">
      <alignment horizontal="left"/>
    </xf>
    <xf numFmtId="3" fontId="4" fillId="0" borderId="45" xfId="0" applyNumberFormat="1" applyFont="1" applyBorder="1" applyAlignment="1">
      <alignment horizontal="left"/>
    </xf>
    <xf numFmtId="3" fontId="4" fillId="0" borderId="32" xfId="0" applyNumberFormat="1" applyFont="1" applyBorder="1" applyAlignment="1">
      <alignment horizontal="left"/>
    </xf>
    <xf numFmtId="0" fontId="0" fillId="0" borderId="54" xfId="0" applyBorder="1" applyAlignment="1">
      <alignment horizontal="center"/>
    </xf>
    <xf numFmtId="0" fontId="0" fillId="0" borderId="19" xfId="0" applyBorder="1" applyAlignment="1">
      <alignment horizontal="center"/>
    </xf>
    <xf numFmtId="0" fontId="4" fillId="0" borderId="16" xfId="0" applyFont="1" applyBorder="1" applyAlignment="1">
      <alignment/>
    </xf>
    <xf numFmtId="0" fontId="4" fillId="0" borderId="36" xfId="0" applyFont="1" applyBorder="1" applyAlignment="1">
      <alignment/>
    </xf>
    <xf numFmtId="3" fontId="4" fillId="0" borderId="16" xfId="0" applyNumberFormat="1" applyFont="1" applyBorder="1" applyAlignment="1">
      <alignment horizontal="left"/>
    </xf>
    <xf numFmtId="3" fontId="4" fillId="0" borderId="36" xfId="0" applyNumberFormat="1" applyFont="1" applyBorder="1" applyAlignment="1">
      <alignment horizontal="left"/>
    </xf>
    <xf numFmtId="3" fontId="4" fillId="0" borderId="23" xfId="0" applyNumberFormat="1" applyFont="1" applyBorder="1" applyAlignment="1">
      <alignment horizontal="left"/>
    </xf>
    <xf numFmtId="3" fontId="4" fillId="0" borderId="44" xfId="0" applyNumberFormat="1" applyFont="1" applyBorder="1" applyAlignment="1">
      <alignment horizontal="left"/>
    </xf>
    <xf numFmtId="3" fontId="4" fillId="0" borderId="54" xfId="0" applyNumberFormat="1" applyFont="1" applyBorder="1" applyAlignment="1">
      <alignment horizontal="left"/>
    </xf>
    <xf numFmtId="0" fontId="4" fillId="0" borderId="17" xfId="0" applyFont="1" applyBorder="1" applyAlignment="1">
      <alignment/>
    </xf>
    <xf numFmtId="178" fontId="4" fillId="0" borderId="16" xfId="0" applyNumberFormat="1" applyFont="1" applyBorder="1" applyAlignment="1">
      <alignment horizontal="center"/>
    </xf>
    <xf numFmtId="178" fontId="4" fillId="0" borderId="36" xfId="0" applyNumberFormat="1" applyFont="1" applyBorder="1" applyAlignment="1">
      <alignment horizontal="center"/>
    </xf>
    <xf numFmtId="0" fontId="0" fillId="0" borderId="34" xfId="0" applyBorder="1" applyAlignment="1">
      <alignment/>
    </xf>
    <xf numFmtId="1" fontId="0" fillId="0" borderId="26" xfId="0" applyNumberFormat="1" applyBorder="1" applyAlignment="1">
      <alignment/>
    </xf>
    <xf numFmtId="1" fontId="0" fillId="0" borderId="0" xfId="0" applyNumberFormat="1" applyBorder="1" applyAlignment="1">
      <alignment/>
    </xf>
    <xf numFmtId="3" fontId="4" fillId="0" borderId="33" xfId="0" applyNumberFormat="1" applyFont="1" applyBorder="1" applyAlignment="1">
      <alignment horizontal="left"/>
    </xf>
    <xf numFmtId="178" fontId="4" fillId="0" borderId="35" xfId="0" applyNumberFormat="1" applyFont="1" applyBorder="1" applyAlignment="1">
      <alignment horizontal="center"/>
    </xf>
    <xf numFmtId="178" fontId="4" fillId="0" borderId="33" xfId="0" applyNumberFormat="1" applyFont="1" applyBorder="1" applyAlignment="1">
      <alignment horizontal="center"/>
    </xf>
    <xf numFmtId="178" fontId="4" fillId="0" borderId="32" xfId="0" applyNumberFormat="1" applyFont="1" applyBorder="1" applyAlignment="1">
      <alignment horizontal="center"/>
    </xf>
    <xf numFmtId="0" fontId="4" fillId="0" borderId="35" xfId="0" applyFont="1" applyBorder="1" applyAlignment="1">
      <alignment/>
    </xf>
    <xf numFmtId="184" fontId="4" fillId="0" borderId="35" xfId="15" applyNumberFormat="1" applyFont="1" applyBorder="1" applyAlignment="1">
      <alignment/>
    </xf>
    <xf numFmtId="3" fontId="4" fillId="0" borderId="67" xfId="0" applyNumberFormat="1" applyFont="1" applyBorder="1" applyAlignment="1">
      <alignment horizontal="left"/>
    </xf>
    <xf numFmtId="9" fontId="4" fillId="0" borderId="0" xfId="0" applyNumberFormat="1" applyFont="1" applyFill="1" applyBorder="1" applyAlignment="1">
      <alignment/>
    </xf>
    <xf numFmtId="0" fontId="4" fillId="0" borderId="30" xfId="0" applyFont="1" applyBorder="1" applyAlignment="1">
      <alignment/>
    </xf>
    <xf numFmtId="184" fontId="4" fillId="0" borderId="33" xfId="15" applyNumberFormat="1" applyFont="1" applyBorder="1" applyAlignment="1">
      <alignment/>
    </xf>
    <xf numFmtId="0" fontId="4" fillId="0" borderId="33" xfId="0" applyFont="1" applyBorder="1" applyAlignment="1">
      <alignment/>
    </xf>
    <xf numFmtId="184" fontId="4" fillId="0" borderId="32" xfId="0" applyNumberFormat="1" applyFont="1" applyBorder="1" applyAlignment="1">
      <alignment/>
    </xf>
    <xf numFmtId="3" fontId="4" fillId="0" borderId="19" xfId="0" applyNumberFormat="1" applyFont="1" applyBorder="1" applyAlignment="1">
      <alignment/>
    </xf>
    <xf numFmtId="178" fontId="4" fillId="0" borderId="19" xfId="25" applyNumberFormat="1" applyFont="1" applyBorder="1" applyAlignment="1">
      <alignment horizontal="center" vertical="center"/>
    </xf>
    <xf numFmtId="3" fontId="4" fillId="0" borderId="0" xfId="0" applyNumberFormat="1" applyFont="1" applyAlignment="1">
      <alignment horizontal="left"/>
    </xf>
    <xf numFmtId="0" fontId="4" fillId="0" borderId="0" xfId="0" applyFont="1" applyBorder="1" applyAlignment="1">
      <alignment wrapText="1"/>
    </xf>
    <xf numFmtId="0" fontId="4" fillId="0" borderId="16" xfId="0" applyFont="1" applyBorder="1" applyAlignment="1">
      <alignment wrapText="1"/>
    </xf>
    <xf numFmtId="0" fontId="4" fillId="0" borderId="36" xfId="0" applyFont="1" applyBorder="1" applyAlignment="1">
      <alignment wrapText="1"/>
    </xf>
    <xf numFmtId="0" fontId="0" fillId="0" borderId="16" xfId="0" applyFont="1" applyBorder="1" applyAlignment="1">
      <alignment wrapText="1"/>
    </xf>
    <xf numFmtId="3" fontId="0" fillId="0" borderId="20" xfId="0" applyNumberFormat="1" applyFont="1" applyBorder="1" applyAlignment="1">
      <alignment horizontal="left"/>
    </xf>
    <xf numFmtId="3" fontId="0" fillId="0" borderId="35" xfId="0" applyNumberFormat="1" applyFont="1" applyBorder="1" applyAlignment="1">
      <alignment horizontal="left"/>
    </xf>
    <xf numFmtId="0" fontId="0" fillId="0" borderId="17" xfId="0" applyFont="1" applyBorder="1" applyAlignment="1">
      <alignment wrapText="1"/>
    </xf>
    <xf numFmtId="3" fontId="0" fillId="0" borderId="0" xfId="0" applyNumberFormat="1" applyFont="1" applyBorder="1" applyAlignment="1">
      <alignment horizontal="left"/>
    </xf>
    <xf numFmtId="3" fontId="0" fillId="0" borderId="8" xfId="0" applyNumberFormat="1" applyFont="1" applyBorder="1" applyAlignment="1">
      <alignment horizontal="left"/>
    </xf>
    <xf numFmtId="3" fontId="0" fillId="0" borderId="33" xfId="0" applyNumberFormat="1" applyFont="1" applyBorder="1" applyAlignment="1">
      <alignment horizontal="left"/>
    </xf>
    <xf numFmtId="0" fontId="4" fillId="0" borderId="0" xfId="0" applyFont="1" applyAlignment="1">
      <alignment horizontal="center"/>
    </xf>
    <xf numFmtId="184" fontId="4" fillId="0" borderId="0" xfId="15" applyNumberFormat="1" applyFont="1" applyAlignment="1">
      <alignment horizontal="center"/>
    </xf>
    <xf numFmtId="3" fontId="0" fillId="0" borderId="35" xfId="0" applyNumberFormat="1" applyBorder="1" applyAlignment="1">
      <alignment horizontal="left"/>
    </xf>
    <xf numFmtId="3" fontId="4" fillId="0" borderId="18" xfId="0" applyNumberFormat="1" applyFont="1" applyBorder="1" applyAlignment="1">
      <alignment horizontal="center"/>
    </xf>
    <xf numFmtId="3" fontId="4" fillId="0" borderId="21" xfId="0" applyNumberFormat="1" applyFont="1" applyBorder="1" applyAlignment="1">
      <alignment horizontal="center"/>
    </xf>
    <xf numFmtId="0" fontId="0" fillId="0" borderId="30" xfId="0" applyBorder="1" applyAlignment="1">
      <alignment/>
    </xf>
    <xf numFmtId="3" fontId="0" fillId="0" borderId="26" xfId="0" applyNumberFormat="1" applyBorder="1" applyAlignment="1">
      <alignment horizontal="left"/>
    </xf>
    <xf numFmtId="3" fontId="4" fillId="0" borderId="26" xfId="0" applyNumberFormat="1" applyFont="1" applyBorder="1" applyAlignment="1">
      <alignment horizontal="center"/>
    </xf>
    <xf numFmtId="3" fontId="4" fillId="0" borderId="27" xfId="0" applyNumberFormat="1" applyFont="1" applyBorder="1" applyAlignment="1">
      <alignment horizontal="center"/>
    </xf>
    <xf numFmtId="3" fontId="4" fillId="0" borderId="68" xfId="0" applyNumberFormat="1" applyFont="1" applyBorder="1" applyAlignment="1">
      <alignment horizontal="center"/>
    </xf>
    <xf numFmtId="0" fontId="0" fillId="0" borderId="0" xfId="0" applyFill="1" applyAlignment="1">
      <alignment/>
    </xf>
    <xf numFmtId="0" fontId="4" fillId="0" borderId="5" xfId="0" applyFont="1" applyBorder="1" applyAlignment="1">
      <alignment horizontal="left"/>
    </xf>
    <xf numFmtId="3" fontId="4" fillId="0" borderId="5" xfId="0" applyNumberFormat="1" applyFont="1" applyBorder="1" applyAlignment="1">
      <alignment/>
    </xf>
    <xf numFmtId="3" fontId="4" fillId="0" borderId="0" xfId="0" applyNumberFormat="1" applyFont="1" applyBorder="1" applyAlignment="1">
      <alignment/>
    </xf>
    <xf numFmtId="0" fontId="4" fillId="0" borderId="5" xfId="0" applyFont="1" applyFill="1" applyBorder="1" applyAlignment="1">
      <alignment horizontal="left"/>
    </xf>
    <xf numFmtId="3" fontId="4" fillId="0" borderId="5" xfId="0" applyNumberFormat="1" applyFont="1" applyFill="1" applyBorder="1" applyAlignment="1">
      <alignment/>
    </xf>
    <xf numFmtId="3" fontId="4" fillId="0" borderId="0" xfId="0" applyNumberFormat="1" applyFont="1" applyFill="1" applyBorder="1" applyAlignment="1">
      <alignment/>
    </xf>
    <xf numFmtId="3" fontId="4" fillId="0" borderId="6" xfId="0" applyNumberFormat="1" applyFont="1" applyFill="1" applyBorder="1" applyAlignment="1">
      <alignment/>
    </xf>
    <xf numFmtId="0" fontId="4" fillId="0" borderId="10" xfId="0" applyFont="1" applyFill="1" applyBorder="1" applyAlignment="1">
      <alignment horizontal="left"/>
    </xf>
    <xf numFmtId="0" fontId="0" fillId="0" borderId="12" xfId="0" applyFill="1" applyBorder="1" applyAlignment="1">
      <alignment/>
    </xf>
    <xf numFmtId="3" fontId="4" fillId="0" borderId="15" xfId="0" applyNumberFormat="1" applyFont="1" applyFill="1" applyBorder="1" applyAlignment="1">
      <alignment/>
    </xf>
    <xf numFmtId="3" fontId="4" fillId="0" borderId="10" xfId="0" applyNumberFormat="1" applyFont="1" applyFill="1" applyBorder="1" applyAlignment="1">
      <alignment/>
    </xf>
    <xf numFmtId="0" fontId="4" fillId="0" borderId="3" xfId="0" applyFont="1" applyFill="1" applyBorder="1" applyAlignment="1">
      <alignment horizontal="left"/>
    </xf>
    <xf numFmtId="0" fontId="0" fillId="0" borderId="4" xfId="0" applyFill="1" applyBorder="1" applyAlignment="1">
      <alignment/>
    </xf>
    <xf numFmtId="3" fontId="4" fillId="0" borderId="12" xfId="0" applyNumberFormat="1" applyFont="1" applyFill="1" applyBorder="1" applyAlignment="1">
      <alignment/>
    </xf>
    <xf numFmtId="3" fontId="4" fillId="0" borderId="9" xfId="0" applyNumberFormat="1" applyFont="1" applyFill="1" applyBorder="1" applyAlignment="1">
      <alignment/>
    </xf>
    <xf numFmtId="0" fontId="1" fillId="0" borderId="0" xfId="0" applyFont="1" applyAlignment="1">
      <alignment/>
    </xf>
    <xf numFmtId="0" fontId="1" fillId="0" borderId="0" xfId="0" applyFont="1" applyFill="1" applyAlignment="1">
      <alignment/>
    </xf>
    <xf numFmtId="2" fontId="1" fillId="0" borderId="0" xfId="0" applyNumberFormat="1" applyFont="1" applyFill="1" applyAlignment="1">
      <alignment/>
    </xf>
    <xf numFmtId="0" fontId="12" fillId="0" borderId="0" xfId="0" applyFont="1" applyAlignment="1">
      <alignment/>
    </xf>
    <xf numFmtId="0" fontId="12" fillId="0" borderId="0" xfId="0" applyFont="1" applyAlignment="1">
      <alignment horizontal="left"/>
    </xf>
    <xf numFmtId="178" fontId="1" fillId="0" borderId="0" xfId="25" applyNumberFormat="1" applyFont="1" applyAlignment="1">
      <alignment/>
    </xf>
    <xf numFmtId="9" fontId="1" fillId="0" borderId="0" xfId="0" applyNumberFormat="1" applyFont="1" applyAlignment="1">
      <alignment/>
    </xf>
    <xf numFmtId="0" fontId="1" fillId="0" borderId="0" xfId="0" applyFont="1" applyAlignment="1">
      <alignment horizontal="center"/>
    </xf>
    <xf numFmtId="0" fontId="13" fillId="0" borderId="0" xfId="0" applyFont="1" applyAlignment="1">
      <alignment horizontal="center"/>
    </xf>
    <xf numFmtId="0" fontId="13" fillId="0" borderId="0" xfId="0" applyFont="1" applyAlignment="1">
      <alignment/>
    </xf>
    <xf numFmtId="1" fontId="1" fillId="0" borderId="0" xfId="0" applyNumberFormat="1" applyFont="1" applyAlignment="1">
      <alignment/>
    </xf>
    <xf numFmtId="1" fontId="13" fillId="0" borderId="0" xfId="0" applyNumberFormat="1" applyFont="1" applyAlignment="1">
      <alignment/>
    </xf>
    <xf numFmtId="3" fontId="1" fillId="0" borderId="0" xfId="0" applyNumberFormat="1" applyFont="1" applyAlignment="1">
      <alignment/>
    </xf>
    <xf numFmtId="1" fontId="1" fillId="3" borderId="0" xfId="0" applyNumberFormat="1" applyFont="1" applyFill="1" applyAlignment="1">
      <alignment/>
    </xf>
    <xf numFmtId="1" fontId="1" fillId="0" borderId="0" xfId="0" applyNumberFormat="1" applyFont="1" applyFill="1" applyAlignment="1">
      <alignment/>
    </xf>
    <xf numFmtId="8" fontId="1" fillId="0" borderId="0" xfId="0" applyNumberFormat="1" applyFont="1" applyAlignment="1">
      <alignment/>
    </xf>
    <xf numFmtId="178" fontId="1" fillId="0" borderId="0" xfId="0" applyNumberFormat="1" applyFont="1" applyAlignment="1">
      <alignment/>
    </xf>
    <xf numFmtId="3" fontId="13" fillId="0" borderId="0" xfId="0" applyNumberFormat="1" applyFont="1" applyAlignment="1">
      <alignment/>
    </xf>
    <xf numFmtId="0" fontId="13" fillId="0" borderId="18" xfId="0" applyFont="1" applyBorder="1" applyAlignment="1">
      <alignment/>
    </xf>
    <xf numFmtId="0" fontId="1" fillId="0" borderId="26" xfId="0" applyFont="1" applyBorder="1" applyAlignment="1">
      <alignment/>
    </xf>
    <xf numFmtId="3" fontId="0" fillId="0" borderId="26" xfId="0" applyNumberFormat="1" applyBorder="1" applyAlignment="1">
      <alignment/>
    </xf>
    <xf numFmtId="3" fontId="0" fillId="0" borderId="35" xfId="0" applyNumberFormat="1" applyBorder="1" applyAlignment="1">
      <alignment/>
    </xf>
    <xf numFmtId="3" fontId="0" fillId="0" borderId="33" xfId="0" applyNumberFormat="1" applyBorder="1" applyAlignment="1">
      <alignment/>
    </xf>
    <xf numFmtId="178" fontId="0" fillId="0" borderId="27" xfId="25" applyNumberFormat="1" applyBorder="1" applyAlignment="1">
      <alignment/>
    </xf>
    <xf numFmtId="178" fontId="0" fillId="0" borderId="32" xfId="25" applyNumberFormat="1" applyBorder="1" applyAlignment="1">
      <alignment/>
    </xf>
    <xf numFmtId="178" fontId="0" fillId="0" borderId="0" xfId="25" applyNumberFormat="1" applyAlignment="1">
      <alignment/>
    </xf>
    <xf numFmtId="178" fontId="0" fillId="0" borderId="28" xfId="0" applyNumberFormat="1" applyBorder="1" applyAlignment="1">
      <alignment/>
    </xf>
    <xf numFmtId="178" fontId="0" fillId="0" borderId="44" xfId="0" applyNumberFormat="1" applyBorder="1" applyAlignment="1">
      <alignment/>
    </xf>
    <xf numFmtId="178" fontId="0" fillId="0" borderId="54" xfId="0" applyNumberFormat="1" applyBorder="1" applyAlignment="1">
      <alignment/>
    </xf>
    <xf numFmtId="0" fontId="0" fillId="0" borderId="38" xfId="0" applyBorder="1" applyAlignment="1">
      <alignment/>
    </xf>
    <xf numFmtId="0" fontId="0" fillId="0" borderId="42" xfId="0" applyFont="1" applyBorder="1" applyAlignment="1">
      <alignment horizontal="center"/>
    </xf>
    <xf numFmtId="0" fontId="0" fillId="0" borderId="25" xfId="0" applyFont="1" applyBorder="1" applyAlignment="1">
      <alignment horizontal="center"/>
    </xf>
    <xf numFmtId="0" fontId="0" fillId="0" borderId="69" xfId="0" applyFont="1" applyBorder="1" applyAlignment="1">
      <alignment/>
    </xf>
    <xf numFmtId="3" fontId="0" fillId="0" borderId="9" xfId="0" applyNumberFormat="1" applyFont="1" applyBorder="1" applyAlignment="1">
      <alignment horizontal="center"/>
    </xf>
    <xf numFmtId="0" fontId="0" fillId="0" borderId="59" xfId="0" applyFont="1" applyBorder="1" applyAlignment="1">
      <alignment horizontal="center"/>
    </xf>
    <xf numFmtId="0" fontId="0" fillId="0" borderId="70" xfId="0" applyFont="1" applyBorder="1" applyAlignment="1">
      <alignment/>
    </xf>
    <xf numFmtId="3" fontId="0" fillId="0" borderId="71" xfId="0" applyNumberFormat="1" applyFont="1" applyBorder="1" applyAlignment="1">
      <alignment horizontal="center"/>
    </xf>
    <xf numFmtId="0" fontId="0" fillId="0" borderId="57" xfId="0" applyFont="1" applyBorder="1" applyAlignment="1">
      <alignment horizontal="center"/>
    </xf>
    <xf numFmtId="0" fontId="0" fillId="0" borderId="0" xfId="0" applyFont="1" applyAlignment="1">
      <alignment/>
    </xf>
    <xf numFmtId="0" fontId="0" fillId="0" borderId="38" xfId="0" applyFont="1" applyBorder="1" applyAlignment="1">
      <alignment horizontal="center" vertical="center"/>
    </xf>
    <xf numFmtId="0" fontId="0" fillId="0" borderId="63"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0"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17" xfId="0" applyFont="1" applyBorder="1" applyAlignment="1">
      <alignment/>
    </xf>
    <xf numFmtId="3" fontId="0" fillId="0" borderId="0" xfId="0" applyNumberFormat="1" applyFont="1" applyBorder="1" applyAlignment="1">
      <alignment horizontal="center"/>
    </xf>
    <xf numFmtId="3" fontId="0" fillId="0" borderId="8" xfId="0" applyNumberFormat="1" applyFont="1" applyBorder="1" applyAlignment="1">
      <alignment horizontal="center"/>
    </xf>
    <xf numFmtId="1" fontId="0" fillId="0" borderId="33" xfId="0" applyNumberFormat="1" applyFont="1" applyBorder="1" applyAlignment="1">
      <alignment horizontal="center"/>
    </xf>
    <xf numFmtId="0" fontId="0" fillId="0" borderId="36" xfId="0" applyFont="1" applyBorder="1" applyAlignment="1">
      <alignment/>
    </xf>
    <xf numFmtId="3" fontId="0" fillId="0" borderId="27" xfId="0" applyNumberFormat="1" applyFont="1" applyBorder="1" applyAlignment="1">
      <alignment horizontal="center"/>
    </xf>
    <xf numFmtId="3" fontId="0" fillId="0" borderId="45" xfId="0" applyNumberFormat="1" applyFont="1" applyBorder="1" applyAlignment="1">
      <alignment horizontal="center"/>
    </xf>
    <xf numFmtId="1" fontId="0" fillId="0" borderId="32" xfId="0" applyNumberFormat="1" applyFont="1" applyBorder="1" applyAlignment="1">
      <alignment horizontal="center"/>
    </xf>
    <xf numFmtId="3" fontId="0" fillId="0" borderId="0" xfId="0" applyNumberFormat="1" applyFont="1" applyAlignment="1">
      <alignment/>
    </xf>
    <xf numFmtId="178" fontId="1" fillId="0" borderId="0" xfId="15" applyNumberFormat="1" applyFont="1" applyAlignment="1">
      <alignment/>
    </xf>
    <xf numFmtId="1" fontId="0" fillId="0" borderId="0" xfId="0" applyNumberFormat="1" applyFont="1" applyAlignment="1">
      <alignment/>
    </xf>
    <xf numFmtId="0" fontId="14" fillId="0" borderId="0" xfId="0" applyFont="1" applyAlignment="1">
      <alignment/>
    </xf>
    <xf numFmtId="0" fontId="15" fillId="0" borderId="0" xfId="0" applyFont="1" applyAlignment="1">
      <alignment vertical="center" wrapText="1"/>
    </xf>
    <xf numFmtId="185" fontId="0" fillId="0" borderId="0" xfId="0" applyNumberFormat="1" applyAlignment="1">
      <alignment/>
    </xf>
    <xf numFmtId="4" fontId="0" fillId="0" borderId="33" xfId="0" applyNumberFormat="1" applyFill="1" applyBorder="1" applyAlignment="1">
      <alignment horizontal="center"/>
    </xf>
    <xf numFmtId="184" fontId="0" fillId="0" borderId="0" xfId="0" applyNumberFormat="1" applyAlignment="1">
      <alignment/>
    </xf>
    <xf numFmtId="43" fontId="0" fillId="0" borderId="0" xfId="0" applyNumberFormat="1" applyAlignment="1">
      <alignment/>
    </xf>
    <xf numFmtId="3" fontId="1" fillId="3" borderId="0" xfId="0" applyNumberFormat="1" applyFont="1" applyFill="1" applyAlignment="1">
      <alignment/>
    </xf>
    <xf numFmtId="0" fontId="13" fillId="0" borderId="30" xfId="0" applyFont="1" applyBorder="1" applyAlignment="1">
      <alignment/>
    </xf>
    <xf numFmtId="0" fontId="1" fillId="0" borderId="0" xfId="0" applyFont="1" applyBorder="1" applyAlignment="1">
      <alignment/>
    </xf>
    <xf numFmtId="3" fontId="4" fillId="0" borderId="0" xfId="0" applyNumberFormat="1" applyFont="1" applyBorder="1" applyAlignment="1">
      <alignment horizontal="right"/>
    </xf>
    <xf numFmtId="195" fontId="0" fillId="0" borderId="6" xfId="0" applyNumberFormat="1" applyBorder="1" applyAlignment="1">
      <alignment/>
    </xf>
    <xf numFmtId="3" fontId="4" fillId="0" borderId="31" xfId="0" applyNumberFormat="1" applyFont="1" applyBorder="1" applyAlignment="1">
      <alignment horizontal="center"/>
    </xf>
    <xf numFmtId="1" fontId="0" fillId="0" borderId="35" xfId="0" applyNumberFormat="1" applyBorder="1" applyAlignment="1">
      <alignment/>
    </xf>
    <xf numFmtId="1" fontId="0" fillId="0" borderId="33" xfId="0" applyNumberFormat="1" applyBorder="1" applyAlignment="1">
      <alignment/>
    </xf>
    <xf numFmtId="1" fontId="0" fillId="0" borderId="32" xfId="0" applyNumberFormat="1" applyBorder="1" applyAlignment="1">
      <alignment/>
    </xf>
    <xf numFmtId="1" fontId="15" fillId="2" borderId="0" xfId="0" applyNumberFormat="1" applyFont="1" applyFill="1" applyBorder="1" applyAlignment="1">
      <alignment/>
    </xf>
    <xf numFmtId="3" fontId="15" fillId="2" borderId="0" xfId="0" applyNumberFormat="1" applyFont="1" applyFill="1" applyAlignment="1">
      <alignment horizontal="left"/>
    </xf>
    <xf numFmtId="0" fontId="0" fillId="0" borderId="8" xfId="0" applyBorder="1" applyAlignment="1">
      <alignment/>
    </xf>
    <xf numFmtId="0" fontId="13" fillId="0" borderId="31" xfId="0" applyFont="1" applyBorder="1" applyAlignment="1">
      <alignment/>
    </xf>
    <xf numFmtId="0" fontId="1" fillId="0" borderId="27" xfId="0" applyFont="1" applyBorder="1" applyAlignment="1">
      <alignment/>
    </xf>
    <xf numFmtId="0" fontId="1" fillId="0" borderId="32" xfId="0" applyFont="1" applyBorder="1" applyAlignment="1">
      <alignment/>
    </xf>
    <xf numFmtId="4" fontId="0" fillId="0" borderId="0" xfId="0" applyNumberFormat="1" applyAlignment="1">
      <alignment/>
    </xf>
    <xf numFmtId="1" fontId="4" fillId="0" borderId="0" xfId="0" applyNumberFormat="1" applyFont="1" applyFill="1" applyBorder="1" applyAlignment="1">
      <alignment horizontal="center"/>
    </xf>
    <xf numFmtId="3" fontId="4" fillId="4" borderId="35" xfId="0" applyNumberFormat="1" applyFont="1" applyFill="1" applyBorder="1" applyAlignment="1">
      <alignment horizontal="center"/>
    </xf>
    <xf numFmtId="9" fontId="4" fillId="4" borderId="33" xfId="25" applyFont="1" applyFill="1" applyBorder="1" applyAlignment="1">
      <alignment horizontal="center"/>
    </xf>
    <xf numFmtId="3" fontId="4" fillId="4" borderId="32" xfId="0" applyNumberFormat="1" applyFont="1" applyFill="1" applyBorder="1" applyAlignment="1">
      <alignment horizontal="center"/>
    </xf>
    <xf numFmtId="3" fontId="4" fillId="4" borderId="19" xfId="0" applyNumberFormat="1" applyFont="1" applyFill="1" applyBorder="1" applyAlignment="1">
      <alignment horizontal="center"/>
    </xf>
    <xf numFmtId="9" fontId="4" fillId="4" borderId="16" xfId="25" applyFont="1" applyFill="1" applyBorder="1" applyAlignment="1">
      <alignment horizontal="center"/>
    </xf>
    <xf numFmtId="178" fontId="4" fillId="0" borderId="34" xfId="25" applyNumberFormat="1" applyFont="1" applyBorder="1" applyAlignment="1">
      <alignment vertical="center" wrapText="1"/>
    </xf>
    <xf numFmtId="0" fontId="4" fillId="0" borderId="29" xfId="0" applyFont="1" applyBorder="1" applyAlignment="1">
      <alignment vertical="center" wrapText="1"/>
    </xf>
    <xf numFmtId="0" fontId="0" fillId="5" borderId="52" xfId="0" applyFill="1" applyBorder="1" applyAlignment="1">
      <alignment horizontal="center"/>
    </xf>
    <xf numFmtId="2" fontId="0" fillId="0" borderId="0" xfId="0" applyNumberFormat="1" applyBorder="1" applyAlignment="1">
      <alignment horizontal="center"/>
    </xf>
    <xf numFmtId="4" fontId="4" fillId="0" borderId="0" xfId="0" applyNumberFormat="1" applyFont="1" applyBorder="1" applyAlignment="1">
      <alignment horizontal="center"/>
    </xf>
    <xf numFmtId="2" fontId="0" fillId="0" borderId="0" xfId="0" applyNumberFormat="1" applyFill="1" applyBorder="1" applyAlignment="1">
      <alignment horizontal="center"/>
    </xf>
    <xf numFmtId="3" fontId="4" fillId="0" borderId="34" xfId="0" applyNumberFormat="1" applyFont="1" applyBorder="1" applyAlignment="1">
      <alignment horizontal="left"/>
    </xf>
    <xf numFmtId="1" fontId="0" fillId="0" borderId="0" xfId="0" applyNumberFormat="1" applyBorder="1" applyAlignment="1">
      <alignment horizontal="center"/>
    </xf>
    <xf numFmtId="1" fontId="0" fillId="0" borderId="0" xfId="25" applyNumberFormat="1" applyBorder="1" applyAlignment="1">
      <alignment horizontal="center"/>
    </xf>
    <xf numFmtId="181" fontId="0" fillId="0" borderId="0" xfId="25" applyNumberFormat="1" applyBorder="1" applyAlignment="1">
      <alignment horizontal="center"/>
    </xf>
    <xf numFmtId="0" fontId="4" fillId="0" borderId="34" xfId="0" applyFont="1" applyFill="1" applyBorder="1" applyAlignment="1">
      <alignment/>
    </xf>
    <xf numFmtId="1" fontId="4" fillId="0" borderId="23" xfId="0" applyNumberFormat="1" applyFont="1" applyBorder="1" applyAlignment="1">
      <alignment horizontal="center"/>
    </xf>
    <xf numFmtId="1" fontId="4" fillId="0" borderId="23" xfId="25" applyNumberFormat="1" applyFont="1" applyBorder="1" applyAlignment="1">
      <alignment horizontal="center"/>
    </xf>
    <xf numFmtId="9" fontId="4" fillId="0" borderId="29" xfId="25" applyFont="1" applyBorder="1" applyAlignment="1">
      <alignment horizontal="center"/>
    </xf>
    <xf numFmtId="0" fontId="4" fillId="0" borderId="19" xfId="0" applyFont="1" applyFill="1" applyBorder="1" applyAlignment="1">
      <alignment/>
    </xf>
    <xf numFmtId="1" fontId="4" fillId="0" borderId="44" xfId="25" applyNumberFormat="1" applyFont="1" applyBorder="1" applyAlignment="1">
      <alignment horizontal="center"/>
    </xf>
    <xf numFmtId="181" fontId="4" fillId="0" borderId="44" xfId="25" applyNumberFormat="1" applyFont="1" applyBorder="1" applyAlignment="1">
      <alignment horizontal="center"/>
    </xf>
    <xf numFmtId="1" fontId="4" fillId="0" borderId="29" xfId="25" applyNumberFormat="1" applyFont="1" applyBorder="1" applyAlignment="1">
      <alignment horizontal="center"/>
    </xf>
    <xf numFmtId="9" fontId="4" fillId="0" borderId="19" xfId="25" applyFont="1" applyBorder="1" applyAlignment="1">
      <alignment horizontal="center"/>
    </xf>
    <xf numFmtId="3" fontId="0" fillId="2" borderId="33" xfId="0" applyNumberFormat="1" applyFill="1" applyBorder="1" applyAlignment="1">
      <alignment horizontal="center"/>
    </xf>
    <xf numFmtId="3" fontId="4" fillId="0" borderId="23" xfId="0" applyNumberFormat="1" applyFont="1" applyFill="1" applyBorder="1" applyAlignment="1">
      <alignment horizontal="center"/>
    </xf>
    <xf numFmtId="178" fontId="4" fillId="0" borderId="19" xfId="25" applyNumberFormat="1" applyFont="1" applyBorder="1" applyAlignment="1">
      <alignment horizontal="center"/>
    </xf>
    <xf numFmtId="1" fontId="4" fillId="0" borderId="19" xfId="0" applyNumberFormat="1" applyFont="1" applyFill="1" applyBorder="1" applyAlignment="1">
      <alignment horizontal="center"/>
    </xf>
    <xf numFmtId="3" fontId="4" fillId="0" borderId="16" xfId="0" applyNumberFormat="1" applyFont="1" applyFill="1" applyBorder="1" applyAlignment="1">
      <alignment horizontal="center"/>
    </xf>
    <xf numFmtId="3" fontId="4" fillId="0" borderId="36" xfId="0" applyNumberFormat="1" applyFont="1" applyFill="1" applyBorder="1" applyAlignment="1">
      <alignment horizontal="center"/>
    </xf>
    <xf numFmtId="3" fontId="4" fillId="0" borderId="17" xfId="0" applyNumberFormat="1" applyFont="1" applyBorder="1" applyAlignment="1">
      <alignment horizontal="center"/>
    </xf>
    <xf numFmtId="3" fontId="4" fillId="0" borderId="36" xfId="0" applyNumberFormat="1" applyFont="1" applyBorder="1" applyAlignment="1">
      <alignment horizontal="center"/>
    </xf>
    <xf numFmtId="3" fontId="4" fillId="0" borderId="29" xfId="0" applyNumberFormat="1" applyFont="1" applyBorder="1" applyAlignment="1">
      <alignment horizontal="left"/>
    </xf>
    <xf numFmtId="3" fontId="4" fillId="0" borderId="21" xfId="0" applyNumberFormat="1" applyFont="1" applyBorder="1" applyAlignment="1">
      <alignment horizontal="left"/>
    </xf>
    <xf numFmtId="3" fontId="4" fillId="0" borderId="68" xfId="0" applyNumberFormat="1" applyFont="1" applyBorder="1" applyAlignment="1">
      <alignment horizontal="left"/>
    </xf>
    <xf numFmtId="0" fontId="4" fillId="0" borderId="29" xfId="0" applyFont="1" applyBorder="1" applyAlignment="1">
      <alignment/>
    </xf>
    <xf numFmtId="6" fontId="0" fillId="0" borderId="52" xfId="0" applyNumberFormat="1" applyBorder="1" applyAlignment="1">
      <alignment/>
    </xf>
    <xf numFmtId="6" fontId="0" fillId="0" borderId="72" xfId="0" applyNumberFormat="1" applyBorder="1" applyAlignment="1">
      <alignment/>
    </xf>
    <xf numFmtId="10" fontId="0" fillId="0" borderId="33" xfId="25" applyNumberFormat="1" applyBorder="1" applyAlignment="1">
      <alignment/>
    </xf>
    <xf numFmtId="10" fontId="0" fillId="0" borderId="32" xfId="25" applyNumberFormat="1" applyBorder="1" applyAlignment="1">
      <alignment/>
    </xf>
    <xf numFmtId="2" fontId="0" fillId="0" borderId="29" xfId="0" applyNumberFormat="1" applyBorder="1" applyAlignment="1">
      <alignment/>
    </xf>
    <xf numFmtId="1" fontId="4" fillId="0" borderId="19" xfId="0" applyNumberFormat="1" applyFont="1" applyBorder="1" applyAlignment="1">
      <alignment horizontal="center"/>
    </xf>
    <xf numFmtId="9" fontId="4" fillId="0" borderId="0" xfId="25" applyFont="1" applyFill="1" applyBorder="1" applyAlignment="1">
      <alignment/>
    </xf>
    <xf numFmtId="3" fontId="4" fillId="0" borderId="34" xfId="0" applyNumberFormat="1" applyFont="1" applyFill="1" applyBorder="1" applyAlignment="1">
      <alignment/>
    </xf>
    <xf numFmtId="3" fontId="0" fillId="0" borderId="23" xfId="0" applyNumberFormat="1" applyFill="1" applyBorder="1" applyAlignment="1">
      <alignment/>
    </xf>
    <xf numFmtId="3" fontId="16" fillId="0" borderId="0" xfId="0" applyNumberFormat="1" applyFont="1" applyFill="1" applyBorder="1" applyAlignment="1">
      <alignment horizontal="left"/>
    </xf>
    <xf numFmtId="0" fontId="0" fillId="0" borderId="0" xfId="0" applyAlignment="1">
      <alignment horizontal="right"/>
    </xf>
    <xf numFmtId="0" fontId="0" fillId="0" borderId="12" xfId="0" applyBorder="1" applyAlignment="1">
      <alignment horizontal="center"/>
    </xf>
    <xf numFmtId="0" fontId="0" fillId="0" borderId="11" xfId="0" applyBorder="1" applyAlignment="1">
      <alignment horizontal="right"/>
    </xf>
    <xf numFmtId="0" fontId="0" fillId="0" borderId="14" xfId="0" applyBorder="1" applyAlignment="1">
      <alignment/>
    </xf>
    <xf numFmtId="0" fontId="0" fillId="0" borderId="1" xfId="0" applyBorder="1" applyAlignment="1">
      <alignment horizontal="center"/>
    </xf>
    <xf numFmtId="0" fontId="0" fillId="0" borderId="13" xfId="0" applyBorder="1" applyAlignment="1">
      <alignment horizontal="center"/>
    </xf>
    <xf numFmtId="0" fontId="0" fillId="6" borderId="0" xfId="0" applyFill="1" applyBorder="1" applyAlignment="1">
      <alignment horizontal="center"/>
    </xf>
    <xf numFmtId="0" fontId="0" fillId="6" borderId="2" xfId="0" applyFill="1" applyBorder="1" applyAlignment="1">
      <alignment horizontal="center"/>
    </xf>
    <xf numFmtId="3" fontId="0" fillId="6" borderId="8" xfId="0" applyNumberFormat="1" applyFill="1" applyBorder="1" applyAlignment="1">
      <alignment/>
    </xf>
    <xf numFmtId="0" fontId="0" fillId="0" borderId="5" xfId="0" applyBorder="1" applyAlignment="1">
      <alignment horizontal="center"/>
    </xf>
    <xf numFmtId="0" fontId="0" fillId="6" borderId="6" xfId="0" applyFill="1" applyBorder="1" applyAlignment="1">
      <alignment horizontal="center"/>
    </xf>
    <xf numFmtId="0" fontId="0" fillId="6" borderId="5" xfId="0" applyFill="1" applyBorder="1" applyAlignment="1">
      <alignment horizontal="center"/>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1" fontId="0" fillId="0" borderId="15" xfId="0" applyNumberFormat="1" applyBorder="1" applyAlignment="1">
      <alignment/>
    </xf>
    <xf numFmtId="0" fontId="0" fillId="0" borderId="13" xfId="0" applyBorder="1" applyAlignment="1">
      <alignment/>
    </xf>
    <xf numFmtId="0" fontId="1" fillId="0" borderId="5" xfId="0" applyFont="1" applyBorder="1" applyAlignment="1">
      <alignment/>
    </xf>
    <xf numFmtId="0" fontId="1" fillId="0" borderId="6" xfId="0" applyFont="1" applyBorder="1" applyAlignment="1">
      <alignment/>
    </xf>
    <xf numFmtId="0" fontId="1" fillId="0" borderId="5" xfId="0" applyFont="1" applyFill="1" applyBorder="1" applyAlignment="1">
      <alignment/>
    </xf>
    <xf numFmtId="0" fontId="1" fillId="0" borderId="3" xfId="0" applyFont="1" applyBorder="1" applyAlignment="1">
      <alignment/>
    </xf>
    <xf numFmtId="0" fontId="1" fillId="0" borderId="11" xfId="0" applyFont="1" applyBorder="1" applyAlignment="1">
      <alignment/>
    </xf>
    <xf numFmtId="0" fontId="17" fillId="0" borderId="0" xfId="0" applyFont="1" applyAlignment="1">
      <alignment/>
    </xf>
    <xf numFmtId="8" fontId="0" fillId="0" borderId="0" xfId="0" applyNumberFormat="1" applyAlignment="1">
      <alignment/>
    </xf>
    <xf numFmtId="38" fontId="0" fillId="0" borderId="0" xfId="0" applyNumberFormat="1" applyAlignment="1">
      <alignment/>
    </xf>
    <xf numFmtId="3" fontId="0" fillId="0" borderId="7" xfId="0" applyNumberFormat="1" applyBorder="1" applyAlignment="1">
      <alignment horizontal="center"/>
    </xf>
    <xf numFmtId="0" fontId="0" fillId="0" borderId="15" xfId="0" applyFill="1" applyBorder="1" applyAlignment="1">
      <alignment/>
    </xf>
    <xf numFmtId="3" fontId="0" fillId="0" borderId="12" xfId="0" applyNumberFormat="1" applyBorder="1" applyAlignment="1">
      <alignment horizontal="center"/>
    </xf>
    <xf numFmtId="3" fontId="0" fillId="0" borderId="15" xfId="0" applyNumberFormat="1" applyBorder="1" applyAlignment="1">
      <alignment horizontal="center"/>
    </xf>
    <xf numFmtId="0" fontId="0" fillId="0" borderId="14" xfId="0" applyFill="1" applyBorder="1" applyAlignment="1">
      <alignment/>
    </xf>
    <xf numFmtId="0" fontId="0" fillId="0" borderId="7" xfId="0" applyFill="1" applyBorder="1" applyAlignment="1">
      <alignment/>
    </xf>
    <xf numFmtId="0" fontId="0" fillId="0" borderId="11" xfId="0" applyBorder="1" applyAlignment="1">
      <alignment/>
    </xf>
    <xf numFmtId="1" fontId="0" fillId="0" borderId="1" xfId="0" applyNumberFormat="1" applyBorder="1" applyAlignment="1">
      <alignment horizontal="center"/>
    </xf>
    <xf numFmtId="1" fontId="0" fillId="0" borderId="13" xfId="0" applyNumberFormat="1" applyBorder="1" applyAlignment="1">
      <alignment horizontal="center"/>
    </xf>
    <xf numFmtId="1" fontId="0" fillId="0" borderId="2" xfId="0" applyNumberFormat="1" applyBorder="1" applyAlignment="1">
      <alignment horizontal="center"/>
    </xf>
    <xf numFmtId="1" fontId="0" fillId="0" borderId="5" xfId="0" applyNumberFormat="1" applyBorder="1" applyAlignment="1">
      <alignment horizontal="center"/>
    </xf>
    <xf numFmtId="1" fontId="0" fillId="0" borderId="6" xfId="0" applyNumberFormat="1" applyBorder="1" applyAlignment="1">
      <alignment horizontal="center"/>
    </xf>
    <xf numFmtId="1" fontId="0" fillId="0" borderId="0" xfId="0" applyNumberFormat="1" applyFill="1" applyBorder="1" applyAlignment="1">
      <alignment horizontal="center"/>
    </xf>
    <xf numFmtId="1" fontId="0" fillId="0" borderId="3" xfId="0" applyNumberFormat="1"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0" fontId="0" fillId="0" borderId="16" xfId="0" applyBorder="1" applyAlignment="1">
      <alignment horizontal="center"/>
    </xf>
    <xf numFmtId="0" fontId="0" fillId="0" borderId="16" xfId="0" applyFill="1" applyBorder="1" applyAlignment="1">
      <alignment horizontal="left"/>
    </xf>
    <xf numFmtId="3" fontId="0" fillId="0" borderId="19" xfId="0" applyNumberFormat="1" applyBorder="1" applyAlignment="1">
      <alignment/>
    </xf>
    <xf numFmtId="0" fontId="0" fillId="0" borderId="36" xfId="0" applyBorder="1" applyAlignment="1">
      <alignment horizontal="center"/>
    </xf>
    <xf numFmtId="16" fontId="0" fillId="0" borderId="0" xfId="0" applyNumberFormat="1" applyAlignment="1" quotePrefix="1">
      <alignment/>
    </xf>
    <xf numFmtId="1" fontId="0" fillId="0" borderId="26" xfId="0" applyNumberFormat="1" applyBorder="1" applyAlignment="1">
      <alignment horizontal="center"/>
    </xf>
    <xf numFmtId="1" fontId="0" fillId="0" borderId="35" xfId="0" applyNumberFormat="1" applyBorder="1" applyAlignment="1">
      <alignment horizontal="center"/>
    </xf>
    <xf numFmtId="3" fontId="0" fillId="0" borderId="23" xfId="0" applyNumberFormat="1" applyBorder="1" applyAlignment="1">
      <alignment horizontal="center"/>
    </xf>
    <xf numFmtId="3" fontId="0" fillId="0" borderId="29" xfId="0" applyNumberFormat="1" applyBorder="1" applyAlignment="1">
      <alignment horizontal="center"/>
    </xf>
    <xf numFmtId="0" fontId="0" fillId="6" borderId="34" xfId="0" applyFill="1" applyBorder="1" applyAlignment="1">
      <alignment horizontal="center"/>
    </xf>
    <xf numFmtId="0" fontId="0" fillId="6" borderId="17" xfId="0" applyFill="1" applyBorder="1" applyAlignment="1">
      <alignment/>
    </xf>
    <xf numFmtId="0" fontId="0" fillId="6" borderId="46" xfId="0" applyFill="1" applyBorder="1" applyAlignment="1">
      <alignment horizontal="center"/>
    </xf>
    <xf numFmtId="0" fontId="0" fillId="6" borderId="39" xfId="0" applyFill="1" applyBorder="1" applyAlignment="1">
      <alignment/>
    </xf>
    <xf numFmtId="0" fontId="0" fillId="6" borderId="9" xfId="0" applyFill="1" applyBorder="1" applyAlignment="1">
      <alignment horizontal="center"/>
    </xf>
    <xf numFmtId="0" fontId="0" fillId="6" borderId="17" xfId="0" applyFill="1" applyBorder="1" applyAlignment="1">
      <alignment horizontal="left"/>
    </xf>
    <xf numFmtId="0" fontId="4" fillId="6" borderId="19" xfId="0" applyFont="1" applyFill="1" applyBorder="1" applyAlignment="1">
      <alignment/>
    </xf>
    <xf numFmtId="0" fontId="0" fillId="6" borderId="0" xfId="0" applyFill="1" applyAlignment="1">
      <alignment/>
    </xf>
    <xf numFmtId="0" fontId="0" fillId="6" borderId="61" xfId="0" applyFill="1" applyBorder="1" applyAlignment="1">
      <alignment horizontal="center"/>
    </xf>
    <xf numFmtId="0" fontId="0" fillId="6" borderId="42" xfId="0" applyFill="1" applyBorder="1" applyAlignment="1">
      <alignment horizontal="center"/>
    </xf>
    <xf numFmtId="0" fontId="0" fillId="6" borderId="33" xfId="0" applyFill="1" applyBorder="1" applyAlignment="1">
      <alignment horizontal="center"/>
    </xf>
    <xf numFmtId="0" fontId="0" fillId="6" borderId="15" xfId="0" applyFill="1" applyBorder="1" applyAlignment="1">
      <alignment horizontal="center"/>
    </xf>
    <xf numFmtId="0" fontId="0" fillId="6" borderId="41" xfId="0" applyFill="1" applyBorder="1" applyAlignment="1">
      <alignment horizontal="center"/>
    </xf>
    <xf numFmtId="16" fontId="0" fillId="6" borderId="17" xfId="0" applyNumberFormat="1" applyFill="1" applyBorder="1" applyAlignment="1">
      <alignment horizontal="left"/>
    </xf>
    <xf numFmtId="0" fontId="0" fillId="6" borderId="8" xfId="0" applyFill="1" applyBorder="1" applyAlignment="1">
      <alignment horizontal="center"/>
    </xf>
    <xf numFmtId="1" fontId="0" fillId="6" borderId="33" xfId="0" applyNumberFormat="1" applyFill="1" applyBorder="1" applyAlignment="1">
      <alignment horizontal="center"/>
    </xf>
    <xf numFmtId="0" fontId="0" fillId="6" borderId="43" xfId="0" applyFill="1" applyBorder="1" applyAlignment="1">
      <alignment horizontal="center"/>
    </xf>
    <xf numFmtId="0" fontId="0" fillId="6" borderId="44" xfId="0" applyFill="1" applyBorder="1" applyAlignment="1">
      <alignment horizontal="center"/>
    </xf>
    <xf numFmtId="1" fontId="4" fillId="6" borderId="29" xfId="0" applyNumberFormat="1" applyFont="1" applyFill="1" applyBorder="1" applyAlignment="1">
      <alignment horizontal="center"/>
    </xf>
    <xf numFmtId="1" fontId="4" fillId="6" borderId="0" xfId="0" applyNumberFormat="1" applyFont="1" applyFill="1" applyBorder="1" applyAlignment="1">
      <alignment horizontal="center"/>
    </xf>
    <xf numFmtId="0" fontId="0" fillId="6" borderId="29" xfId="0" applyFill="1" applyBorder="1" applyAlignment="1">
      <alignment/>
    </xf>
    <xf numFmtId="0" fontId="0" fillId="6" borderId="49" xfId="0" applyFill="1" applyBorder="1" applyAlignment="1">
      <alignment/>
    </xf>
    <xf numFmtId="0" fontId="0" fillId="6" borderId="50" xfId="0" applyFill="1" applyBorder="1" applyAlignment="1">
      <alignment horizontal="center"/>
    </xf>
    <xf numFmtId="0" fontId="0" fillId="6" borderId="25" xfId="0" applyFill="1" applyBorder="1" applyAlignment="1">
      <alignment horizontal="center"/>
    </xf>
    <xf numFmtId="0" fontId="0" fillId="6" borderId="62" xfId="0" applyFill="1" applyBorder="1" applyAlignment="1">
      <alignment horizontal="left"/>
    </xf>
    <xf numFmtId="0" fontId="0" fillId="6" borderId="47" xfId="0" applyFill="1" applyBorder="1" applyAlignment="1">
      <alignment/>
    </xf>
    <xf numFmtId="9" fontId="0" fillId="6" borderId="2" xfId="0" applyNumberFormat="1" applyFill="1" applyBorder="1" applyAlignment="1">
      <alignment horizontal="center"/>
    </xf>
    <xf numFmtId="9" fontId="0" fillId="6" borderId="14" xfId="0" applyNumberFormat="1" applyFill="1" applyBorder="1" applyAlignment="1">
      <alignment horizontal="center"/>
    </xf>
    <xf numFmtId="9" fontId="0" fillId="6" borderId="64" xfId="0" applyNumberFormat="1" applyFill="1" applyBorder="1" applyAlignment="1">
      <alignment horizontal="center"/>
    </xf>
    <xf numFmtId="0" fontId="0" fillId="6" borderId="30" xfId="0" applyFill="1" applyBorder="1" applyAlignment="1">
      <alignment horizontal="left"/>
    </xf>
    <xf numFmtId="0" fontId="0" fillId="6" borderId="33" xfId="0" applyFill="1" applyBorder="1" applyAlignment="1">
      <alignment/>
    </xf>
    <xf numFmtId="3" fontId="0" fillId="6" borderId="6" xfId="0" applyNumberFormat="1" applyFill="1" applyBorder="1" applyAlignment="1">
      <alignment horizontal="center"/>
    </xf>
    <xf numFmtId="3" fontId="0" fillId="6" borderId="8" xfId="0" applyNumberFormat="1" applyFill="1" applyBorder="1" applyAlignment="1">
      <alignment horizontal="center"/>
    </xf>
    <xf numFmtId="3" fontId="0" fillId="6" borderId="46" xfId="0" applyNumberFormat="1" applyFill="1" applyBorder="1" applyAlignment="1">
      <alignment horizontal="center"/>
    </xf>
    <xf numFmtId="0" fontId="0" fillId="6" borderId="31" xfId="0" applyFill="1" applyBorder="1" applyAlignment="1">
      <alignment horizontal="left"/>
    </xf>
    <xf numFmtId="0" fontId="0" fillId="6" borderId="32" xfId="0" applyFill="1" applyBorder="1" applyAlignment="1">
      <alignment/>
    </xf>
    <xf numFmtId="3" fontId="0" fillId="6" borderId="31" xfId="0" applyNumberFormat="1" applyFill="1" applyBorder="1" applyAlignment="1">
      <alignment horizontal="center"/>
    </xf>
    <xf numFmtId="3" fontId="0" fillId="6" borderId="45" xfId="0" applyNumberFormat="1" applyFill="1" applyBorder="1" applyAlignment="1">
      <alignment horizontal="center"/>
    </xf>
    <xf numFmtId="3" fontId="0" fillId="6" borderId="68" xfId="0" applyNumberFormat="1" applyFill="1" applyBorder="1" applyAlignment="1">
      <alignment horizontal="center"/>
    </xf>
    <xf numFmtId="0" fontId="0" fillId="6" borderId="18" xfId="0" applyFill="1" applyBorder="1" applyAlignment="1">
      <alignment horizontal="left" wrapText="1"/>
    </xf>
    <xf numFmtId="0" fontId="0" fillId="6" borderId="35" xfId="0" applyFill="1" applyBorder="1" applyAlignment="1">
      <alignment/>
    </xf>
    <xf numFmtId="3" fontId="0" fillId="6" borderId="26" xfId="0" applyNumberFormat="1" applyFill="1" applyBorder="1" applyAlignment="1">
      <alignment horizontal="center"/>
    </xf>
    <xf numFmtId="3" fontId="0" fillId="6" borderId="20" xfId="0" applyNumberFormat="1" applyFill="1" applyBorder="1" applyAlignment="1">
      <alignment horizontal="center"/>
    </xf>
    <xf numFmtId="3" fontId="0" fillId="6" borderId="35" xfId="0" applyNumberFormat="1" applyFill="1" applyBorder="1" applyAlignment="1">
      <alignment horizontal="center"/>
    </xf>
    <xf numFmtId="1" fontId="0" fillId="6" borderId="27" xfId="0" applyNumberFormat="1" applyFill="1" applyBorder="1" applyAlignment="1">
      <alignment horizontal="center"/>
    </xf>
    <xf numFmtId="1" fontId="0" fillId="6" borderId="45" xfId="0" applyNumberFormat="1" applyFill="1" applyBorder="1" applyAlignment="1">
      <alignment horizontal="center"/>
    </xf>
    <xf numFmtId="1" fontId="0" fillId="6" borderId="32" xfId="0" applyNumberFormat="1" applyFill="1" applyBorder="1" applyAlignment="1">
      <alignment horizontal="center"/>
    </xf>
    <xf numFmtId="181" fontId="0" fillId="0" borderId="0" xfId="25" applyNumberFormat="1" applyFill="1" applyBorder="1" applyAlignment="1">
      <alignment/>
    </xf>
    <xf numFmtId="0" fontId="1" fillId="7" borderId="0" xfId="0" applyFont="1" applyFill="1" applyAlignment="1">
      <alignment/>
    </xf>
    <xf numFmtId="2" fontId="1" fillId="7" borderId="0" xfId="0" applyNumberFormat="1" applyFont="1" applyFill="1" applyAlignment="1">
      <alignment/>
    </xf>
    <xf numFmtId="1" fontId="1" fillId="7" borderId="0" xfId="0" applyNumberFormat="1" applyFont="1" applyFill="1" applyAlignment="1">
      <alignment/>
    </xf>
    <xf numFmtId="3" fontId="1" fillId="7" borderId="0" xfId="0" applyNumberFormat="1" applyFont="1" applyFill="1" applyAlignment="1">
      <alignment/>
    </xf>
    <xf numFmtId="1" fontId="13" fillId="7" borderId="0" xfId="0" applyNumberFormat="1" applyFont="1" applyFill="1" applyAlignment="1">
      <alignment/>
    </xf>
    <xf numFmtId="3" fontId="13" fillId="7" borderId="0" xfId="0" applyNumberFormat="1" applyFont="1" applyFill="1" applyAlignment="1">
      <alignment/>
    </xf>
    <xf numFmtId="0" fontId="1" fillId="7" borderId="0" xfId="0" applyFont="1" applyFill="1" applyAlignment="1">
      <alignment/>
    </xf>
    <xf numFmtId="1" fontId="1" fillId="0" borderId="0" xfId="0" applyNumberFormat="1" applyFont="1" applyFill="1" applyAlignment="1">
      <alignment/>
    </xf>
    <xf numFmtId="9" fontId="0" fillId="0" borderId="0" xfId="25" applyAlignment="1">
      <alignment/>
    </xf>
    <xf numFmtId="0" fontId="0" fillId="0" borderId="73" xfId="0" applyBorder="1" applyAlignment="1">
      <alignment/>
    </xf>
    <xf numFmtId="0" fontId="0" fillId="0" borderId="61" xfId="0" applyBorder="1" applyAlignment="1">
      <alignment horizontal="center"/>
    </xf>
    <xf numFmtId="3" fontId="0" fillId="0" borderId="56" xfId="0" applyNumberFormat="1" applyBorder="1" applyAlignment="1">
      <alignment horizontal="center"/>
    </xf>
    <xf numFmtId="3" fontId="0" fillId="0" borderId="62" xfId="0" applyNumberFormat="1" applyBorder="1" applyAlignment="1">
      <alignment horizontal="center"/>
    </xf>
    <xf numFmtId="3" fontId="0" fillId="0" borderId="66" xfId="0" applyNumberFormat="1" applyBorder="1" applyAlignment="1">
      <alignment horizontal="center"/>
    </xf>
    <xf numFmtId="3" fontId="0" fillId="0" borderId="55" xfId="0" applyNumberFormat="1" applyBorder="1" applyAlignment="1">
      <alignment horizontal="center"/>
    </xf>
    <xf numFmtId="3" fontId="0" fillId="0" borderId="74" xfId="0" applyNumberFormat="1" applyBorder="1" applyAlignment="1">
      <alignment horizontal="center"/>
    </xf>
    <xf numFmtId="0" fontId="9" fillId="0" borderId="0" xfId="0" applyFont="1" applyFill="1" applyBorder="1" applyAlignment="1">
      <alignment/>
    </xf>
    <xf numFmtId="0" fontId="9" fillId="0" borderId="0" xfId="0" applyFont="1" applyFill="1" applyBorder="1" applyAlignment="1">
      <alignment horizontal="center"/>
    </xf>
    <xf numFmtId="0" fontId="9" fillId="0" borderId="0" xfId="0" applyFont="1" applyFill="1" applyBorder="1" applyAlignment="1">
      <alignment horizontal="left"/>
    </xf>
    <xf numFmtId="0" fontId="18" fillId="0" borderId="0" xfId="0" applyFont="1" applyFill="1" applyBorder="1" applyAlignment="1">
      <alignment/>
    </xf>
    <xf numFmtId="0" fontId="18" fillId="0" borderId="0" xfId="0" applyFont="1" applyFill="1" applyBorder="1" applyAlignment="1">
      <alignment/>
    </xf>
    <xf numFmtId="0" fontId="9" fillId="0" borderId="0" xfId="0" applyFont="1" applyFill="1" applyBorder="1" applyAlignment="1">
      <alignment/>
    </xf>
    <xf numFmtId="0" fontId="18" fillId="0" borderId="0" xfId="0" applyFont="1" applyFill="1" applyBorder="1" applyAlignment="1">
      <alignment horizontal="center"/>
    </xf>
    <xf numFmtId="0" fontId="4" fillId="0" borderId="0" xfId="0" applyFont="1" applyFill="1" applyBorder="1" applyAlignment="1">
      <alignment/>
    </xf>
    <xf numFmtId="0" fontId="4" fillId="0" borderId="0" xfId="0" applyFont="1" applyFill="1" applyBorder="1" applyAlignment="1">
      <alignment horizontal="center"/>
    </xf>
    <xf numFmtId="0" fontId="0" fillId="0" borderId="0" xfId="0" applyFill="1" applyBorder="1" applyAlignment="1">
      <alignment/>
    </xf>
    <xf numFmtId="0" fontId="0" fillId="5" borderId="0" xfId="0" applyFill="1" applyAlignment="1">
      <alignment/>
    </xf>
    <xf numFmtId="179" fontId="4" fillId="0" borderId="0" xfId="0" applyNumberFormat="1" applyFont="1" applyBorder="1" applyAlignment="1">
      <alignment horizontal="center"/>
    </xf>
    <xf numFmtId="0" fontId="4" fillId="0" borderId="0" xfId="21" applyFont="1">
      <alignment/>
      <protection/>
    </xf>
    <xf numFmtId="0" fontId="0" fillId="0" borderId="0" xfId="21" applyFont="1" applyAlignment="1">
      <alignment horizontal="left" indent="1"/>
      <protection/>
    </xf>
    <xf numFmtId="0" fontId="0" fillId="0" borderId="0" xfId="21" applyFont="1" applyAlignment="1">
      <alignment horizontal="left" indent="1"/>
      <protection/>
    </xf>
    <xf numFmtId="9" fontId="4" fillId="0" borderId="0" xfId="0" applyNumberFormat="1" applyFont="1" applyFill="1" applyBorder="1" applyAlignment="1">
      <alignment horizontal="right"/>
    </xf>
    <xf numFmtId="0" fontId="4" fillId="0" borderId="0" xfId="0" applyFont="1" applyFill="1" applyBorder="1" applyAlignment="1">
      <alignment horizontal="left"/>
    </xf>
    <xf numFmtId="0" fontId="4" fillId="0" borderId="10" xfId="0" applyFont="1" applyBorder="1" applyAlignment="1">
      <alignment horizontal="right" wrapText="1"/>
    </xf>
    <xf numFmtId="3" fontId="4" fillId="0" borderId="9" xfId="0" applyNumberFormat="1" applyFont="1" applyBorder="1" applyAlignment="1">
      <alignment/>
    </xf>
    <xf numFmtId="0" fontId="0" fillId="0" borderId="0" xfId="21" applyFont="1">
      <alignment horizontal="left"/>
      <protection/>
    </xf>
    <xf numFmtId="0" fontId="0" fillId="0" borderId="0" xfId="21" applyFont="1">
      <alignment horizontal="right"/>
      <protection/>
    </xf>
    <xf numFmtId="0" fontId="0" fillId="0" borderId="0" xfId="21" applyFont="1">
      <alignment/>
      <protection/>
    </xf>
    <xf numFmtId="0" fontId="4" fillId="0" borderId="0" xfId="21" applyFont="1">
      <alignment horizontal="left"/>
      <protection/>
    </xf>
    <xf numFmtId="0" fontId="0" fillId="0" borderId="0" xfId="21" applyFont="1">
      <alignment horizontal="right"/>
      <protection/>
    </xf>
    <xf numFmtId="0" fontId="0" fillId="0" borderId="0" xfId="21" applyFont="1">
      <alignment/>
      <protection/>
    </xf>
    <xf numFmtId="0" fontId="0" fillId="0" borderId="0" xfId="21" applyFont="1">
      <alignment horizontal="left"/>
      <protection/>
    </xf>
    <xf numFmtId="0" fontId="0" fillId="0" borderId="51" xfId="21" applyFont="1" applyBorder="1">
      <alignment horizontal="left"/>
      <protection/>
    </xf>
    <xf numFmtId="0" fontId="4" fillId="0" borderId="50" xfId="21" applyFont="1" applyBorder="1">
      <alignment horizontal="center"/>
      <protection/>
    </xf>
    <xf numFmtId="0" fontId="4" fillId="0" borderId="25" xfId="21" applyFont="1" applyBorder="1">
      <alignment horizontal="center"/>
      <protection/>
    </xf>
    <xf numFmtId="0" fontId="0" fillId="0" borderId="26" xfId="0" applyBorder="1" applyAlignment="1">
      <alignment horizontal="left"/>
    </xf>
    <xf numFmtId="0" fontId="0" fillId="8" borderId="33" xfId="0" applyFill="1" applyBorder="1" applyAlignment="1">
      <alignment horizontal="center"/>
    </xf>
    <xf numFmtId="0" fontId="0" fillId="8" borderId="0" xfId="0" applyFill="1" applyAlignment="1">
      <alignment/>
    </xf>
    <xf numFmtId="0" fontId="0" fillId="8" borderId="52" xfId="0" applyFill="1" applyBorder="1" applyAlignment="1">
      <alignment horizontal="center"/>
    </xf>
    <xf numFmtId="3" fontId="0" fillId="8" borderId="6" xfId="0" applyNumberFormat="1" applyFill="1" applyBorder="1" applyAlignment="1">
      <alignment horizontal="center"/>
    </xf>
    <xf numFmtId="178" fontId="0" fillId="8" borderId="33" xfId="0" applyNumberFormat="1" applyFill="1" applyBorder="1" applyAlignment="1">
      <alignment horizontal="center"/>
    </xf>
    <xf numFmtId="3" fontId="4" fillId="8" borderId="43" xfId="0" applyNumberFormat="1" applyFont="1" applyFill="1" applyBorder="1" applyAlignment="1">
      <alignment horizontal="center"/>
    </xf>
    <xf numFmtId="178" fontId="4" fillId="8" borderId="29" xfId="0" applyNumberFormat="1" applyFont="1" applyFill="1" applyBorder="1" applyAlignment="1">
      <alignment horizontal="center"/>
    </xf>
    <xf numFmtId="178" fontId="0" fillId="8" borderId="0" xfId="0" applyNumberFormat="1" applyFill="1" applyAlignment="1">
      <alignment/>
    </xf>
    <xf numFmtId="0" fontId="0" fillId="8" borderId="17" xfId="0" applyFill="1" applyBorder="1" applyAlignment="1">
      <alignment horizontal="left"/>
    </xf>
    <xf numFmtId="0" fontId="0" fillId="8" borderId="6" xfId="0" applyFill="1" applyBorder="1" applyAlignment="1">
      <alignment horizontal="center"/>
    </xf>
    <xf numFmtId="0" fontId="0" fillId="8" borderId="8" xfId="0" applyFill="1" applyBorder="1" applyAlignment="1">
      <alignment horizontal="center"/>
    </xf>
    <xf numFmtId="3" fontId="0" fillId="8" borderId="0" xfId="0" applyNumberFormat="1" applyFill="1" applyBorder="1" applyAlignment="1">
      <alignment horizontal="center"/>
    </xf>
    <xf numFmtId="3" fontId="0" fillId="8" borderId="8" xfId="0" applyNumberFormat="1" applyFill="1" applyBorder="1" applyAlignment="1">
      <alignment horizontal="center"/>
    </xf>
    <xf numFmtId="3" fontId="0" fillId="8" borderId="33" xfId="0" applyNumberFormat="1" applyFill="1" applyBorder="1" applyAlignment="1">
      <alignment horizontal="center"/>
    </xf>
    <xf numFmtId="3" fontId="0" fillId="8" borderId="46" xfId="0" applyNumberFormat="1" applyFill="1" applyBorder="1" applyAlignment="1">
      <alignment horizontal="center"/>
    </xf>
    <xf numFmtId="3" fontId="0" fillId="8" borderId="0" xfId="0" applyNumberFormat="1" applyFill="1" applyBorder="1" applyAlignment="1">
      <alignment/>
    </xf>
    <xf numFmtId="178" fontId="0" fillId="8" borderId="17" xfId="0" applyNumberFormat="1" applyFill="1" applyBorder="1" applyAlignment="1">
      <alignment horizontal="left"/>
    </xf>
    <xf numFmtId="0" fontId="0" fillId="8" borderId="36" xfId="0" applyFill="1" applyBorder="1" applyAlignment="1">
      <alignment horizontal="left"/>
    </xf>
    <xf numFmtId="0" fontId="0" fillId="8" borderId="48" xfId="0" applyFill="1" applyBorder="1" applyAlignment="1">
      <alignment horizontal="center"/>
    </xf>
    <xf numFmtId="0" fontId="0" fillId="8" borderId="45" xfId="0" applyFill="1" applyBorder="1" applyAlignment="1">
      <alignment horizontal="center"/>
    </xf>
    <xf numFmtId="0" fontId="0" fillId="8" borderId="32" xfId="0" applyFill="1" applyBorder="1" applyAlignment="1">
      <alignment horizontal="center"/>
    </xf>
    <xf numFmtId="0" fontId="0" fillId="8" borderId="0" xfId="0" applyFill="1" applyBorder="1" applyAlignment="1">
      <alignment horizontal="left"/>
    </xf>
    <xf numFmtId="0" fontId="0" fillId="8" borderId="0" xfId="0" applyFill="1" applyBorder="1" applyAlignment="1">
      <alignment horizontal="center"/>
    </xf>
    <xf numFmtId="3" fontId="0" fillId="8" borderId="30" xfId="0" applyNumberFormat="1" applyFill="1" applyBorder="1" applyAlignment="1">
      <alignment horizontal="center"/>
    </xf>
    <xf numFmtId="0" fontId="0" fillId="8" borderId="0" xfId="0" applyFill="1" applyBorder="1" applyAlignment="1">
      <alignment/>
    </xf>
    <xf numFmtId="0" fontId="0" fillId="0" borderId="15" xfId="0" applyFill="1" applyBorder="1" applyAlignment="1">
      <alignment wrapText="1"/>
    </xf>
    <xf numFmtId="0" fontId="0" fillId="0" borderId="50" xfId="0" applyBorder="1" applyAlignment="1">
      <alignment wrapText="1"/>
    </xf>
    <xf numFmtId="0" fontId="0" fillId="0" borderId="25" xfId="0" applyBorder="1" applyAlignment="1">
      <alignment/>
    </xf>
    <xf numFmtId="0" fontId="0" fillId="0" borderId="56" xfId="0" applyBorder="1" applyAlignment="1">
      <alignment/>
    </xf>
    <xf numFmtId="0" fontId="0" fillId="0" borderId="59" xfId="0" applyBorder="1" applyAlignment="1">
      <alignment/>
    </xf>
    <xf numFmtId="1" fontId="0" fillId="0" borderId="55" xfId="0" applyNumberFormat="1" applyBorder="1" applyAlignment="1">
      <alignment/>
    </xf>
    <xf numFmtId="3" fontId="0" fillId="0" borderId="55" xfId="0" applyNumberFormat="1" applyBorder="1" applyAlignment="1">
      <alignment/>
    </xf>
    <xf numFmtId="0" fontId="0" fillId="0" borderId="57" xfId="0" applyBorder="1" applyAlignment="1">
      <alignment/>
    </xf>
    <xf numFmtId="0" fontId="19" fillId="0" borderId="34" xfId="0" applyFont="1" applyBorder="1" applyAlignment="1">
      <alignment/>
    </xf>
    <xf numFmtId="0" fontId="0" fillId="8" borderId="72" xfId="0" applyFill="1" applyBorder="1" applyAlignment="1">
      <alignment horizontal="center"/>
    </xf>
    <xf numFmtId="3" fontId="0" fillId="8" borderId="32" xfId="0" applyNumberFormat="1" applyFill="1" applyBorder="1" applyAlignment="1">
      <alignment horizontal="center"/>
    </xf>
    <xf numFmtId="0" fontId="15" fillId="0" borderId="0" xfId="0" applyFont="1" applyAlignment="1">
      <alignment horizontal="left" vertical="center" wrapText="1"/>
    </xf>
    <xf numFmtId="178" fontId="19" fillId="0" borderId="29" xfId="0" applyNumberFormat="1" applyFont="1" applyBorder="1" applyAlignment="1">
      <alignment/>
    </xf>
    <xf numFmtId="178" fontId="19" fillId="0" borderId="29" xfId="25" applyNumberFormat="1" applyFont="1" applyBorder="1" applyAlignment="1">
      <alignment/>
    </xf>
    <xf numFmtId="0" fontId="0" fillId="0" borderId="75" xfId="0" applyBorder="1" applyAlignment="1">
      <alignment/>
    </xf>
    <xf numFmtId="1" fontId="0" fillId="0" borderId="14" xfId="0" applyNumberFormat="1" applyBorder="1" applyAlignment="1">
      <alignment/>
    </xf>
    <xf numFmtId="0" fontId="0" fillId="0" borderId="64" xfId="0" applyBorder="1" applyAlignment="1">
      <alignment/>
    </xf>
    <xf numFmtId="0" fontId="0" fillId="0" borderId="0" xfId="0" applyAlignment="1">
      <alignment/>
    </xf>
    <xf numFmtId="9" fontId="0" fillId="0" borderId="6" xfId="25" applyBorder="1" applyAlignment="1">
      <alignment horizontal="center"/>
    </xf>
    <xf numFmtId="9" fontId="0" fillId="0" borderId="8" xfId="25" applyBorder="1" applyAlignment="1">
      <alignment horizontal="center"/>
    </xf>
    <xf numFmtId="9" fontId="0" fillId="8" borderId="8" xfId="25" applyFill="1" applyBorder="1" applyAlignment="1">
      <alignment horizontal="center"/>
    </xf>
    <xf numFmtId="9" fontId="0" fillId="8" borderId="33" xfId="25" applyFill="1" applyBorder="1" applyAlignment="1">
      <alignment horizontal="center"/>
    </xf>
    <xf numFmtId="9" fontId="0" fillId="8" borderId="6" xfId="25" applyFill="1" applyBorder="1" applyAlignment="1">
      <alignment horizontal="center"/>
    </xf>
    <xf numFmtId="9" fontId="0" fillId="0" borderId="33" xfId="25" applyFill="1" applyBorder="1" applyAlignment="1">
      <alignment horizontal="center"/>
    </xf>
    <xf numFmtId="9" fontId="0" fillId="0" borderId="33" xfId="25" applyBorder="1" applyAlignment="1">
      <alignment horizontal="center"/>
    </xf>
    <xf numFmtId="9" fontId="4" fillId="0" borderId="34" xfId="25" applyFont="1" applyBorder="1" applyAlignment="1">
      <alignment horizontal="center"/>
    </xf>
    <xf numFmtId="9" fontId="4" fillId="0" borderId="44" xfId="25" applyFont="1" applyBorder="1" applyAlignment="1">
      <alignment horizontal="center"/>
    </xf>
    <xf numFmtId="9" fontId="4" fillId="8" borderId="44" xfId="25" applyFont="1" applyFill="1" applyBorder="1" applyAlignment="1">
      <alignment horizontal="center"/>
    </xf>
    <xf numFmtId="9" fontId="4" fillId="8" borderId="29" xfId="25" applyFont="1" applyFill="1" applyBorder="1" applyAlignment="1">
      <alignment horizontal="center"/>
    </xf>
    <xf numFmtId="9" fontId="0" fillId="8" borderId="2" xfId="25" applyFill="1" applyBorder="1" applyAlignment="1">
      <alignment horizontal="center"/>
    </xf>
    <xf numFmtId="9" fontId="0" fillId="3" borderId="6" xfId="25" applyFill="1" applyBorder="1" applyAlignment="1">
      <alignment horizontal="center"/>
    </xf>
    <xf numFmtId="9" fontId="0" fillId="0" borderId="22" xfId="25" applyBorder="1" applyAlignment="1">
      <alignment horizontal="center"/>
    </xf>
    <xf numFmtId="9" fontId="4" fillId="0" borderId="48" xfId="25" applyFont="1" applyBorder="1" applyAlignment="1">
      <alignment horizontal="center"/>
    </xf>
    <xf numFmtId="9" fontId="0" fillId="8" borderId="14" xfId="25" applyFill="1" applyBorder="1" applyAlignment="1">
      <alignment horizontal="center"/>
    </xf>
    <xf numFmtId="9" fontId="0" fillId="0" borderId="20" xfId="25" applyBorder="1" applyAlignment="1">
      <alignment horizontal="center"/>
    </xf>
    <xf numFmtId="9" fontId="4" fillId="0" borderId="45" xfId="25" applyFont="1" applyBorder="1" applyAlignment="1">
      <alignment horizontal="center"/>
    </xf>
    <xf numFmtId="0" fontId="0" fillId="0" borderId="19" xfId="0" applyFont="1" applyBorder="1" applyAlignment="1">
      <alignment horizontal="center" vertical="center"/>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8" borderId="44" xfId="0" applyFont="1" applyFill="1" applyBorder="1" applyAlignment="1">
      <alignment horizontal="center" vertical="center" wrapText="1"/>
    </xf>
    <xf numFmtId="0" fontId="0" fillId="8" borderId="29" xfId="0" applyFont="1" applyFill="1" applyBorder="1" applyAlignment="1">
      <alignment horizontal="center" vertical="center" wrapText="1"/>
    </xf>
    <xf numFmtId="9" fontId="0" fillId="3" borderId="22" xfId="25" applyFill="1" applyBorder="1" applyAlignment="1">
      <alignment horizontal="center"/>
    </xf>
    <xf numFmtId="9" fontId="0" fillId="3" borderId="21" xfId="25" applyFill="1" applyBorder="1" applyAlignment="1">
      <alignment horizontal="center"/>
    </xf>
    <xf numFmtId="9" fontId="0" fillId="8" borderId="64" xfId="25" applyFill="1" applyBorder="1" applyAlignment="1">
      <alignment horizontal="center"/>
    </xf>
    <xf numFmtId="9" fontId="0" fillId="3" borderId="46" xfId="25" applyFill="1" applyBorder="1" applyAlignment="1">
      <alignment horizontal="center"/>
    </xf>
    <xf numFmtId="9" fontId="0" fillId="0" borderId="21" xfId="25" applyBorder="1" applyAlignment="1">
      <alignment horizontal="center"/>
    </xf>
    <xf numFmtId="9" fontId="4" fillId="0" borderId="68" xfId="25" applyFont="1" applyBorder="1" applyAlignment="1">
      <alignment horizontal="center"/>
    </xf>
    <xf numFmtId="0" fontId="0" fillId="0" borderId="17" xfId="0" applyFill="1" applyBorder="1" applyAlignment="1" quotePrefix="1">
      <alignment horizontal="left"/>
    </xf>
    <xf numFmtId="4" fontId="0" fillId="0" borderId="0" xfId="0" applyNumberFormat="1" applyFill="1" applyBorder="1" applyAlignment="1">
      <alignment horizontal="center"/>
    </xf>
    <xf numFmtId="0" fontId="0" fillId="0" borderId="0" xfId="0" applyFont="1" applyFill="1" applyBorder="1" applyAlignment="1" quotePrefix="1">
      <alignment/>
    </xf>
    <xf numFmtId="1" fontId="0" fillId="0" borderId="23" xfId="15" applyNumberFormat="1" applyBorder="1" applyAlignment="1">
      <alignment/>
    </xf>
    <xf numFmtId="184" fontId="0" fillId="0" borderId="23" xfId="15" applyNumberFormat="1" applyBorder="1" applyAlignment="1">
      <alignment/>
    </xf>
    <xf numFmtId="0" fontId="0" fillId="0" borderId="56" xfId="0" applyFill="1" applyBorder="1" applyAlignment="1">
      <alignment vertical="center" wrapText="1"/>
    </xf>
    <xf numFmtId="0" fontId="0" fillId="0" borderId="58" xfId="0" applyFill="1" applyBorder="1" applyAlignment="1">
      <alignment vertical="center" wrapText="1"/>
    </xf>
    <xf numFmtId="3" fontId="0" fillId="0" borderId="57" xfId="0" applyNumberFormat="1" applyBorder="1" applyAlignment="1">
      <alignment horizontal="center"/>
    </xf>
    <xf numFmtId="0" fontId="0" fillId="9" borderId="52" xfId="0" applyFill="1" applyBorder="1" applyAlignment="1">
      <alignment horizontal="center"/>
    </xf>
    <xf numFmtId="1" fontId="0" fillId="9" borderId="52" xfId="0" applyNumberFormat="1" applyFill="1" applyBorder="1" applyAlignment="1">
      <alignment horizontal="center"/>
    </xf>
    <xf numFmtId="1" fontId="4" fillId="8" borderId="28" xfId="0" applyNumberFormat="1" applyFont="1" applyFill="1" applyBorder="1" applyAlignment="1">
      <alignment horizontal="center"/>
    </xf>
    <xf numFmtId="1" fontId="0" fillId="0" borderId="59" xfId="0" applyNumberFormat="1" applyBorder="1" applyAlignment="1">
      <alignment horizontal="center"/>
    </xf>
    <xf numFmtId="3" fontId="4" fillId="2" borderId="54" xfId="0" applyNumberFormat="1" applyFont="1" applyFill="1" applyBorder="1" applyAlignment="1">
      <alignment horizontal="center" vertical="center"/>
    </xf>
    <xf numFmtId="3" fontId="4" fillId="0" borderId="6" xfId="0" applyNumberFormat="1" applyFont="1" applyBorder="1" applyAlignment="1">
      <alignment horizontal="center"/>
    </xf>
    <xf numFmtId="3" fontId="4" fillId="0" borderId="8" xfId="0" applyNumberFormat="1" applyFont="1" applyBorder="1" applyAlignment="1">
      <alignment horizontal="center"/>
    </xf>
    <xf numFmtId="3" fontId="4" fillId="0" borderId="33" xfId="0" applyNumberFormat="1" applyFont="1" applyBorder="1" applyAlignment="1">
      <alignment horizontal="center"/>
    </xf>
    <xf numFmtId="0" fontId="0" fillId="0" borderId="56" xfId="0" applyBorder="1" applyAlignment="1">
      <alignment horizontal="left" vertical="center" wrapText="1" indent="1"/>
    </xf>
    <xf numFmtId="0" fontId="0" fillId="0" borderId="56" xfId="0" applyBorder="1" applyAlignment="1">
      <alignment horizontal="left" vertical="center" wrapText="1"/>
    </xf>
    <xf numFmtId="0" fontId="4" fillId="0" borderId="28" xfId="0" applyFont="1" applyBorder="1" applyAlignment="1">
      <alignment/>
    </xf>
    <xf numFmtId="0" fontId="4" fillId="0" borderId="0" xfId="0" applyFont="1" applyBorder="1" applyAlignment="1">
      <alignment horizontal="left" vertical="center" wrapText="1" indent="1"/>
    </xf>
    <xf numFmtId="0" fontId="0" fillId="0" borderId="65" xfId="0" applyBorder="1" applyAlignment="1">
      <alignment vertical="center" wrapText="1"/>
    </xf>
    <xf numFmtId="3" fontId="4" fillId="2" borderId="76" xfId="0" applyNumberFormat="1" applyFont="1" applyFill="1" applyBorder="1" applyAlignment="1">
      <alignment horizontal="center"/>
    </xf>
    <xf numFmtId="3" fontId="0" fillId="0" borderId="8" xfId="25" applyNumberFormat="1" applyBorder="1" applyAlignment="1">
      <alignment horizontal="center"/>
    </xf>
    <xf numFmtId="3" fontId="4" fillId="0" borderId="44" xfId="25" applyNumberFormat="1" applyFont="1" applyBorder="1" applyAlignment="1">
      <alignment horizontal="center"/>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77" xfId="0" applyBorder="1" applyAlignment="1">
      <alignment horizontal="center" vertical="center" wrapText="1"/>
    </xf>
    <xf numFmtId="0" fontId="0" fillId="0" borderId="71" xfId="0" applyBorder="1" applyAlignment="1">
      <alignment horizontal="center" vertical="center" wrapText="1"/>
    </xf>
    <xf numFmtId="0" fontId="4" fillId="0" borderId="43" xfId="0" applyFont="1" applyBorder="1" applyAlignment="1">
      <alignment horizontal="center"/>
    </xf>
    <xf numFmtId="181" fontId="4" fillId="2" borderId="15" xfId="0" applyNumberFormat="1" applyFont="1" applyFill="1" applyBorder="1" applyAlignment="1">
      <alignment horizontal="center"/>
    </xf>
    <xf numFmtId="0" fontId="0" fillId="0" borderId="0" xfId="0" applyBorder="1" applyAlignment="1">
      <alignment vertical="center" wrapText="1"/>
    </xf>
    <xf numFmtId="181" fontId="0" fillId="0" borderId="0" xfId="0" applyNumberFormat="1" applyBorder="1" applyAlignment="1">
      <alignment horizontal="center"/>
    </xf>
    <xf numFmtId="3" fontId="4" fillId="2" borderId="59" xfId="0" applyNumberFormat="1" applyFont="1" applyFill="1" applyBorder="1" applyAlignment="1">
      <alignment horizontal="center"/>
    </xf>
    <xf numFmtId="3" fontId="0" fillId="0" borderId="6" xfId="0" applyNumberFormat="1" applyFont="1" applyBorder="1" applyAlignment="1">
      <alignment horizontal="center"/>
    </xf>
    <xf numFmtId="3" fontId="0" fillId="0" borderId="8" xfId="0" applyNumberFormat="1" applyFont="1" applyBorder="1" applyAlignment="1">
      <alignment horizontal="center"/>
    </xf>
    <xf numFmtId="0" fontId="0" fillId="0" borderId="6" xfId="0" applyFont="1" applyBorder="1" applyAlignment="1">
      <alignment horizontal="center"/>
    </xf>
    <xf numFmtId="0" fontId="0" fillId="0" borderId="56" xfId="0" applyFill="1" applyBorder="1" applyAlignment="1">
      <alignment horizontal="left" vertical="center" wrapText="1" indent="1"/>
    </xf>
    <xf numFmtId="0" fontId="0" fillId="0" borderId="58" xfId="0" applyFill="1" applyBorder="1" applyAlignment="1">
      <alignment horizontal="left" vertical="center" wrapText="1" indent="1"/>
    </xf>
    <xf numFmtId="1" fontId="4" fillId="2" borderId="57" xfId="0" applyNumberFormat="1" applyFont="1" applyFill="1" applyBorder="1" applyAlignment="1">
      <alignment horizontal="center"/>
    </xf>
    <xf numFmtId="1" fontId="0" fillId="0" borderId="0" xfId="0" applyNumberFormat="1" applyFill="1" applyBorder="1" applyAlignment="1">
      <alignment/>
    </xf>
    <xf numFmtId="3" fontId="4" fillId="0" borderId="0" xfId="0" applyNumberFormat="1" applyFont="1" applyFill="1" applyBorder="1" applyAlignment="1">
      <alignment horizontal="right"/>
    </xf>
    <xf numFmtId="0" fontId="1" fillId="0" borderId="0" xfId="24" applyFont="1" applyBorder="1">
      <alignment horizontal="right"/>
      <protection/>
    </xf>
    <xf numFmtId="0" fontId="0" fillId="0" borderId="0" xfId="21" applyFont="1" applyBorder="1">
      <alignment/>
      <protection/>
    </xf>
    <xf numFmtId="0" fontId="0" fillId="0" borderId="0" xfId="21" applyFont="1" applyBorder="1">
      <alignment horizontal="right"/>
      <protection/>
    </xf>
    <xf numFmtId="0" fontId="0" fillId="0" borderId="0" xfId="21" applyFont="1" applyBorder="1">
      <alignment horizontal="left"/>
      <protection/>
    </xf>
    <xf numFmtId="0" fontId="0" fillId="0" borderId="56" xfId="0" applyFill="1" applyBorder="1" applyAlignment="1">
      <alignment horizontal="left"/>
    </xf>
    <xf numFmtId="1" fontId="0" fillId="0" borderId="25" xfId="0" applyNumberFormat="1" applyBorder="1" applyAlignment="1">
      <alignment horizontal="center"/>
    </xf>
    <xf numFmtId="1" fontId="0" fillId="0" borderId="12" xfId="0" applyNumberFormat="1" applyBorder="1" applyAlignment="1">
      <alignment horizontal="center" vertical="center" wrapText="1"/>
    </xf>
    <xf numFmtId="6" fontId="0" fillId="0" borderId="0" xfId="0" applyNumberFormat="1" applyBorder="1" applyAlignment="1">
      <alignment/>
    </xf>
    <xf numFmtId="10" fontId="0" fillId="0" borderId="0" xfId="25" applyNumberFormat="1" applyBorder="1" applyAlignment="1">
      <alignment/>
    </xf>
    <xf numFmtId="3" fontId="4" fillId="0" borderId="17" xfId="0" applyNumberFormat="1" applyFont="1" applyFill="1" applyBorder="1" applyAlignment="1">
      <alignment horizontal="center"/>
    </xf>
    <xf numFmtId="0" fontId="20" fillId="0" borderId="0" xfId="0" applyFont="1" applyAlignment="1">
      <alignment/>
    </xf>
    <xf numFmtId="43" fontId="0" fillId="0" borderId="0" xfId="15" applyBorder="1" applyAlignment="1">
      <alignment horizontal="center"/>
    </xf>
    <xf numFmtId="0" fontId="0" fillId="0" borderId="51" xfId="0" applyBorder="1" applyAlignment="1">
      <alignment/>
    </xf>
    <xf numFmtId="0" fontId="0" fillId="0" borderId="56" xfId="0" applyBorder="1" applyAlignment="1">
      <alignment vertical="center"/>
    </xf>
    <xf numFmtId="9" fontId="0" fillId="0" borderId="6" xfId="25" applyBorder="1" applyAlignment="1">
      <alignment horizontal="right"/>
    </xf>
    <xf numFmtId="9" fontId="0" fillId="0" borderId="8" xfId="25" applyBorder="1" applyAlignment="1">
      <alignment horizontal="right"/>
    </xf>
    <xf numFmtId="9" fontId="0" fillId="0" borderId="46" xfId="25" applyBorder="1" applyAlignment="1">
      <alignment horizontal="right"/>
    </xf>
    <xf numFmtId="9" fontId="0" fillId="9" borderId="8" xfId="25" applyFill="1" applyBorder="1" applyAlignment="1">
      <alignment horizontal="center"/>
    </xf>
    <xf numFmtId="9" fontId="0" fillId="9" borderId="33" xfId="25" applyFill="1" applyBorder="1" applyAlignment="1">
      <alignment horizontal="center"/>
    </xf>
    <xf numFmtId="179" fontId="0" fillId="0" borderId="15" xfId="0" applyNumberFormat="1" applyBorder="1" applyAlignment="1">
      <alignment/>
    </xf>
    <xf numFmtId="0" fontId="0" fillId="0" borderId="15" xfId="0" applyBorder="1" applyAlignment="1">
      <alignment horizontal="center"/>
    </xf>
    <xf numFmtId="0" fontId="4" fillId="0" borderId="15" xfId="0" applyFont="1" applyBorder="1" applyAlignment="1">
      <alignment/>
    </xf>
    <xf numFmtId="1" fontId="4" fillId="0" borderId="15" xfId="0" applyNumberFormat="1" applyFont="1" applyBorder="1" applyAlignment="1">
      <alignment/>
    </xf>
    <xf numFmtId="1" fontId="4" fillId="0" borderId="9" xfId="0" applyNumberFormat="1" applyFont="1" applyBorder="1" applyAlignment="1">
      <alignment/>
    </xf>
    <xf numFmtId="0" fontId="20" fillId="0" borderId="0" xfId="0" applyFont="1" applyBorder="1" applyAlignment="1">
      <alignment/>
    </xf>
    <xf numFmtId="0" fontId="1" fillId="0" borderId="0" xfId="21" applyFont="1">
      <alignment/>
      <protection/>
    </xf>
    <xf numFmtId="0" fontId="13" fillId="0" borderId="0" xfId="21" applyFont="1">
      <alignment/>
      <protection/>
    </xf>
    <xf numFmtId="0" fontId="13" fillId="0" borderId="0" xfId="21" applyFont="1">
      <alignment/>
      <protection/>
    </xf>
    <xf numFmtId="0" fontId="21" fillId="0" borderId="0" xfId="21" applyFont="1">
      <alignment/>
      <protection/>
    </xf>
    <xf numFmtId="0" fontId="21" fillId="0" borderId="0" xfId="21" applyFont="1">
      <alignment/>
      <protection/>
    </xf>
    <xf numFmtId="2" fontId="1" fillId="0" borderId="0" xfId="21" applyNumberFormat="1" applyFont="1">
      <alignment/>
      <protection/>
    </xf>
    <xf numFmtId="2" fontId="1" fillId="9" borderId="0" xfId="21" applyNumberFormat="1" applyFont="1" applyFill="1">
      <alignment/>
      <protection/>
    </xf>
    <xf numFmtId="2" fontId="0" fillId="0" borderId="15" xfId="21" applyNumberFormat="1" applyFont="1" applyBorder="1">
      <alignment horizontal="right"/>
      <protection/>
    </xf>
    <xf numFmtId="0" fontId="4" fillId="0" borderId="56" xfId="21" applyFont="1" applyBorder="1">
      <alignment/>
      <protection/>
    </xf>
    <xf numFmtId="0" fontId="0" fillId="0" borderId="56" xfId="21" applyFont="1" applyBorder="1">
      <alignment/>
      <protection/>
    </xf>
    <xf numFmtId="2" fontId="0" fillId="0" borderId="59" xfId="21" applyNumberFormat="1" applyFont="1" applyBorder="1">
      <alignment horizontal="right"/>
      <protection/>
    </xf>
    <xf numFmtId="0" fontId="8" fillId="0" borderId="56" xfId="21" applyFont="1" applyBorder="1">
      <alignment/>
      <protection/>
    </xf>
    <xf numFmtId="0" fontId="4" fillId="0" borderId="58" xfId="21" applyFont="1" applyBorder="1">
      <alignment/>
      <protection/>
    </xf>
    <xf numFmtId="2" fontId="0" fillId="0" borderId="55" xfId="21" applyNumberFormat="1" applyFont="1" applyBorder="1">
      <alignment horizontal="right"/>
      <protection/>
    </xf>
    <xf numFmtId="2" fontId="0" fillId="0" borderId="57" xfId="21" applyNumberFormat="1" applyFont="1" applyBorder="1">
      <alignment horizontal="right"/>
      <protection/>
    </xf>
    <xf numFmtId="2" fontId="0" fillId="0" borderId="0" xfId="21" applyNumberFormat="1" applyFont="1" applyBorder="1">
      <alignment horizontal="right"/>
      <protection/>
    </xf>
    <xf numFmtId="0" fontId="4" fillId="0" borderId="7" xfId="21" applyFont="1" applyBorder="1">
      <alignment horizontal="center"/>
      <protection/>
    </xf>
    <xf numFmtId="0" fontId="4" fillId="0" borderId="24" xfId="21" applyFont="1" applyBorder="1">
      <alignment horizontal="center"/>
      <protection/>
    </xf>
    <xf numFmtId="0" fontId="8" fillId="0" borderId="37" xfId="21" applyFont="1" applyBorder="1">
      <alignment horizontal="left"/>
      <protection/>
    </xf>
    <xf numFmtId="0" fontId="4" fillId="0" borderId="56" xfId="21" applyFont="1" applyBorder="1" applyAlignment="1">
      <alignment horizontal="left" indent="1"/>
      <protection/>
    </xf>
    <xf numFmtId="0" fontId="4" fillId="0" borderId="56" xfId="21" applyFont="1" applyBorder="1" applyAlignment="1">
      <alignment horizontal="left" indent="1"/>
      <protection/>
    </xf>
    <xf numFmtId="0" fontId="4" fillId="0" borderId="56" xfId="21" applyFont="1" applyBorder="1" applyAlignment="1">
      <alignment horizontal="left" wrapText="1" indent="1"/>
      <protection/>
    </xf>
    <xf numFmtId="0" fontId="0" fillId="0" borderId="56" xfId="21" applyFont="1" applyBorder="1" applyAlignment="1">
      <alignment horizontal="left" indent="2"/>
      <protection/>
    </xf>
    <xf numFmtId="0" fontId="0" fillId="0" borderId="56" xfId="21" applyFont="1" applyBorder="1" applyAlignment="1">
      <alignment horizontal="left" indent="2"/>
      <protection/>
    </xf>
    <xf numFmtId="0" fontId="4" fillId="0" borderId="15" xfId="21" applyFont="1" applyBorder="1">
      <alignment/>
      <protection/>
    </xf>
    <xf numFmtId="2" fontId="4" fillId="0" borderId="15" xfId="21" applyNumberFormat="1" applyFont="1" applyBorder="1">
      <alignment horizontal="right"/>
      <protection/>
    </xf>
    <xf numFmtId="0" fontId="0" fillId="0" borderId="0" xfId="21" applyFont="1" applyAlignment="1">
      <alignment horizontal="left" indent="2"/>
      <protection/>
    </xf>
    <xf numFmtId="0" fontId="4" fillId="0" borderId="0" xfId="21" applyFont="1" applyAlignment="1">
      <alignment horizontal="left" indent="1"/>
      <protection/>
    </xf>
    <xf numFmtId="0" fontId="8" fillId="0" borderId="0" xfId="21" applyFont="1">
      <alignment/>
      <protection/>
    </xf>
    <xf numFmtId="0" fontId="1" fillId="9" borderId="0" xfId="21" applyFont="1" applyFill="1">
      <alignment/>
      <protection/>
    </xf>
    <xf numFmtId="0" fontId="0" fillId="9" borderId="0" xfId="21" applyFont="1" applyFill="1">
      <alignment horizontal="right"/>
      <protection/>
    </xf>
    <xf numFmtId="0" fontId="13" fillId="9" borderId="0" xfId="21" applyFont="1" applyFill="1">
      <alignment/>
      <protection/>
    </xf>
    <xf numFmtId="0" fontId="0" fillId="0" borderId="0" xfId="21" applyFont="1" applyFill="1" applyAlignment="1">
      <alignment horizontal="left" indent="2"/>
      <protection/>
    </xf>
    <xf numFmtId="3" fontId="0" fillId="0" borderId="6" xfId="0" applyNumberFormat="1" applyFill="1" applyBorder="1" applyAlignment="1">
      <alignment/>
    </xf>
    <xf numFmtId="0" fontId="0" fillId="0" borderId="8" xfId="0" applyFill="1" applyBorder="1" applyAlignment="1">
      <alignment/>
    </xf>
    <xf numFmtId="1" fontId="1" fillId="9" borderId="0" xfId="0" applyNumberFormat="1" applyFont="1" applyFill="1" applyAlignment="1">
      <alignment/>
    </xf>
    <xf numFmtId="0" fontId="1" fillId="0" borderId="0" xfId="21" applyFont="1">
      <alignment/>
      <protection/>
    </xf>
    <xf numFmtId="2" fontId="0" fillId="0" borderId="0" xfId="21" applyNumberFormat="1" applyFont="1" applyBorder="1">
      <alignment/>
      <protection/>
    </xf>
    <xf numFmtId="0" fontId="1" fillId="0" borderId="0" xfId="22" applyFont="1">
      <alignment/>
      <protection/>
    </xf>
    <xf numFmtId="2" fontId="0" fillId="0" borderId="15" xfId="21" applyNumberFormat="1" applyFont="1" applyFill="1" applyBorder="1">
      <alignment horizontal="right"/>
      <protection/>
    </xf>
    <xf numFmtId="2" fontId="0" fillId="0" borderId="59" xfId="21" applyNumberFormat="1" applyFont="1" applyFill="1" applyBorder="1">
      <alignment horizontal="right"/>
      <protection/>
    </xf>
    <xf numFmtId="2" fontId="0" fillId="0" borderId="0" xfId="21" applyNumberFormat="1" applyFont="1">
      <alignment/>
      <protection/>
    </xf>
    <xf numFmtId="0" fontId="0" fillId="0" borderId="15" xfId="15" applyNumberFormat="1" applyBorder="1" applyAlignment="1">
      <alignment horizontal="center"/>
    </xf>
    <xf numFmtId="0" fontId="0" fillId="0" borderId="15" xfId="15" applyNumberFormat="1" applyFont="1" applyBorder="1" applyAlignment="1">
      <alignment horizontal="center"/>
    </xf>
    <xf numFmtId="3" fontId="0" fillId="0" borderId="0" xfId="0" applyNumberFormat="1" applyFill="1" applyBorder="1" applyAlignment="1">
      <alignment horizontal="left"/>
    </xf>
    <xf numFmtId="184" fontId="0" fillId="0" borderId="15" xfId="15" applyNumberFormat="1" applyFont="1" applyBorder="1" applyAlignment="1">
      <alignment/>
    </xf>
    <xf numFmtId="184" fontId="0" fillId="0" borderId="15" xfId="15" applyNumberFormat="1" applyBorder="1" applyAlignment="1">
      <alignment/>
    </xf>
    <xf numFmtId="178" fontId="0" fillId="0" borderId="15" xfId="25" applyNumberFormat="1" applyBorder="1" applyAlignment="1">
      <alignment/>
    </xf>
    <xf numFmtId="184" fontId="0" fillId="0" borderId="0" xfId="15" applyNumberFormat="1" applyFont="1" applyAlignment="1">
      <alignment/>
    </xf>
    <xf numFmtId="178" fontId="0" fillId="0" borderId="0" xfId="25" applyNumberFormat="1" applyAlignment="1">
      <alignment/>
    </xf>
    <xf numFmtId="10" fontId="0" fillId="0" borderId="0" xfId="0" applyNumberFormat="1" applyAlignment="1">
      <alignment/>
    </xf>
    <xf numFmtId="0" fontId="0" fillId="0" borderId="53" xfId="0" applyBorder="1" applyAlignment="1">
      <alignment/>
    </xf>
    <xf numFmtId="0" fontId="0" fillId="0" borderId="53" xfId="0" applyBorder="1" applyAlignment="1">
      <alignment horizontal="center"/>
    </xf>
    <xf numFmtId="0" fontId="0" fillId="0" borderId="21" xfId="0" applyBorder="1" applyAlignment="1">
      <alignment horizontal="center"/>
    </xf>
    <xf numFmtId="0" fontId="0" fillId="0" borderId="53"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178" fontId="0" fillId="0" borderId="0" xfId="25" applyNumberFormat="1" applyAlignment="1">
      <alignment horizontal="center"/>
    </xf>
    <xf numFmtId="0" fontId="0" fillId="0" borderId="56" xfId="0" applyBorder="1" applyAlignment="1">
      <alignment horizontal="left" indent="1"/>
    </xf>
    <xf numFmtId="1" fontId="0" fillId="0" borderId="59" xfId="0" applyNumberFormat="1" applyBorder="1" applyAlignment="1">
      <alignment/>
    </xf>
    <xf numFmtId="1" fontId="0" fillId="0" borderId="56" xfId="0" applyNumberFormat="1" applyBorder="1" applyAlignment="1">
      <alignment/>
    </xf>
    <xf numFmtId="0" fontId="0" fillId="0" borderId="56" xfId="0" applyFill="1" applyBorder="1" applyAlignment="1">
      <alignment/>
    </xf>
    <xf numFmtId="178" fontId="0" fillId="0" borderId="55" xfId="25" applyNumberFormat="1" applyBorder="1" applyAlignment="1">
      <alignment/>
    </xf>
    <xf numFmtId="178" fontId="0" fillId="0" borderId="57" xfId="25" applyNumberFormat="1" applyBorder="1" applyAlignment="1">
      <alignment/>
    </xf>
    <xf numFmtId="0" fontId="4" fillId="0" borderId="0" xfId="0" applyFont="1" applyFill="1" applyAlignment="1">
      <alignment/>
    </xf>
    <xf numFmtId="0" fontId="15" fillId="0" borderId="0" xfId="0" applyFont="1" applyFill="1" applyAlignment="1">
      <alignment horizontal="left" vertical="center" wrapText="1"/>
    </xf>
    <xf numFmtId="43" fontId="0" fillId="0" borderId="0" xfId="0" applyNumberFormat="1" applyFill="1" applyAlignment="1">
      <alignment/>
    </xf>
    <xf numFmtId="0" fontId="1" fillId="0" borderId="0" xfId="21" applyFont="1" applyFill="1">
      <alignment/>
      <protection/>
    </xf>
    <xf numFmtId="0" fontId="0" fillId="0" borderId="0" xfId="21" applyFont="1" applyFill="1">
      <alignment horizontal="right"/>
      <protection/>
    </xf>
    <xf numFmtId="2" fontId="1" fillId="0" borderId="0" xfId="21" applyNumberFormat="1" applyFont="1" applyFill="1">
      <alignment/>
      <protection/>
    </xf>
    <xf numFmtId="0" fontId="0" fillId="0" borderId="56" xfId="21" applyFont="1" applyFill="1" applyBorder="1" applyAlignment="1">
      <alignment horizontal="left" indent="2"/>
      <protection/>
    </xf>
    <xf numFmtId="0" fontId="0" fillId="9" borderId="14" xfId="0" applyFill="1" applyBorder="1" applyAlignment="1">
      <alignment horizontal="center"/>
    </xf>
    <xf numFmtId="0" fontId="0" fillId="0" borderId="2" xfId="0" applyFill="1" applyBorder="1" applyAlignment="1">
      <alignment horizontal="center"/>
    </xf>
    <xf numFmtId="0" fontId="0" fillId="0" borderId="14" xfId="0" applyFill="1" applyBorder="1" applyAlignment="1" quotePrefix="1">
      <alignment horizontal="center"/>
    </xf>
    <xf numFmtId="0" fontId="0" fillId="0" borderId="14" xfId="0" applyFill="1" applyBorder="1" applyAlignment="1">
      <alignment horizontal="center"/>
    </xf>
    <xf numFmtId="3" fontId="4" fillId="2" borderId="25" xfId="0" applyNumberFormat="1" applyFont="1" applyFill="1" applyBorder="1" applyAlignment="1">
      <alignment horizontal="center"/>
    </xf>
    <xf numFmtId="0" fontId="0" fillId="0" borderId="50" xfId="0" applyBorder="1" applyAlignment="1">
      <alignment vertical="center" wrapText="1"/>
    </xf>
    <xf numFmtId="0" fontId="0" fillId="0" borderId="25" xfId="0" applyBorder="1" applyAlignment="1">
      <alignment vertical="center" wrapText="1"/>
    </xf>
    <xf numFmtId="9" fontId="0" fillId="0" borderId="15" xfId="25" applyBorder="1" applyAlignment="1">
      <alignment vertical="center" wrapText="1"/>
    </xf>
    <xf numFmtId="3" fontId="0" fillId="0" borderId="15" xfId="0" applyNumberFormat="1" applyBorder="1" applyAlignment="1">
      <alignment vertical="center" wrapText="1"/>
    </xf>
    <xf numFmtId="3" fontId="0" fillId="0" borderId="59" xfId="0" applyNumberFormat="1" applyBorder="1" applyAlignment="1">
      <alignment vertical="center" wrapText="1"/>
    </xf>
    <xf numFmtId="3" fontId="0" fillId="0" borderId="15" xfId="0" applyNumberFormat="1" applyBorder="1" applyAlignment="1">
      <alignment vertical="center"/>
    </xf>
    <xf numFmtId="3" fontId="0" fillId="0" borderId="59" xfId="0" applyNumberFormat="1" applyBorder="1" applyAlignment="1">
      <alignment vertical="center"/>
    </xf>
    <xf numFmtId="9" fontId="0" fillId="0" borderId="15" xfId="0" applyNumberFormat="1" applyFill="1" applyBorder="1" applyAlignment="1">
      <alignment vertical="center"/>
    </xf>
    <xf numFmtId="3" fontId="0" fillId="0" borderId="14" xfId="0" applyNumberFormat="1" applyBorder="1" applyAlignment="1">
      <alignment vertical="center"/>
    </xf>
    <xf numFmtId="0" fontId="0" fillId="0" borderId="14" xfId="0" applyBorder="1" applyAlignment="1">
      <alignment/>
    </xf>
    <xf numFmtId="9" fontId="0" fillId="0" borderId="14" xfId="25" applyBorder="1" applyAlignment="1">
      <alignment vertical="center" wrapText="1"/>
    </xf>
    <xf numFmtId="3" fontId="0" fillId="0" borderId="64" xfId="0" applyNumberFormat="1" applyBorder="1" applyAlignment="1">
      <alignment vertical="center"/>
    </xf>
    <xf numFmtId="9" fontId="4" fillId="0" borderId="44" xfId="0" applyNumberFormat="1" applyFont="1" applyBorder="1" applyAlignment="1">
      <alignment/>
    </xf>
    <xf numFmtId="3" fontId="4" fillId="0" borderId="44" xfId="0" applyNumberFormat="1" applyFont="1" applyBorder="1" applyAlignment="1">
      <alignment/>
    </xf>
    <xf numFmtId="9" fontId="4" fillId="0" borderId="44" xfId="25" applyFont="1" applyBorder="1" applyAlignment="1">
      <alignment vertical="center" wrapText="1"/>
    </xf>
    <xf numFmtId="3" fontId="4" fillId="0" borderId="54" xfId="0" applyNumberFormat="1" applyFont="1" applyBorder="1" applyAlignment="1">
      <alignment/>
    </xf>
    <xf numFmtId="0" fontId="0" fillId="0" borderId="0" xfId="0" applyFont="1" applyAlignment="1">
      <alignment vertical="center" wrapText="1"/>
    </xf>
    <xf numFmtId="0" fontId="0" fillId="0" borderId="78" xfId="0" applyFont="1" applyBorder="1" applyAlignment="1">
      <alignment horizontal="left" vertical="center" wrapText="1"/>
    </xf>
    <xf numFmtId="0" fontId="4" fillId="0" borderId="79" xfId="0" applyFont="1" applyBorder="1" applyAlignment="1">
      <alignment horizontal="center" vertical="center" wrapTex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0" fillId="0" borderId="0" xfId="0" applyFont="1" applyAlignment="1">
      <alignment horizontal="center" vertical="center" wrapText="1"/>
    </xf>
    <xf numFmtId="0" fontId="0" fillId="0" borderId="82" xfId="0" applyFont="1" applyBorder="1" applyAlignment="1">
      <alignment horizontal="left" vertical="center" wrapText="1"/>
    </xf>
    <xf numFmtId="14" fontId="0" fillId="0" borderId="83" xfId="0" applyNumberFormat="1" applyFont="1" applyBorder="1" applyAlignment="1">
      <alignment horizontal="left" vertical="center" wrapText="1"/>
    </xf>
    <xf numFmtId="0" fontId="0" fillId="0" borderId="82" xfId="0" applyFont="1" applyBorder="1" applyAlignment="1">
      <alignmen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0" fillId="0" borderId="88" xfId="0" applyFont="1" applyBorder="1" applyAlignment="1">
      <alignment vertical="center" wrapText="1"/>
    </xf>
    <xf numFmtId="0" fontId="0" fillId="0" borderId="89" xfId="0" applyFont="1" applyBorder="1" applyAlignment="1">
      <alignment horizontal="left" vertical="center" wrapText="1"/>
    </xf>
    <xf numFmtId="0" fontId="0" fillId="0" borderId="88" xfId="0" applyFont="1" applyBorder="1" applyAlignment="1">
      <alignment horizontal="left" vertical="center" wrapText="1"/>
    </xf>
    <xf numFmtId="0" fontId="0" fillId="0" borderId="87" xfId="23" applyFont="1" applyBorder="1" applyAlignment="1">
      <alignment vertical="center" wrapText="1"/>
      <protection/>
    </xf>
    <xf numFmtId="0" fontId="0" fillId="0" borderId="0" xfId="0" applyFont="1" applyBorder="1" applyAlignment="1">
      <alignment vertical="center" wrapText="1"/>
    </xf>
    <xf numFmtId="0" fontId="0" fillId="0" borderId="87" xfId="23" applyNumberFormat="1" applyFont="1" applyBorder="1" applyAlignment="1">
      <alignment vertical="center" wrapText="1"/>
      <protection/>
    </xf>
    <xf numFmtId="0" fontId="2" fillId="0" borderId="87" xfId="20" applyBorder="1" applyAlignment="1">
      <alignment vertical="center" wrapText="1"/>
    </xf>
    <xf numFmtId="0" fontId="0" fillId="0" borderId="87" xfId="0" applyFont="1" applyBorder="1" applyAlignment="1">
      <alignment horizontal="left" vertical="center" wrapText="1"/>
    </xf>
    <xf numFmtId="0" fontId="2" fillId="0" borderId="87" xfId="20" applyBorder="1" applyAlignment="1">
      <alignment horizontal="left" vertical="center" wrapText="1"/>
    </xf>
    <xf numFmtId="0" fontId="0" fillId="0" borderId="90" xfId="0" applyFont="1" applyBorder="1" applyAlignment="1">
      <alignment vertical="center" wrapText="1"/>
    </xf>
    <xf numFmtId="0" fontId="2" fillId="0" borderId="87" xfId="20" applyFill="1" applyBorder="1" applyAlignment="1">
      <alignment vertical="center" wrapText="1"/>
    </xf>
    <xf numFmtId="2" fontId="2" fillId="0" borderId="87" xfId="20" applyBorder="1" applyAlignment="1">
      <alignment vertical="center" wrapText="1"/>
    </xf>
    <xf numFmtId="0" fontId="0" fillId="0" borderId="0" xfId="0" applyFont="1" applyBorder="1" applyAlignment="1">
      <alignment horizontal="left" vertical="center" wrapText="1"/>
    </xf>
    <xf numFmtId="0" fontId="22" fillId="0" borderId="0" xfId="0" applyFont="1" applyAlignment="1">
      <alignment vertical="center" wrapText="1"/>
    </xf>
    <xf numFmtId="0" fontId="0" fillId="0" borderId="0" xfId="0" applyAlignment="1">
      <alignment vertical="center" wrapText="1"/>
    </xf>
    <xf numFmtId="0" fontId="5" fillId="0" borderId="0" xfId="0" applyFont="1" applyAlignment="1">
      <alignment vertical="center" wrapText="1"/>
    </xf>
    <xf numFmtId="0" fontId="4" fillId="0" borderId="0" xfId="0" applyFont="1" applyAlignment="1">
      <alignment vertical="center" wrapText="1"/>
    </xf>
    <xf numFmtId="0" fontId="24" fillId="0" borderId="0" xfId="0" applyFont="1" applyAlignment="1">
      <alignment vertical="center" wrapText="1"/>
    </xf>
    <xf numFmtId="0" fontId="22" fillId="0" borderId="0" xfId="0" applyFont="1" applyAlignment="1">
      <alignment/>
    </xf>
    <xf numFmtId="0" fontId="26" fillId="0" borderId="0" xfId="0" applyFont="1" applyAlignment="1">
      <alignment/>
    </xf>
    <xf numFmtId="0" fontId="27" fillId="0" borderId="0" xfId="0" applyFont="1" applyAlignment="1">
      <alignment horizontal="right"/>
    </xf>
    <xf numFmtId="0" fontId="5" fillId="0" borderId="0" xfId="0" applyFont="1" applyAlignment="1">
      <alignment/>
    </xf>
    <xf numFmtId="14" fontId="27" fillId="0" borderId="0" xfId="0" applyNumberFormat="1" applyFont="1" applyAlignment="1">
      <alignment horizontal="right"/>
    </xf>
    <xf numFmtId="0" fontId="25" fillId="0" borderId="27" xfId="0" applyFont="1" applyBorder="1" applyAlignment="1">
      <alignment horizontal="center" vertical="center"/>
    </xf>
    <xf numFmtId="0" fontId="0" fillId="0" borderId="55" xfId="0" applyFont="1" applyBorder="1" applyAlignment="1">
      <alignment horizontal="center" vertical="center" wrapText="1"/>
    </xf>
    <xf numFmtId="0" fontId="0" fillId="0" borderId="71" xfId="0" applyFont="1" applyBorder="1" applyAlignment="1">
      <alignment horizontal="center" vertical="center" wrapText="1"/>
    </xf>
    <xf numFmtId="0" fontId="29" fillId="0" borderId="14" xfId="0" applyFont="1" applyBorder="1" applyAlignment="1">
      <alignment horizontal="center" vertical="center" wrapText="1"/>
    </xf>
    <xf numFmtId="0" fontId="0" fillId="0" borderId="5" xfId="0" applyFont="1" applyBorder="1" applyAlignment="1">
      <alignment vertical="center"/>
    </xf>
    <xf numFmtId="0" fontId="0" fillId="0" borderId="8" xfId="0" applyBorder="1" applyAlignment="1">
      <alignment vertical="center" wrapText="1"/>
    </xf>
    <xf numFmtId="9" fontId="25" fillId="2" borderId="0" xfId="0" applyNumberFormat="1" applyFont="1" applyFill="1" applyBorder="1" applyAlignment="1">
      <alignment horizontal="center" vertical="center"/>
    </xf>
    <xf numFmtId="9" fontId="0" fillId="0" borderId="8" xfId="0" applyNumberFormat="1" applyFont="1" applyBorder="1" applyAlignment="1">
      <alignment horizontal="center" vertical="center" wrapText="1"/>
    </xf>
    <xf numFmtId="0" fontId="0" fillId="0" borderId="6" xfId="0" applyFont="1" applyBorder="1" applyAlignment="1">
      <alignment horizontal="center" vertical="center" wrapText="1"/>
    </xf>
    <xf numFmtId="9" fontId="0" fillId="9" borderId="8"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0" fillId="0" borderId="5" xfId="0" applyFont="1" applyFill="1" applyBorder="1" applyAlignment="1">
      <alignment vertical="center"/>
    </xf>
    <xf numFmtId="0" fontId="9" fillId="0" borderId="0" xfId="0" applyFont="1" applyAlignment="1">
      <alignment horizontal="center" vertical="center"/>
    </xf>
    <xf numFmtId="0" fontId="0" fillId="0" borderId="12" xfId="0" applyFont="1" applyBorder="1" applyAlignment="1">
      <alignment vertical="center"/>
    </xf>
    <xf numFmtId="0" fontId="4" fillId="0" borderId="12" xfId="0" applyFont="1" applyBorder="1" applyAlignment="1">
      <alignment horizontal="left" vertical="center"/>
    </xf>
    <xf numFmtId="0" fontId="0" fillId="0" borderId="12"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 xfId="0" applyFont="1" applyBorder="1" applyAlignment="1">
      <alignment vertical="center"/>
    </xf>
    <xf numFmtId="0" fontId="0" fillId="0" borderId="14" xfId="0" applyFont="1" applyBorder="1" applyAlignment="1">
      <alignment vertical="center"/>
    </xf>
    <xf numFmtId="0" fontId="4" fillId="0" borderId="15" xfId="0" applyFont="1" applyBorder="1" applyAlignment="1">
      <alignment vertical="center"/>
    </xf>
    <xf numFmtId="0" fontId="0" fillId="0" borderId="8" xfId="0" applyFont="1" applyBorder="1" applyAlignment="1">
      <alignment vertical="center"/>
    </xf>
    <xf numFmtId="0" fontId="28" fillId="0" borderId="8" xfId="20" applyFont="1" applyBorder="1" applyAlignment="1">
      <alignment vertical="center"/>
    </xf>
    <xf numFmtId="0" fontId="28" fillId="0" borderId="7" xfId="20" applyFont="1" applyBorder="1" applyAlignment="1">
      <alignment vertical="center"/>
    </xf>
    <xf numFmtId="0" fontId="0" fillId="0" borderId="3" xfId="0" applyFont="1" applyBorder="1" applyAlignment="1">
      <alignment vertical="center"/>
    </xf>
    <xf numFmtId="0" fontId="0" fillId="0" borderId="7" xfId="0" applyFont="1" applyBorder="1" applyAlignment="1">
      <alignment vertical="center" wrapText="1"/>
    </xf>
    <xf numFmtId="0" fontId="4" fillId="0" borderId="0" xfId="0" applyFont="1" applyAlignment="1">
      <alignment horizontal="right"/>
    </xf>
    <xf numFmtId="178" fontId="18" fillId="10" borderId="15" xfId="0" applyNumberFormat="1" applyFont="1" applyFill="1" applyBorder="1" applyAlignment="1">
      <alignment horizontal="center"/>
    </xf>
    <xf numFmtId="10" fontId="0" fillId="0" borderId="0" xfId="0" applyNumberFormat="1" applyFont="1" applyAlignment="1">
      <alignment/>
    </xf>
    <xf numFmtId="0" fontId="0" fillId="0" borderId="0" xfId="0" applyFont="1" applyFill="1" applyAlignment="1">
      <alignment/>
    </xf>
    <xf numFmtId="0" fontId="4" fillId="0" borderId="0" xfId="0" applyFont="1" applyFill="1" applyAlignment="1">
      <alignment horizontal="right"/>
    </xf>
    <xf numFmtId="178" fontId="18" fillId="0" borderId="0" xfId="0" applyNumberFormat="1" applyFont="1" applyFill="1" applyBorder="1" applyAlignment="1">
      <alignment horizontal="center"/>
    </xf>
    <xf numFmtId="10" fontId="0" fillId="0" borderId="0" xfId="0" applyNumberFormat="1" applyFont="1" applyFill="1" applyAlignment="1">
      <alignment/>
    </xf>
    <xf numFmtId="178" fontId="4" fillId="0" borderId="15" xfId="0" applyNumberFormat="1" applyFont="1" applyBorder="1" applyAlignment="1">
      <alignment horizontal="center"/>
    </xf>
    <xf numFmtId="9" fontId="0" fillId="0" borderId="0" xfId="0" applyNumberFormat="1" applyFont="1" applyAlignment="1">
      <alignment/>
    </xf>
    <xf numFmtId="0" fontId="0" fillId="0" borderId="2" xfId="0" applyFill="1" applyBorder="1" applyAlignment="1">
      <alignment/>
    </xf>
    <xf numFmtId="0" fontId="0" fillId="0" borderId="1" xfId="0" applyFont="1" applyFill="1" applyBorder="1" applyAlignment="1">
      <alignment/>
    </xf>
    <xf numFmtId="0" fontId="0" fillId="0" borderId="5" xfId="0" applyFont="1" applyFill="1" applyBorder="1" applyAlignment="1">
      <alignment/>
    </xf>
    <xf numFmtId="0" fontId="4" fillId="0" borderId="5" xfId="0" applyFont="1" applyFill="1" applyBorder="1" applyAlignment="1">
      <alignment/>
    </xf>
    <xf numFmtId="179" fontId="0" fillId="0" borderId="6" xfId="0" applyNumberFormat="1" applyFont="1" applyFill="1" applyBorder="1" applyAlignment="1">
      <alignment/>
    </xf>
    <xf numFmtId="0" fontId="4" fillId="0" borderId="5" xfId="0" applyFont="1" applyFill="1" applyBorder="1" applyAlignment="1">
      <alignment/>
    </xf>
    <xf numFmtId="3" fontId="0" fillId="0" borderId="0" xfId="0" applyNumberFormat="1" applyFont="1" applyAlignment="1">
      <alignment/>
    </xf>
    <xf numFmtId="1" fontId="0" fillId="0" borderId="0" xfId="0" applyNumberFormat="1" applyFont="1" applyAlignment="1">
      <alignment/>
    </xf>
    <xf numFmtId="3" fontId="4" fillId="2" borderId="9" xfId="15" applyNumberFormat="1" applyFont="1" applyFill="1" applyBorder="1" applyAlignment="1">
      <alignment/>
    </xf>
    <xf numFmtId="0" fontId="4" fillId="0" borderId="38" xfId="0" applyFont="1" applyBorder="1" applyAlignment="1">
      <alignment horizontal="center"/>
    </xf>
    <xf numFmtId="178" fontId="4" fillId="2" borderId="69" xfId="0" applyNumberFormat="1" applyFont="1" applyFill="1" applyBorder="1" applyAlignment="1">
      <alignment horizontal="center"/>
    </xf>
    <xf numFmtId="2" fontId="4" fillId="11" borderId="19" xfId="0" applyNumberFormat="1" applyFont="1" applyFill="1" applyBorder="1" applyAlignment="1">
      <alignment/>
    </xf>
    <xf numFmtId="0" fontId="4" fillId="11" borderId="36" xfId="0" applyFont="1" applyFill="1" applyBorder="1" applyAlignment="1">
      <alignment/>
    </xf>
    <xf numFmtId="9" fontId="4" fillId="11" borderId="16" xfId="25" applyFont="1" applyFill="1" applyBorder="1" applyAlignment="1">
      <alignment/>
    </xf>
    <xf numFmtId="9" fontId="4" fillId="11" borderId="19" xfId="0" applyNumberFormat="1" applyFont="1" applyFill="1" applyBorder="1" applyAlignment="1">
      <alignment/>
    </xf>
    <xf numFmtId="178" fontId="18" fillId="10" borderId="66" xfId="0" applyNumberFormat="1" applyFont="1" applyFill="1" applyBorder="1" applyAlignment="1">
      <alignment horizontal="center"/>
    </xf>
    <xf numFmtId="3" fontId="0" fillId="2" borderId="15" xfId="15" applyNumberFormat="1" applyFill="1" applyBorder="1" applyAlignment="1">
      <alignment/>
    </xf>
    <xf numFmtId="3" fontId="0" fillId="2" borderId="15" xfId="0" applyNumberFormat="1" applyFill="1" applyBorder="1" applyAlignment="1">
      <alignment/>
    </xf>
    <xf numFmtId="3" fontId="4" fillId="11" borderId="19" xfId="0" applyNumberFormat="1" applyFont="1" applyFill="1" applyBorder="1" applyAlignment="1">
      <alignment/>
    </xf>
    <xf numFmtId="9" fontId="0" fillId="0" borderId="0" xfId="0" applyNumberFormat="1" applyAlignment="1">
      <alignment/>
    </xf>
    <xf numFmtId="0" fontId="32" fillId="0" borderId="91" xfId="0" applyFont="1" applyFill="1" applyBorder="1" applyAlignment="1">
      <alignment horizontal="center"/>
    </xf>
    <xf numFmtId="0" fontId="32" fillId="0" borderId="92" xfId="0" applyFont="1" applyBorder="1" applyAlignment="1">
      <alignment/>
    </xf>
    <xf numFmtId="0" fontId="32" fillId="0" borderId="0" xfId="0" applyFont="1" applyFill="1" applyBorder="1" applyAlignment="1">
      <alignment/>
    </xf>
    <xf numFmtId="9" fontId="25" fillId="11" borderId="16" xfId="0" applyNumberFormat="1" applyFont="1" applyFill="1" applyBorder="1" applyAlignment="1">
      <alignment/>
    </xf>
    <xf numFmtId="3" fontId="25" fillId="2" borderId="11" xfId="0" applyNumberFormat="1" applyFont="1" applyFill="1" applyBorder="1" applyAlignment="1">
      <alignment horizontal="center" vertical="center"/>
    </xf>
    <xf numFmtId="3" fontId="0" fillId="0" borderId="7" xfId="0" applyNumberFormat="1" applyFont="1" applyBorder="1" applyAlignment="1">
      <alignment horizontal="center" vertical="center"/>
    </xf>
    <xf numFmtId="3" fontId="0" fillId="9" borderId="7" xfId="15" applyNumberFormat="1" applyFont="1" applyFill="1" applyBorder="1" applyAlignment="1">
      <alignment horizontal="center" vertical="center"/>
    </xf>
    <xf numFmtId="9" fontId="25" fillId="2" borderId="13" xfId="0" applyNumberFormat="1" applyFont="1" applyFill="1" applyBorder="1" applyAlignment="1">
      <alignment horizontal="center" vertical="center"/>
    </xf>
    <xf numFmtId="9" fontId="0" fillId="0" borderId="14" xfId="0" applyNumberFormat="1" applyFont="1" applyBorder="1" applyAlignment="1">
      <alignment horizontal="center" vertical="center"/>
    </xf>
    <xf numFmtId="9" fontId="0" fillId="9" borderId="14" xfId="15" applyNumberFormat="1" applyFont="1" applyFill="1" applyBorder="1" applyAlignment="1">
      <alignment horizontal="center" vertical="center"/>
    </xf>
    <xf numFmtId="3" fontId="25" fillId="11" borderId="19" xfId="0" applyNumberFormat="1" applyFont="1" applyFill="1" applyBorder="1" applyAlignment="1">
      <alignment horizontal="right"/>
    </xf>
    <xf numFmtId="49" fontId="0" fillId="0" borderId="0" xfId="0" applyNumberFormat="1" applyFill="1" applyBorder="1" applyAlignment="1">
      <alignment/>
    </xf>
    <xf numFmtId="49" fontId="0" fillId="0" borderId="0" xfId="0" applyNumberFormat="1" applyBorder="1" applyAlignment="1">
      <alignment/>
    </xf>
    <xf numFmtId="184" fontId="15" fillId="0" borderId="0" xfId="15" applyNumberFormat="1" applyFont="1" applyBorder="1" applyAlignment="1">
      <alignment/>
    </xf>
    <xf numFmtId="1" fontId="25" fillId="2" borderId="0" xfId="0" applyNumberFormat="1" applyFont="1" applyFill="1" applyBorder="1" applyAlignment="1">
      <alignment horizontal="center" vertical="center"/>
    </xf>
    <xf numFmtId="1" fontId="0" fillId="0" borderId="8" xfId="0" applyNumberFormat="1" applyFont="1" applyBorder="1" applyAlignment="1">
      <alignment horizontal="center" vertical="center"/>
    </xf>
    <xf numFmtId="1" fontId="0" fillId="9" borderId="8" xfId="15" applyNumberFormat="1" applyFont="1" applyFill="1" applyBorder="1" applyAlignment="1">
      <alignment horizontal="center" vertical="center"/>
    </xf>
    <xf numFmtId="1" fontId="4" fillId="11" borderId="36" xfId="0" applyNumberFormat="1" applyFont="1" applyFill="1" applyBorder="1" applyAlignment="1">
      <alignment/>
    </xf>
    <xf numFmtId="49" fontId="0" fillId="0" borderId="13"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11" xfId="0" applyNumberFormat="1" applyFont="1" applyBorder="1" applyAlignment="1">
      <alignment horizontal="center" vertical="center"/>
    </xf>
    <xf numFmtId="0" fontId="9" fillId="0" borderId="0" xfId="0" applyFont="1" applyAlignment="1">
      <alignment/>
    </xf>
    <xf numFmtId="0" fontId="0" fillId="0" borderId="50" xfId="0" applyFill="1" applyBorder="1" applyAlignment="1">
      <alignment/>
    </xf>
    <xf numFmtId="0" fontId="0" fillId="0" borderId="50" xfId="0" applyFill="1" applyBorder="1" applyAlignment="1">
      <alignment wrapText="1"/>
    </xf>
    <xf numFmtId="0" fontId="0" fillId="0" borderId="55" xfId="0" applyFill="1" applyBorder="1" applyAlignment="1">
      <alignment/>
    </xf>
    <xf numFmtId="1" fontId="0" fillId="0" borderId="15" xfId="0" applyNumberFormat="1" applyFill="1" applyBorder="1" applyAlignment="1">
      <alignment/>
    </xf>
    <xf numFmtId="1" fontId="0" fillId="0" borderId="14" xfId="0" applyNumberFormat="1" applyFill="1" applyBorder="1" applyAlignment="1">
      <alignment/>
    </xf>
    <xf numFmtId="1" fontId="0" fillId="0" borderId="55" xfId="0" applyNumberFormat="1" applyFill="1" applyBorder="1" applyAlignment="1">
      <alignment/>
    </xf>
    <xf numFmtId="0" fontId="19" fillId="0" borderId="34" xfId="0" applyFont="1" applyFill="1" applyBorder="1" applyAlignment="1">
      <alignment/>
    </xf>
    <xf numFmtId="178" fontId="19" fillId="0" borderId="23" xfId="0" applyNumberFormat="1" applyFont="1" applyFill="1" applyBorder="1" applyAlignment="1">
      <alignment/>
    </xf>
    <xf numFmtId="0" fontId="19" fillId="0" borderId="29" xfId="0" applyFont="1" applyFill="1" applyBorder="1" applyAlignment="1">
      <alignment/>
    </xf>
    <xf numFmtId="0" fontId="19" fillId="0" borderId="0" xfId="0" applyFont="1" applyFill="1" applyAlignment="1">
      <alignment/>
    </xf>
    <xf numFmtId="0" fontId="0" fillId="2" borderId="0" xfId="0" applyFont="1" applyFill="1" applyAlignment="1">
      <alignment/>
    </xf>
    <xf numFmtId="3" fontId="4" fillId="2" borderId="0" xfId="0" applyNumberFormat="1" applyFont="1" applyFill="1" applyBorder="1" applyAlignment="1">
      <alignment horizontal="center"/>
    </xf>
    <xf numFmtId="3" fontId="4" fillId="12" borderId="23" xfId="0" applyNumberFormat="1" applyFont="1" applyFill="1" applyBorder="1" applyAlignment="1">
      <alignment horizontal="center"/>
    </xf>
    <xf numFmtId="3" fontId="4" fillId="12" borderId="29" xfId="0" applyNumberFormat="1" applyFont="1" applyFill="1" applyBorder="1" applyAlignment="1">
      <alignment horizontal="center"/>
    </xf>
    <xf numFmtId="0" fontId="4" fillId="9" borderId="19" xfId="0" applyFont="1" applyFill="1" applyBorder="1" applyAlignment="1">
      <alignment horizontal="center"/>
    </xf>
    <xf numFmtId="9" fontId="4" fillId="9" borderId="16" xfId="25" applyFont="1" applyFill="1" applyBorder="1" applyAlignment="1">
      <alignment horizontal="center"/>
    </xf>
    <xf numFmtId="9" fontId="4" fillId="9" borderId="19" xfId="25" applyFont="1" applyFill="1" applyBorder="1" applyAlignment="1">
      <alignment horizontal="center"/>
    </xf>
    <xf numFmtId="0" fontId="0" fillId="0" borderId="0" xfId="0" applyFill="1" applyAlignment="1">
      <alignment wrapText="1"/>
    </xf>
    <xf numFmtId="0" fontId="0" fillId="0" borderId="0" xfId="21" applyFont="1" applyFill="1" applyAlignment="1">
      <alignment wrapText="1"/>
      <protection/>
    </xf>
    <xf numFmtId="0" fontId="13" fillId="9" borderId="36" xfId="0" applyFont="1" applyFill="1" applyBorder="1" applyAlignment="1">
      <alignment/>
    </xf>
    <xf numFmtId="0" fontId="1" fillId="9" borderId="0" xfId="0" applyFont="1" applyFill="1" applyAlignment="1">
      <alignment/>
    </xf>
    <xf numFmtId="181" fontId="1" fillId="9" borderId="0" xfId="0" applyNumberFormat="1" applyFont="1" applyFill="1" applyAlignment="1">
      <alignment/>
    </xf>
    <xf numFmtId="2" fontId="1" fillId="9" borderId="0" xfId="0" applyNumberFormat="1" applyFont="1" applyFill="1" applyAlignment="1">
      <alignment/>
    </xf>
    <xf numFmtId="9" fontId="4" fillId="9" borderId="49" xfId="25" applyFont="1" applyFill="1" applyBorder="1" applyAlignment="1">
      <alignment horizontal="center" vertical="center" wrapText="1"/>
    </xf>
    <xf numFmtId="9" fontId="4" fillId="9" borderId="76" xfId="25" applyFont="1" applyFill="1" applyBorder="1" applyAlignment="1">
      <alignment horizontal="center" vertical="center" wrapText="1"/>
    </xf>
    <xf numFmtId="9" fontId="4" fillId="9" borderId="74" xfId="0" applyNumberFormat="1" applyFont="1" applyFill="1" applyBorder="1" applyAlignment="1">
      <alignment horizontal="center" vertical="center" wrapText="1"/>
    </xf>
    <xf numFmtId="9" fontId="4" fillId="9" borderId="15" xfId="25" applyFont="1" applyFill="1" applyBorder="1" applyAlignment="1">
      <alignment/>
    </xf>
    <xf numFmtId="9" fontId="0" fillId="9" borderId="15" xfId="0" applyNumberFormat="1" applyFill="1" applyBorder="1" applyAlignment="1">
      <alignment vertical="center"/>
    </xf>
    <xf numFmtId="0" fontId="0" fillId="9" borderId="14" xfId="0" applyFill="1" applyBorder="1" applyAlignment="1">
      <alignment/>
    </xf>
    <xf numFmtId="9" fontId="0" fillId="9" borderId="15" xfId="0" applyNumberFormat="1" applyFill="1" applyBorder="1" applyAlignment="1">
      <alignment horizontal="center" vertical="center"/>
    </xf>
    <xf numFmtId="9" fontId="0" fillId="9" borderId="14" xfId="0" applyNumberFormat="1" applyFill="1" applyBorder="1" applyAlignment="1">
      <alignment horizontal="center" vertical="center"/>
    </xf>
    <xf numFmtId="0" fontId="4" fillId="9" borderId="25" xfId="0" applyFont="1" applyFill="1" applyBorder="1" applyAlignment="1">
      <alignment horizontal="center" vertical="center"/>
    </xf>
    <xf numFmtId="0" fontId="4" fillId="9" borderId="57" xfId="0" applyFont="1" applyFill="1" applyBorder="1" applyAlignment="1">
      <alignment horizontal="center" vertical="center"/>
    </xf>
    <xf numFmtId="0" fontId="4" fillId="9" borderId="7" xfId="0" applyFont="1" applyFill="1" applyBorder="1" applyAlignment="1">
      <alignment horizontal="center"/>
    </xf>
    <xf numFmtId="0" fontId="4" fillId="9" borderId="15" xfId="0" applyFont="1" applyFill="1" applyBorder="1" applyAlignment="1">
      <alignment horizontal="center"/>
    </xf>
    <xf numFmtId="0" fontId="4" fillId="9" borderId="55" xfId="0" applyFont="1" applyFill="1" applyBorder="1" applyAlignment="1">
      <alignment horizontal="center"/>
    </xf>
    <xf numFmtId="0" fontId="4" fillId="9" borderId="59" xfId="0" applyFont="1" applyFill="1" applyBorder="1" applyAlignment="1">
      <alignment horizontal="center"/>
    </xf>
    <xf numFmtId="3" fontId="4" fillId="9" borderId="35" xfId="0" applyNumberFormat="1" applyFont="1" applyFill="1" applyBorder="1" applyAlignment="1">
      <alignment horizontal="center"/>
    </xf>
    <xf numFmtId="9" fontId="4" fillId="9" borderId="33" xfId="25" applyFont="1" applyFill="1" applyBorder="1" applyAlignment="1">
      <alignment horizontal="center"/>
    </xf>
    <xf numFmtId="3" fontId="4" fillId="9" borderId="32" xfId="0" applyNumberFormat="1" applyFont="1" applyFill="1" applyBorder="1" applyAlignment="1">
      <alignment horizontal="center"/>
    </xf>
    <xf numFmtId="3" fontId="4" fillId="9" borderId="19" xfId="0" applyNumberFormat="1" applyFont="1" applyFill="1" applyBorder="1" applyAlignment="1">
      <alignment horizontal="center"/>
    </xf>
    <xf numFmtId="0" fontId="4" fillId="9" borderId="0" xfId="0" applyFont="1" applyFill="1" applyAlignment="1">
      <alignment/>
    </xf>
    <xf numFmtId="3" fontId="4" fillId="9" borderId="29" xfId="0" applyNumberFormat="1" applyFont="1" applyFill="1" applyBorder="1" applyAlignment="1">
      <alignment horizontal="center"/>
    </xf>
    <xf numFmtId="9" fontId="0" fillId="0" borderId="8" xfId="0" applyNumberFormat="1" applyFont="1" applyBorder="1" applyAlignment="1">
      <alignment horizontal="center" vertical="center"/>
    </xf>
    <xf numFmtId="9" fontId="0" fillId="9" borderId="8" xfId="15" applyNumberFormat="1" applyFont="1" applyFill="1" applyBorder="1" applyAlignment="1">
      <alignment horizontal="center" vertical="center"/>
    </xf>
    <xf numFmtId="0" fontId="28" fillId="0" borderId="0" xfId="20" applyFont="1" applyBorder="1" applyAlignment="1">
      <alignment vertical="center"/>
    </xf>
    <xf numFmtId="9" fontId="25" fillId="11" borderId="36" xfId="0" applyNumberFormat="1" applyFont="1" applyFill="1" applyBorder="1" applyAlignment="1">
      <alignment/>
    </xf>
    <xf numFmtId="0" fontId="27" fillId="0" borderId="0" xfId="0" applyFont="1" applyAlignment="1">
      <alignment horizontal="right" vertical="center" wrapText="1"/>
    </xf>
    <xf numFmtId="0" fontId="27" fillId="0" borderId="0" xfId="0" applyFont="1" applyAlignment="1">
      <alignment horizontal="right" vertical="center" wrapText="1"/>
    </xf>
    <xf numFmtId="0" fontId="4" fillId="6" borderId="34" xfId="0" applyFont="1" applyFill="1" applyBorder="1" applyAlignment="1">
      <alignment horizontal="center"/>
    </xf>
    <xf numFmtId="0" fontId="4" fillId="0" borderId="34" xfId="0" applyFont="1" applyBorder="1" applyAlignment="1">
      <alignment horizontal="center"/>
    </xf>
    <xf numFmtId="0" fontId="0" fillId="0" borderId="23" xfId="0" applyBorder="1" applyAlignment="1">
      <alignment/>
    </xf>
    <xf numFmtId="0" fontId="0" fillId="0" borderId="29" xfId="0" applyBorder="1" applyAlignment="1">
      <alignment/>
    </xf>
    <xf numFmtId="0" fontId="0" fillId="0" borderId="27" xfId="0" applyBorder="1" applyAlignment="1">
      <alignment horizontal="center"/>
    </xf>
    <xf numFmtId="0" fontId="0" fillId="0" borderId="48" xfId="0" applyBorder="1" applyAlignment="1">
      <alignment horizontal="center"/>
    </xf>
    <xf numFmtId="0" fontId="4" fillId="0" borderId="54" xfId="0" applyFont="1" applyBorder="1" applyAlignment="1">
      <alignment horizontal="center"/>
    </xf>
    <xf numFmtId="0" fontId="4" fillId="0" borderId="23" xfId="0" applyFont="1" applyBorder="1" applyAlignment="1">
      <alignment horizontal="center"/>
    </xf>
    <xf numFmtId="0" fontId="4" fillId="0" borderId="29" xfId="0" applyFont="1" applyBorder="1" applyAlignment="1">
      <alignment horizontal="center"/>
    </xf>
    <xf numFmtId="0" fontId="4" fillId="8" borderId="1" xfId="0" applyFont="1" applyFill="1" applyBorder="1" applyAlignment="1">
      <alignment horizontal="center"/>
    </xf>
    <xf numFmtId="0" fontId="4" fillId="8" borderId="2" xfId="0" applyFont="1" applyFill="1" applyBorder="1" applyAlignment="1">
      <alignment horizontal="center"/>
    </xf>
    <xf numFmtId="0" fontId="0" fillId="8" borderId="0" xfId="0" applyFill="1" applyAlignment="1">
      <alignment horizontal="center"/>
    </xf>
    <xf numFmtId="9" fontId="4" fillId="9" borderId="12" xfId="25" applyFont="1" applyFill="1" applyBorder="1" applyAlignment="1">
      <alignment/>
    </xf>
    <xf numFmtId="9" fontId="4" fillId="9" borderId="9" xfId="25" applyFont="1" applyFill="1" applyBorder="1" applyAlignment="1">
      <alignment/>
    </xf>
    <xf numFmtId="0" fontId="4" fillId="0" borderId="58" xfId="0" applyFont="1" applyBorder="1" applyAlignment="1">
      <alignment horizontal="left" wrapText="1"/>
    </xf>
    <xf numFmtId="0" fontId="4" fillId="0" borderId="55" xfId="0" applyFont="1" applyBorder="1" applyAlignment="1">
      <alignment horizontal="left" wrapText="1"/>
    </xf>
    <xf numFmtId="0" fontId="4" fillId="0" borderId="57" xfId="0" applyFont="1" applyBorder="1" applyAlignment="1">
      <alignment horizontal="left" wrapText="1"/>
    </xf>
    <xf numFmtId="0" fontId="4" fillId="0" borderId="18" xfId="0" applyFont="1" applyBorder="1" applyAlignment="1">
      <alignment horizontal="center"/>
    </xf>
    <xf numFmtId="0" fontId="4" fillId="0" borderId="26" xfId="0" applyFont="1" applyBorder="1" applyAlignment="1">
      <alignment horizontal="center"/>
    </xf>
    <xf numFmtId="0" fontId="4" fillId="0" borderId="35" xfId="0" applyFont="1" applyBorder="1" applyAlignment="1">
      <alignment horizontal="center"/>
    </xf>
    <xf numFmtId="0" fontId="4" fillId="0" borderId="28" xfId="0" applyFont="1" applyBorder="1" applyAlignment="1">
      <alignment horizontal="center"/>
    </xf>
    <xf numFmtId="0" fontId="4" fillId="0" borderId="44" xfId="0" applyFont="1" applyBorder="1" applyAlignment="1">
      <alignment horizontal="center"/>
    </xf>
    <xf numFmtId="0" fontId="22" fillId="0" borderId="0" xfId="0" applyFont="1" applyAlignment="1">
      <alignment horizontal="center" vertical="center" wrapText="1"/>
    </xf>
    <xf numFmtId="0" fontId="0" fillId="0" borderId="93" xfId="0" applyFont="1" applyBorder="1" applyAlignment="1">
      <alignment horizontal="left" vertical="center" wrapText="1"/>
    </xf>
    <xf numFmtId="0" fontId="0" fillId="0" borderId="94" xfId="0" applyFont="1" applyBorder="1" applyAlignment="1">
      <alignment horizontal="left" vertical="center" wrapText="1"/>
    </xf>
    <xf numFmtId="0" fontId="0" fillId="0" borderId="94" xfId="0" applyFont="1" applyBorder="1" applyAlignment="1">
      <alignment horizontal="left" vertical="top" wrapText="1"/>
    </xf>
    <xf numFmtId="0" fontId="0" fillId="0" borderId="95" xfId="0" applyFont="1" applyBorder="1" applyAlignment="1">
      <alignment horizontal="left" vertical="top"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wrapText="1"/>
    </xf>
    <xf numFmtId="0" fontId="19" fillId="0" borderId="14" xfId="0" applyFont="1" applyBorder="1" applyAlignment="1">
      <alignment horizontal="left" vertical="center"/>
    </xf>
    <xf numFmtId="0" fontId="19" fillId="0" borderId="45" xfId="0" applyFont="1" applyBorder="1" applyAlignment="1">
      <alignment horizontal="left"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9" xfId="0" applyFont="1" applyBorder="1" applyAlignment="1">
      <alignment horizontal="center" vertical="center"/>
    </xf>
    <xf numFmtId="0" fontId="4" fillId="0" borderId="10" xfId="0" applyFont="1" applyBorder="1" applyAlignment="1">
      <alignment horizontal="center"/>
    </xf>
    <xf numFmtId="0" fontId="4" fillId="0" borderId="12" xfId="0" applyFont="1" applyBorder="1" applyAlignment="1">
      <alignment horizontal="center"/>
    </xf>
    <xf numFmtId="3" fontId="4" fillId="0" borderId="34" xfId="0" applyNumberFormat="1" applyFont="1" applyBorder="1" applyAlignment="1">
      <alignment horizontal="left"/>
    </xf>
    <xf numFmtId="3" fontId="4" fillId="0" borderId="23" xfId="0" applyNumberFormat="1" applyFont="1" applyBorder="1" applyAlignment="1">
      <alignment horizontal="left"/>
    </xf>
    <xf numFmtId="0" fontId="4" fillId="0" borderId="9" xfId="0" applyFont="1" applyBorder="1" applyAlignment="1">
      <alignment horizontal="center"/>
    </xf>
    <xf numFmtId="0" fontId="4" fillId="2" borderId="10" xfId="0" applyFont="1" applyFill="1" applyBorder="1" applyAlignment="1">
      <alignment horizontal="left"/>
    </xf>
    <xf numFmtId="0" fontId="4" fillId="2" borderId="9" xfId="0" applyFont="1" applyFill="1" applyBorder="1" applyAlignment="1">
      <alignment horizontal="left"/>
    </xf>
    <xf numFmtId="0" fontId="4" fillId="0" borderId="10" xfId="0" applyFont="1" applyFill="1" applyBorder="1" applyAlignment="1">
      <alignment horizontal="center"/>
    </xf>
    <xf numFmtId="0" fontId="4" fillId="0" borderId="9" xfId="0" applyFont="1" applyFill="1" applyBorder="1" applyAlignment="1">
      <alignment horizontal="center"/>
    </xf>
    <xf numFmtId="3" fontId="4" fillId="0" borderId="34" xfId="0" applyNumberFormat="1" applyFont="1" applyFill="1" applyBorder="1" applyAlignment="1">
      <alignment horizontal="left"/>
    </xf>
    <xf numFmtId="3" fontId="4" fillId="0" borderId="23" xfId="0" applyNumberFormat="1" applyFont="1" applyFill="1" applyBorder="1" applyAlignment="1">
      <alignment horizontal="left"/>
    </xf>
    <xf numFmtId="9" fontId="4" fillId="9" borderId="10" xfId="25" applyFont="1" applyFill="1" applyBorder="1" applyAlignment="1">
      <alignment/>
    </xf>
    <xf numFmtId="0" fontId="4" fillId="6" borderId="23" xfId="0" applyFont="1" applyFill="1" applyBorder="1" applyAlignment="1">
      <alignment horizontal="center"/>
    </xf>
    <xf numFmtId="0" fontId="4" fillId="6" borderId="29" xfId="0" applyFont="1" applyFill="1" applyBorder="1" applyAlignment="1">
      <alignment horizontal="center"/>
    </xf>
    <xf numFmtId="0" fontId="0" fillId="6" borderId="61" xfId="0" applyFill="1" applyBorder="1" applyAlignment="1">
      <alignment horizontal="center"/>
    </xf>
    <xf numFmtId="0" fontId="0" fillId="6" borderId="42" xfId="0" applyFill="1" applyBorder="1" applyAlignment="1">
      <alignment horizontal="center"/>
    </xf>
    <xf numFmtId="0" fontId="4" fillId="0" borderId="51" xfId="0" applyFont="1" applyBorder="1" applyAlignment="1">
      <alignment horizontal="left"/>
    </xf>
    <xf numFmtId="0" fontId="4" fillId="0" borderId="50" xfId="0" applyFont="1" applyBorder="1" applyAlignment="1">
      <alignment horizontal="left"/>
    </xf>
    <xf numFmtId="0" fontId="4" fillId="0" borderId="25" xfId="0" applyFont="1" applyBorder="1" applyAlignment="1">
      <alignment horizontal="left"/>
    </xf>
    <xf numFmtId="3" fontId="4" fillId="0" borderId="56" xfId="0" applyNumberFormat="1" applyFont="1" applyBorder="1" applyAlignment="1">
      <alignment horizontal="left"/>
    </xf>
    <xf numFmtId="3" fontId="4" fillId="0" borderId="15" xfId="0" applyNumberFormat="1" applyFont="1" applyBorder="1" applyAlignment="1">
      <alignment horizontal="left"/>
    </xf>
    <xf numFmtId="3" fontId="4" fillId="0" borderId="59" xfId="0" applyNumberFormat="1" applyFont="1" applyBorder="1" applyAlignment="1">
      <alignment horizontal="left"/>
    </xf>
    <xf numFmtId="0" fontId="13" fillId="9" borderId="16" xfId="0" applyFont="1" applyFill="1" applyBorder="1" applyAlignment="1">
      <alignment horizontal="right" vertical="center"/>
    </xf>
    <xf numFmtId="0" fontId="13" fillId="9" borderId="17" xfId="0" applyFont="1" applyFill="1" applyBorder="1" applyAlignment="1">
      <alignment horizontal="right" vertical="center"/>
    </xf>
    <xf numFmtId="0" fontId="13" fillId="9" borderId="36" xfId="0" applyFont="1" applyFill="1" applyBorder="1" applyAlignment="1">
      <alignment horizontal="right" vertical="center"/>
    </xf>
    <xf numFmtId="0" fontId="0" fillId="9" borderId="1" xfId="0" applyFill="1" applyBorder="1" applyAlignment="1">
      <alignment horizontal="center" vertical="center" wrapText="1"/>
    </xf>
    <xf numFmtId="0" fontId="0" fillId="9" borderId="13" xfId="0" applyFill="1" applyBorder="1" applyAlignment="1">
      <alignment horizontal="center" vertical="center" wrapText="1"/>
    </xf>
    <xf numFmtId="0" fontId="0" fillId="9" borderId="2" xfId="0" applyFill="1" applyBorder="1" applyAlignment="1">
      <alignment horizontal="center" vertical="center" wrapText="1"/>
    </xf>
    <xf numFmtId="0" fontId="0" fillId="9" borderId="5" xfId="0" applyFill="1" applyBorder="1" applyAlignment="1">
      <alignment horizontal="center" vertical="center" wrapText="1"/>
    </xf>
    <xf numFmtId="0" fontId="0" fillId="9" borderId="0" xfId="0" applyFill="1" applyBorder="1" applyAlignment="1">
      <alignment horizontal="center" vertical="center" wrapText="1"/>
    </xf>
    <xf numFmtId="0" fontId="0" fillId="9" borderId="6" xfId="0" applyFill="1" applyBorder="1" applyAlignment="1">
      <alignment horizontal="center" vertical="center" wrapText="1"/>
    </xf>
    <xf numFmtId="0" fontId="0" fillId="9" borderId="3" xfId="0" applyFill="1" applyBorder="1" applyAlignment="1">
      <alignment horizontal="center" vertical="center" wrapText="1"/>
    </xf>
    <xf numFmtId="0" fontId="0" fillId="9" borderId="11" xfId="0" applyFill="1" applyBorder="1" applyAlignment="1">
      <alignment horizontal="center" vertical="center" wrapText="1"/>
    </xf>
    <xf numFmtId="0" fontId="0" fillId="9" borderId="4" xfId="0" applyFill="1" applyBorder="1" applyAlignment="1">
      <alignment horizontal="center" vertical="center" wrapText="1"/>
    </xf>
    <xf numFmtId="0" fontId="4" fillId="0" borderId="0" xfId="0" applyFont="1" applyBorder="1" applyAlignment="1">
      <alignment horizontal="left"/>
    </xf>
    <xf numFmtId="0" fontId="4" fillId="0" borderId="27" xfId="0" applyFont="1" applyBorder="1" applyAlignment="1">
      <alignment horizontal="left"/>
    </xf>
    <xf numFmtId="0" fontId="0" fillId="0" borderId="51" xfId="0" applyFill="1" applyBorder="1" applyAlignment="1">
      <alignment horizontal="left" vertical="center" wrapText="1"/>
    </xf>
    <xf numFmtId="0" fontId="0" fillId="0" borderId="50" xfId="0"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4" fillId="0" borderId="61" xfId="0" applyFont="1" applyBorder="1" applyAlignment="1">
      <alignment horizontal="left"/>
    </xf>
    <xf numFmtId="0" fontId="4" fillId="0" borderId="42" xfId="0" applyFont="1" applyBorder="1" applyAlignment="1">
      <alignment horizontal="left"/>
    </xf>
    <xf numFmtId="0" fontId="4" fillId="0" borderId="34" xfId="0" applyFont="1" applyBorder="1" applyAlignment="1">
      <alignment horizontal="left" vertical="center" wrapText="1"/>
    </xf>
    <xf numFmtId="0" fontId="4" fillId="0" borderId="43" xfId="0" applyFont="1" applyBorder="1" applyAlignment="1">
      <alignment horizontal="left" vertical="center" wrapText="1"/>
    </xf>
    <xf numFmtId="0" fontId="15" fillId="0" borderId="0" xfId="0" applyFont="1" applyAlignment="1">
      <alignment horizontal="left" vertical="center" wrapText="1"/>
    </xf>
    <xf numFmtId="0" fontId="4" fillId="0" borderId="58" xfId="0" applyFont="1" applyBorder="1" applyAlignment="1">
      <alignment horizontal="left"/>
    </xf>
    <xf numFmtId="0" fontId="4" fillId="0" borderId="55" xfId="0" applyFont="1" applyBorder="1" applyAlignment="1">
      <alignment horizontal="left"/>
    </xf>
    <xf numFmtId="0" fontId="0" fillId="0" borderId="0" xfId="0" applyAlignment="1">
      <alignment horizontal="left" vertical="center" wrapText="1"/>
    </xf>
    <xf numFmtId="0" fontId="15" fillId="0" borderId="0" xfId="0" applyFont="1" applyAlignment="1">
      <alignment vertical="center" wrapText="1"/>
    </xf>
    <xf numFmtId="0" fontId="0" fillId="0" borderId="0" xfId="0" applyAlignment="1">
      <alignment/>
    </xf>
    <xf numFmtId="0" fontId="4" fillId="0" borderId="65"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0" borderId="66" xfId="0" applyFont="1" applyBorder="1" applyAlignment="1">
      <alignment horizontal="left" vertical="center" wrapText="1" indent="1"/>
    </xf>
    <xf numFmtId="0" fontId="4" fillId="0" borderId="71" xfId="0" applyFont="1" applyBorder="1" applyAlignment="1">
      <alignment horizontal="left" vertical="center" wrapText="1" indent="1"/>
    </xf>
    <xf numFmtId="0" fontId="0" fillId="0" borderId="51" xfId="0" applyBorder="1" applyAlignment="1">
      <alignment horizontal="left"/>
    </xf>
    <xf numFmtId="0" fontId="0" fillId="0" borderId="50" xfId="0" applyBorder="1" applyAlignment="1">
      <alignment horizontal="left"/>
    </xf>
    <xf numFmtId="0" fontId="0" fillId="0" borderId="0" xfId="0" applyAlignment="1">
      <alignment horizontal="center" vertical="center" wrapText="1"/>
    </xf>
    <xf numFmtId="0" fontId="0" fillId="0" borderId="0" xfId="0" applyBorder="1" applyAlignment="1">
      <alignment horizontal="center" vertical="center" wrapText="1"/>
    </xf>
    <xf numFmtId="0" fontId="8" fillId="0" borderId="0" xfId="0" applyFont="1" applyFill="1" applyBorder="1" applyAlignment="1">
      <alignment horizontal="left" vertical="center" wrapText="1"/>
    </xf>
    <xf numFmtId="0" fontId="0" fillId="0" borderId="58" xfId="0" applyBorder="1" applyAlignment="1">
      <alignment horizontal="left"/>
    </xf>
    <xf numFmtId="0" fontId="0" fillId="0" borderId="55" xfId="0" applyBorder="1" applyAlignment="1">
      <alignment horizontal="left"/>
    </xf>
    <xf numFmtId="0" fontId="0" fillId="0" borderId="27" xfId="0" applyBorder="1" applyAlignment="1">
      <alignment horizontal="center" vertical="center" wrapText="1"/>
    </xf>
    <xf numFmtId="3" fontId="4" fillId="0" borderId="0" xfId="0" applyNumberFormat="1" applyFont="1" applyBorder="1" applyAlignment="1">
      <alignment horizontal="right"/>
    </xf>
    <xf numFmtId="0" fontId="0" fillId="0" borderId="30" xfId="0"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53" xfId="0" applyFont="1" applyBorder="1" applyAlignment="1">
      <alignment horizontal="center"/>
    </xf>
    <xf numFmtId="0" fontId="31" fillId="0" borderId="96" xfId="0" applyFont="1" applyBorder="1" applyAlignment="1">
      <alignment horizontal="center"/>
    </xf>
    <xf numFmtId="0" fontId="31" fillId="0" borderId="97" xfId="0" applyFont="1" applyBorder="1" applyAlignment="1">
      <alignment horizontal="center"/>
    </xf>
    <xf numFmtId="0" fontId="31" fillId="0" borderId="98" xfId="0" applyFont="1" applyBorder="1" applyAlignment="1">
      <alignment horizontal="center"/>
    </xf>
    <xf numFmtId="0" fontId="32" fillId="0" borderId="96" xfId="0" applyFont="1" applyFill="1" applyBorder="1" applyAlignment="1">
      <alignment horizontal="center"/>
    </xf>
    <xf numFmtId="0" fontId="32" fillId="0" borderId="97" xfId="0" applyFont="1" applyFill="1" applyBorder="1" applyAlignment="1">
      <alignment horizontal="center"/>
    </xf>
    <xf numFmtId="0" fontId="32" fillId="0" borderId="98" xfId="0" applyFont="1" applyFill="1" applyBorder="1" applyAlignment="1">
      <alignment horizontal="center"/>
    </xf>
    <xf numFmtId="0" fontId="32" fillId="0" borderId="99" xfId="0" applyFont="1" applyFill="1" applyBorder="1" applyAlignment="1">
      <alignment horizontal="center"/>
    </xf>
    <xf numFmtId="0" fontId="32" fillId="0" borderId="92" xfId="0" applyFont="1" applyFill="1" applyBorder="1" applyAlignment="1">
      <alignment horizontal="center"/>
    </xf>
    <xf numFmtId="0" fontId="4" fillId="0" borderId="0" xfId="0" applyFont="1" applyAlignment="1">
      <alignment horizontal="center"/>
    </xf>
    <xf numFmtId="0" fontId="0" fillId="0" borderId="14"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1" fillId="0" borderId="18" xfId="0" applyFont="1" applyBorder="1" applyAlignment="1">
      <alignment horizontal="center" wrapText="1"/>
    </xf>
    <xf numFmtId="0" fontId="0" fillId="0" borderId="26" xfId="0" applyBorder="1" applyAlignment="1">
      <alignment horizontal="center" wrapText="1"/>
    </xf>
    <xf numFmtId="0" fontId="0" fillId="0" borderId="35" xfId="0" applyBorder="1" applyAlignment="1">
      <alignment horizontal="center" wrapText="1"/>
    </xf>
    <xf numFmtId="0" fontId="0" fillId="0" borderId="30" xfId="0" applyBorder="1" applyAlignment="1">
      <alignment horizontal="center" wrapText="1"/>
    </xf>
    <xf numFmtId="0" fontId="0" fillId="0" borderId="0" xfId="0" applyBorder="1" applyAlignment="1">
      <alignment horizontal="center" wrapText="1"/>
    </xf>
    <xf numFmtId="0" fontId="0" fillId="0" borderId="33" xfId="0" applyBorder="1" applyAlignment="1">
      <alignment horizontal="center" wrapText="1"/>
    </xf>
    <xf numFmtId="0" fontId="0" fillId="0" borderId="31" xfId="0" applyBorder="1" applyAlignment="1">
      <alignment horizontal="center" wrapText="1"/>
    </xf>
    <xf numFmtId="0" fontId="0" fillId="0" borderId="27" xfId="0" applyBorder="1" applyAlignment="1">
      <alignment horizontal="center" wrapText="1"/>
    </xf>
    <xf numFmtId="0" fontId="0" fillId="0" borderId="32" xfId="0" applyBorder="1" applyAlignment="1">
      <alignment horizontal="center" wrapText="1"/>
    </xf>
    <xf numFmtId="0" fontId="0" fillId="0" borderId="1" xfId="0" applyBorder="1" applyAlignment="1">
      <alignment horizontal="center"/>
    </xf>
    <xf numFmtId="0" fontId="0" fillId="0" borderId="13"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1" xfId="0" applyBorder="1" applyAlignment="1">
      <alignment horizontal="center"/>
    </xf>
    <xf numFmtId="0" fontId="0" fillId="0" borderId="4" xfId="0" applyBorder="1" applyAlignment="1">
      <alignment horizontal="center"/>
    </xf>
    <xf numFmtId="0" fontId="0" fillId="0" borderId="8" xfId="0" applyBorder="1" applyAlignment="1">
      <alignment horizontal="center"/>
    </xf>
    <xf numFmtId="0" fontId="4" fillId="0" borderId="1" xfId="0" applyFont="1" applyBorder="1" applyAlignment="1">
      <alignment horizontal="center"/>
    </xf>
    <xf numFmtId="0" fontId="4" fillId="0" borderId="13" xfId="0" applyFont="1" applyBorder="1" applyAlignment="1">
      <alignment horizontal="center"/>
    </xf>
    <xf numFmtId="0" fontId="4" fillId="0" borderId="2" xfId="0" applyFont="1" applyBorder="1" applyAlignment="1">
      <alignment horizontal="center"/>
    </xf>
    <xf numFmtId="0" fontId="0" fillId="0" borderId="34" xfId="0" applyBorder="1" applyAlignment="1">
      <alignment horizontal="center"/>
    </xf>
    <xf numFmtId="0" fontId="0" fillId="0" borderId="23" xfId="0" applyBorder="1" applyAlignment="1">
      <alignment horizontal="center"/>
    </xf>
    <xf numFmtId="0" fontId="0" fillId="0" borderId="29" xfId="0" applyBorder="1" applyAlignment="1">
      <alignment horizontal="center"/>
    </xf>
    <xf numFmtId="0" fontId="0" fillId="0" borderId="18" xfId="0" applyBorder="1" applyAlignment="1">
      <alignment horizontal="center" wrapText="1"/>
    </xf>
    <xf numFmtId="0" fontId="0" fillId="0" borderId="16" xfId="0" applyBorder="1" applyAlignment="1">
      <alignment horizontal="center"/>
    </xf>
    <xf numFmtId="0" fontId="0" fillId="0" borderId="36" xfId="0" applyBorder="1" applyAlignment="1">
      <alignment horizontal="center"/>
    </xf>
    <xf numFmtId="0" fontId="0" fillId="0" borderId="8" xfId="0" applyFont="1" applyBorder="1" applyAlignment="1">
      <alignment vertical="center" wrapText="1"/>
    </xf>
    <xf numFmtId="0" fontId="0" fillId="0" borderId="0" xfId="0" applyFill="1" applyAlignment="1">
      <alignment horizontal="center"/>
    </xf>
    <xf numFmtId="0" fontId="36" fillId="0" borderId="0" xfId="0" applyFont="1" applyAlignment="1">
      <alignment/>
    </xf>
    <xf numFmtId="0" fontId="19" fillId="0" borderId="0" xfId="0" applyFont="1" applyAlignment="1">
      <alignment/>
    </xf>
  </cellXfs>
  <cellStyles count="12">
    <cellStyle name="Normal" xfId="0"/>
    <cellStyle name="Comma" xfId="15"/>
    <cellStyle name="Comma [0]" xfId="16"/>
    <cellStyle name="Currency" xfId="17"/>
    <cellStyle name="Currency [0]" xfId="18"/>
    <cellStyle name="Followed Hyperlink" xfId="19"/>
    <cellStyle name="Hyperlink" xfId="20"/>
    <cellStyle name="Normal_COMYRB" xfId="21"/>
    <cellStyle name="Normal_DT_30" xfId="22"/>
    <cellStyle name="Normal_FeederRoadAnalysis_IM_Clean - v4" xfId="23"/>
    <cellStyle name="Normal_PROYRS" xfId="24"/>
    <cellStyle name="Percent" xfId="25"/>
  </cellStyles>
  <dxfs count="2">
    <dxf>
      <font>
        <color rgb="FFFFFFFF"/>
      </font>
      <fill>
        <patternFill patternType="none">
          <bgColor indexed="65"/>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Undiscounted annual net benefits of Alatona Irrigation Project</a:t>
            </a:r>
          </a:p>
        </c:rich>
      </c:tx>
      <c:layout/>
      <c:spPr>
        <a:noFill/>
        <a:ln>
          <a:noFill/>
        </a:ln>
      </c:spPr>
    </c:title>
    <c:plotArea>
      <c:layout/>
      <c:areaChart>
        <c:grouping val="standard"/>
        <c:varyColors val="0"/>
        <c:ser>
          <c:idx val="0"/>
          <c:order val="0"/>
          <c:spPr>
            <a:solidFill>
              <a:srgbClr val="0066CC"/>
            </a:solidFill>
          </c:spPr>
          <c:extLst>
            <c:ext xmlns:c14="http://schemas.microsoft.com/office/drawing/2007/8/2/chart" uri="{6F2FDCE9-48DA-4B69-8628-5D25D57E5C99}">
              <c14:invertSolidFillFmt>
                <c14:spPr>
                  <a:solidFill>
                    <a:srgbClr val="FFFFFF"/>
                  </a:solidFill>
                </c14:spPr>
              </c14:invertSolidFillFmt>
            </c:ext>
          </c:extLst>
          <c:val>
            <c:numRef>
              <c:f>'Summary ERRs'!$C$88:$AA$88</c:f>
              <c:numCache>
                <c:ptCount val="25"/>
                <c:pt idx="0">
                  <c:v>-30547.19749888267</c:v>
                </c:pt>
                <c:pt idx="1">
                  <c:v>-67275.51113835527</c:v>
                </c:pt>
                <c:pt idx="2">
                  <c:v>-64293.488679083166</c:v>
                </c:pt>
                <c:pt idx="3">
                  <c:v>-43443.89428675681</c:v>
                </c:pt>
                <c:pt idx="4">
                  <c:v>-10808.290488158827</c:v>
                </c:pt>
                <c:pt idx="5">
                  <c:v>20377.88657962486</c:v>
                </c:pt>
                <c:pt idx="6">
                  <c:v>35344.748725591555</c:v>
                </c:pt>
                <c:pt idx="7">
                  <c:v>37853.82990242618</c:v>
                </c:pt>
                <c:pt idx="8">
                  <c:v>50403.07795599638</c:v>
                </c:pt>
                <c:pt idx="9">
                  <c:v>50985.20810671385</c:v>
                </c:pt>
                <c:pt idx="10">
                  <c:v>62603.622248076266</c:v>
                </c:pt>
                <c:pt idx="11">
                  <c:v>62752.85960710223</c:v>
                </c:pt>
                <c:pt idx="12">
                  <c:v>62908.17091999282</c:v>
                </c:pt>
                <c:pt idx="13">
                  <c:v>63069.81824701866</c:v>
                </c:pt>
                <c:pt idx="14">
                  <c:v>60007.306271572</c:v>
                </c:pt>
                <c:pt idx="15">
                  <c:v>63413.22900923373</c:v>
                </c:pt>
                <c:pt idx="16">
                  <c:v>63595.57808193877</c:v>
                </c:pt>
                <c:pt idx="17">
                  <c:v>63785.43563546102</c:v>
                </c:pt>
                <c:pt idx="18">
                  <c:v>63983.1288246568</c:v>
                </c:pt>
                <c:pt idx="19">
                  <c:v>64188.9997140497</c:v>
                </c:pt>
                <c:pt idx="20">
                  <c:v>64403.405979871706</c:v>
                </c:pt>
                <c:pt idx="21">
                  <c:v>64626.72164590305</c:v>
                </c:pt>
                <c:pt idx="22">
                  <c:v>64859.337854761754</c:v>
                </c:pt>
                <c:pt idx="23">
                  <c:v>65101.66367637494</c:v>
                </c:pt>
                <c:pt idx="24">
                  <c:v>98504.12695544971</c:v>
                </c:pt>
              </c:numCache>
            </c:numRef>
          </c:val>
        </c:ser>
        <c:axId val="6002226"/>
        <c:axId val="54020035"/>
      </c:areaChart>
      <c:catAx>
        <c:axId val="6002226"/>
        <c:scaling>
          <c:orientation val="minMax"/>
        </c:scaling>
        <c:axPos val="b"/>
        <c:title>
          <c:tx>
            <c:rich>
              <a:bodyPr vert="horz" rot="0" anchor="ctr"/>
              <a:lstStyle/>
              <a:p>
                <a:pPr algn="ctr">
                  <a:defRPr/>
                </a:pPr>
                <a:r>
                  <a:rPr lang="en-US" cap="none" sz="9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4020035"/>
        <c:crosses val="autoZero"/>
        <c:auto val="1"/>
        <c:lblOffset val="100"/>
        <c:noMultiLvlLbl val="0"/>
      </c:catAx>
      <c:valAx>
        <c:axId val="54020035"/>
        <c:scaling>
          <c:orientation val="minMax"/>
        </c:scaling>
        <c:axPos val="l"/>
        <c:title>
          <c:tx>
            <c:rich>
              <a:bodyPr vert="horz" rot="-5400000" anchor="ctr"/>
              <a:lstStyle/>
              <a:p>
                <a:pPr algn="ctr">
                  <a:defRPr/>
                </a:pPr>
                <a:r>
                  <a:rPr lang="en-US" cap="none" sz="975" b="1" i="0" u="none" baseline="0">
                    <a:latin typeface="Arial"/>
                    <a:ea typeface="Arial"/>
                    <a:cs typeface="Arial"/>
                  </a:rPr>
                  <a:t>US$</a:t>
                </a:r>
              </a:p>
            </c:rich>
          </c:tx>
          <c:layout/>
          <c:overlay val="0"/>
          <c:spPr>
            <a:noFill/>
            <a:ln>
              <a:noFill/>
            </a:ln>
          </c:spPr>
        </c:title>
        <c:majorGridlines/>
        <c:delete val="0"/>
        <c:numFmt formatCode="General" sourceLinked="1"/>
        <c:majorTickMark val="out"/>
        <c:minorTickMark val="none"/>
        <c:tickLblPos val="nextTo"/>
        <c:crossAx val="6002226"/>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Distribution of ERR Given Uncertainty in Key Parameters
</a:t>
            </a:r>
            <a:r>
              <a:rPr lang="en-US" cap="none" sz="800" b="1" i="0" u="none" baseline="0">
                <a:latin typeface="Arial"/>
                <a:ea typeface="Arial"/>
                <a:cs typeface="Arial"/>
              </a:rPr>
              <a:t>(as of 8/31/2006)</a:t>
            </a:r>
          </a:p>
        </c:rich>
      </c:tx>
      <c:layout/>
      <c:spPr>
        <a:noFill/>
        <a:ln>
          <a:noFill/>
        </a:ln>
      </c:spPr>
    </c:title>
    <c:plotArea>
      <c:layout>
        <c:manualLayout>
          <c:xMode val="edge"/>
          <c:yMode val="edge"/>
          <c:x val="0.0405"/>
          <c:y val="0.14375"/>
          <c:w val="0.94675"/>
          <c:h val="0.82475"/>
        </c:manualLayout>
      </c:layout>
      <c:barChart>
        <c:barDir val="col"/>
        <c:grouping val="stack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0"/>
              <c:pt idx="0">
                <c:v>0.13269148338303824</c:v>
              </c:pt>
              <c:pt idx="10">
                <c:v>0.14278041774494507</c:v>
              </c:pt>
              <c:pt idx="20">
                <c:v>0.15286935210685193</c:v>
              </c:pt>
              <c:pt idx="30">
                <c:v>0.16295828646875876</c:v>
              </c:pt>
              <c:pt idx="40">
                <c:v>0.17304722083066562</c:v>
              </c:pt>
              <c:pt idx="49">
                <c:v>0.18212726175638178</c:v>
              </c:pt>
            </c:strLit>
          </c:cat>
          <c:val>
            <c:numLit>
              <c:ptCount val="50"/>
              <c:pt idx="0">
                <c:v>3</c:v>
              </c:pt>
              <c:pt idx="1">
                <c:v>7</c:v>
              </c:pt>
              <c:pt idx="2">
                <c:v>12</c:v>
              </c:pt>
              <c:pt idx="3">
                <c:v>14</c:v>
              </c:pt>
              <c:pt idx="4">
                <c:v>35</c:v>
              </c:pt>
              <c:pt idx="5">
                <c:v>56</c:v>
              </c:pt>
              <c:pt idx="6">
                <c:v>67</c:v>
              </c:pt>
              <c:pt idx="7">
                <c:v>79</c:v>
              </c:pt>
              <c:pt idx="8">
                <c:v>99</c:v>
              </c:pt>
              <c:pt idx="9">
                <c:v>115</c:v>
              </c:pt>
              <c:pt idx="10">
                <c:v>157</c:v>
              </c:pt>
              <c:pt idx="11">
                <c:v>199</c:v>
              </c:pt>
              <c:pt idx="12">
                <c:v>199</c:v>
              </c:pt>
              <c:pt idx="13">
                <c:v>227</c:v>
              </c:pt>
              <c:pt idx="14">
                <c:v>269</c:v>
              </c:pt>
              <c:pt idx="15">
                <c:v>309</c:v>
              </c:pt>
              <c:pt idx="16">
                <c:v>312</c:v>
              </c:pt>
              <c:pt idx="17">
                <c:v>337</c:v>
              </c:pt>
              <c:pt idx="18">
                <c:v>306</c:v>
              </c:pt>
              <c:pt idx="19">
                <c:v>367</c:v>
              </c:pt>
              <c:pt idx="20">
                <c:v>402</c:v>
              </c:pt>
              <c:pt idx="21">
                <c:v>444</c:v>
              </c:pt>
              <c:pt idx="22">
                <c:v>396</c:v>
              </c:pt>
              <c:pt idx="23">
                <c:v>452</c:v>
              </c:pt>
              <c:pt idx="24">
                <c:v>459</c:v>
              </c:pt>
              <c:pt idx="25">
                <c:v>424</c:v>
              </c:pt>
              <c:pt idx="26">
                <c:v>411</c:v>
              </c:pt>
              <c:pt idx="27">
                <c:v>411</c:v>
              </c:pt>
              <c:pt idx="28">
                <c:v>380</c:v>
              </c:pt>
              <c:pt idx="29">
                <c:v>337</c:v>
              </c:pt>
              <c:pt idx="30">
                <c:v>349</c:v>
              </c:pt>
              <c:pt idx="31">
                <c:v>281</c:v>
              </c:pt>
              <c:pt idx="32">
                <c:v>298</c:v>
              </c:pt>
              <c:pt idx="33">
                <c:v>263</c:v>
              </c:pt>
              <c:pt idx="34">
                <c:v>264</c:v>
              </c:pt>
              <c:pt idx="35">
                <c:v>194</c:v>
              </c:pt>
              <c:pt idx="36">
                <c:v>159</c:v>
              </c:pt>
              <c:pt idx="37">
                <c:v>147</c:v>
              </c:pt>
              <c:pt idx="38">
                <c:v>133</c:v>
              </c:pt>
              <c:pt idx="39">
                <c:v>108</c:v>
              </c:pt>
              <c:pt idx="40">
                <c:v>94</c:v>
              </c:pt>
              <c:pt idx="41">
                <c:v>97</c:v>
              </c:pt>
              <c:pt idx="42">
                <c:v>76</c:v>
              </c:pt>
              <c:pt idx="43">
                <c:v>50</c:v>
              </c:pt>
              <c:pt idx="44">
                <c:v>48</c:v>
              </c:pt>
              <c:pt idx="45">
                <c:v>32</c:v>
              </c:pt>
              <c:pt idx="46">
                <c:v>26</c:v>
              </c:pt>
              <c:pt idx="47">
                <c:v>25</c:v>
              </c:pt>
              <c:pt idx="48">
                <c:v>17</c:v>
              </c:pt>
              <c:pt idx="49">
                <c:v>14</c:v>
              </c:pt>
            </c:numLit>
          </c:val>
        </c:ser>
        <c:overlap val="100"/>
        <c:gapWidth val="10"/>
        <c:axId val="16418268"/>
        <c:axId val="13546685"/>
      </c:barChart>
      <c:catAx>
        <c:axId val="16418268"/>
        <c:scaling>
          <c:orientation val="minMax"/>
        </c:scaling>
        <c:axPos val="b"/>
        <c:delete val="0"/>
        <c:numFmt formatCode="0.0%" sourceLinked="0"/>
        <c:majorTickMark val="out"/>
        <c:minorTickMark val="none"/>
        <c:tickLblPos val="nextTo"/>
        <c:txPr>
          <a:bodyPr vert="horz" rot="0"/>
          <a:lstStyle/>
          <a:p>
            <a:pPr>
              <a:defRPr lang="en-US" cap="none" sz="1000" b="0" i="0" u="none" baseline="0">
                <a:latin typeface="Arial"/>
                <a:ea typeface="Arial"/>
                <a:cs typeface="Arial"/>
              </a:defRPr>
            </a:pPr>
          </a:p>
        </c:txPr>
        <c:crossAx val="13546685"/>
        <c:crosses val="autoZero"/>
        <c:auto val="0"/>
        <c:lblOffset val="100"/>
        <c:tickLblSkip val="1"/>
        <c:tickMarkSkip val="5"/>
        <c:noMultiLvlLbl val="0"/>
      </c:catAx>
      <c:valAx>
        <c:axId val="13546685"/>
        <c:scaling>
          <c:orientation val="minMax"/>
          <c:min val="0"/>
        </c:scaling>
        <c:axPos val="l"/>
        <c:title>
          <c:tx>
            <c:rich>
              <a:bodyPr vert="horz" rot="-5400000" anchor="ctr"/>
              <a:lstStyle/>
              <a:p>
                <a:pPr algn="ctr">
                  <a:defRPr/>
                </a:pPr>
                <a:r>
                  <a:rPr lang="en-US" cap="none" sz="800" b="1" i="0" u="none" baseline="0">
                    <a:latin typeface="Arial"/>
                    <a:ea typeface="Arial"/>
                    <a:cs typeface="Arial"/>
                  </a:rPr>
                  <a:t>Frequency</a:t>
                </a:r>
              </a:p>
            </c:rich>
          </c:tx>
          <c:layout/>
          <c:overlay val="0"/>
          <c:spPr>
            <a:noFill/>
            <a:ln>
              <a:noFill/>
            </a:ln>
          </c:spPr>
        </c:title>
        <c:majorGridlines>
          <c:spPr>
            <a:ln w="3175">
              <a:solidFill>
                <a:srgbClr val="0000FF"/>
              </a:solidFill>
              <a:prstDash val="sysDot"/>
            </a:ln>
          </c:spPr>
        </c:majorGridlines>
        <c:delete val="0"/>
        <c:numFmt formatCode="General" sourceLinked="1"/>
        <c:majorTickMark val="out"/>
        <c:minorTickMark val="none"/>
        <c:tickLblPos val="nextTo"/>
        <c:crossAx val="16418268"/>
        <c:crossesAt val="1"/>
        <c:crossBetween val="between"/>
        <c:dispUnits/>
      </c:valAx>
      <c:spPr>
        <a:solidFill>
          <a:srgbClr val="FFFFFF"/>
        </a:solidFill>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 Id="rId3"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xdr:col>
      <xdr:colOff>19050</xdr:colOff>
      <xdr:row>5</xdr:row>
      <xdr:rowOff>19050</xdr:rowOff>
    </xdr:to>
    <xdr:pic>
      <xdr:nvPicPr>
        <xdr:cNvPr id="1" name="Picture 1"/>
        <xdr:cNvPicPr preferRelativeResize="1">
          <a:picLocks noChangeAspect="1"/>
        </xdr:cNvPicPr>
      </xdr:nvPicPr>
      <xdr:blipFill>
        <a:blip r:embed="rId1"/>
        <a:stretch>
          <a:fillRect/>
        </a:stretch>
      </xdr:blipFill>
      <xdr:spPr>
        <a:xfrm>
          <a:off x="38100" y="85725"/>
          <a:ext cx="2619375" cy="838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933450</xdr:colOff>
      <xdr:row>1</xdr:row>
      <xdr:rowOff>114300</xdr:rowOff>
    </xdr:from>
    <xdr:to>
      <xdr:col>6</xdr:col>
      <xdr:colOff>285750</xdr:colOff>
      <xdr:row>1</xdr:row>
      <xdr:rowOff>266700</xdr:rowOff>
    </xdr:to>
    <xdr:pic>
      <xdr:nvPicPr>
        <xdr:cNvPr id="1" name="Picture 56"/>
        <xdr:cNvPicPr preferRelativeResize="1">
          <a:picLocks noChangeAspect="1"/>
        </xdr:cNvPicPr>
      </xdr:nvPicPr>
      <xdr:blipFill>
        <a:blip r:embed="rId1"/>
        <a:stretch>
          <a:fillRect/>
        </a:stretch>
      </xdr:blipFill>
      <xdr:spPr>
        <a:xfrm>
          <a:off x="5238750" y="276225"/>
          <a:ext cx="2162175" cy="152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609600</xdr:colOff>
      <xdr:row>0</xdr:row>
      <xdr:rowOff>114300</xdr:rowOff>
    </xdr:from>
    <xdr:to>
      <xdr:col>7</xdr:col>
      <xdr:colOff>333375</xdr:colOff>
      <xdr:row>0</xdr:row>
      <xdr:rowOff>266700</xdr:rowOff>
    </xdr:to>
    <xdr:pic>
      <xdr:nvPicPr>
        <xdr:cNvPr id="1" name="Picture 30"/>
        <xdr:cNvPicPr preferRelativeResize="1">
          <a:picLocks noChangeAspect="1"/>
        </xdr:cNvPicPr>
      </xdr:nvPicPr>
      <xdr:blipFill>
        <a:blip r:embed="rId1"/>
        <a:stretch>
          <a:fillRect/>
        </a:stretch>
      </xdr:blipFill>
      <xdr:spPr>
        <a:xfrm>
          <a:off x="4057650" y="114300"/>
          <a:ext cx="2162175" cy="152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609600</xdr:colOff>
      <xdr:row>0</xdr:row>
      <xdr:rowOff>114300</xdr:rowOff>
    </xdr:from>
    <xdr:to>
      <xdr:col>6</xdr:col>
      <xdr:colOff>723900</xdr:colOff>
      <xdr:row>0</xdr:row>
      <xdr:rowOff>266700</xdr:rowOff>
    </xdr:to>
    <xdr:pic>
      <xdr:nvPicPr>
        <xdr:cNvPr id="1" name="Picture 1"/>
        <xdr:cNvPicPr preferRelativeResize="1">
          <a:picLocks noChangeAspect="1"/>
        </xdr:cNvPicPr>
      </xdr:nvPicPr>
      <xdr:blipFill>
        <a:blip r:embed="rId1"/>
        <a:stretch>
          <a:fillRect/>
        </a:stretch>
      </xdr:blipFill>
      <xdr:spPr>
        <a:xfrm>
          <a:off x="3257550" y="114300"/>
          <a:ext cx="2162175" cy="152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66</xdr:row>
      <xdr:rowOff>47625</xdr:rowOff>
    </xdr:from>
    <xdr:to>
      <xdr:col>5</xdr:col>
      <xdr:colOff>561975</xdr:colOff>
      <xdr:row>66</xdr:row>
      <xdr:rowOff>47625</xdr:rowOff>
    </xdr:to>
    <xdr:sp>
      <xdr:nvSpPr>
        <xdr:cNvPr id="1" name="Line 1"/>
        <xdr:cNvSpPr>
          <a:spLocks/>
        </xdr:cNvSpPr>
      </xdr:nvSpPr>
      <xdr:spPr>
        <a:xfrm>
          <a:off x="3781425" y="10782300"/>
          <a:ext cx="561975" cy="0"/>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25</xdr:row>
      <xdr:rowOff>19050</xdr:rowOff>
    </xdr:from>
    <xdr:to>
      <xdr:col>1</xdr:col>
      <xdr:colOff>2181225</xdr:colOff>
      <xdr:row>26</xdr:row>
      <xdr:rowOff>9525</xdr:rowOff>
    </xdr:to>
    <xdr:pic>
      <xdr:nvPicPr>
        <xdr:cNvPr id="1" name="Picture 2"/>
        <xdr:cNvPicPr preferRelativeResize="1">
          <a:picLocks noChangeAspect="1"/>
        </xdr:cNvPicPr>
      </xdr:nvPicPr>
      <xdr:blipFill>
        <a:blip r:embed="rId1"/>
        <a:stretch>
          <a:fillRect/>
        </a:stretch>
      </xdr:blipFill>
      <xdr:spPr>
        <a:xfrm>
          <a:off x="400050" y="9458325"/>
          <a:ext cx="21621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1000125</xdr:colOff>
      <xdr:row>1</xdr:row>
      <xdr:rowOff>114300</xdr:rowOff>
    </xdr:from>
    <xdr:to>
      <xdr:col>6</xdr:col>
      <xdr:colOff>1066800</xdr:colOff>
      <xdr:row>1</xdr:row>
      <xdr:rowOff>266700</xdr:rowOff>
    </xdr:to>
    <xdr:pic>
      <xdr:nvPicPr>
        <xdr:cNvPr id="1" name="Picture 2"/>
        <xdr:cNvPicPr preferRelativeResize="1">
          <a:picLocks noChangeAspect="1"/>
        </xdr:cNvPicPr>
      </xdr:nvPicPr>
      <xdr:blipFill>
        <a:blip r:embed="rId1"/>
        <a:stretch>
          <a:fillRect/>
        </a:stretch>
      </xdr:blipFill>
      <xdr:spPr>
        <a:xfrm>
          <a:off x="8258175" y="276225"/>
          <a:ext cx="2162175" cy="152400"/>
        </a:xfrm>
        <a:prstGeom prst="rect">
          <a:avLst/>
        </a:prstGeom>
        <a:noFill/>
        <a:ln w="9525" cmpd="sng">
          <a:noFill/>
        </a:ln>
      </xdr:spPr>
    </xdr:pic>
    <xdr:clientData/>
  </xdr:twoCellAnchor>
  <xdr:twoCellAnchor>
    <xdr:from>
      <xdr:col>2</xdr:col>
      <xdr:colOff>47625</xdr:colOff>
      <xdr:row>26</xdr:row>
      <xdr:rowOff>28575</xdr:rowOff>
    </xdr:from>
    <xdr:to>
      <xdr:col>6</xdr:col>
      <xdr:colOff>352425</xdr:colOff>
      <xdr:row>49</xdr:row>
      <xdr:rowOff>47625</xdr:rowOff>
    </xdr:to>
    <xdr:graphicFrame>
      <xdr:nvGraphicFramePr>
        <xdr:cNvPr id="2" name="Chart 4"/>
        <xdr:cNvGraphicFramePr/>
      </xdr:nvGraphicFramePr>
      <xdr:xfrm>
        <a:off x="1685925" y="7086600"/>
        <a:ext cx="8020050" cy="3743325"/>
      </xdr:xfrm>
      <a:graphic>
        <a:graphicData uri="http://schemas.openxmlformats.org/drawingml/2006/chart">
          <c:chart xmlns:c="http://schemas.openxmlformats.org/drawingml/2006/chart" r:id="rId2"/>
        </a:graphicData>
      </a:graphic>
    </xdr:graphicFrame>
    <xdr:clientData/>
  </xdr:twoCellAnchor>
  <xdr:twoCellAnchor>
    <xdr:from>
      <xdr:col>2</xdr:col>
      <xdr:colOff>85725</xdr:colOff>
      <xdr:row>51</xdr:row>
      <xdr:rowOff>28575</xdr:rowOff>
    </xdr:from>
    <xdr:to>
      <xdr:col>5</xdr:col>
      <xdr:colOff>1000125</xdr:colOff>
      <xdr:row>70</xdr:row>
      <xdr:rowOff>95250</xdr:rowOff>
    </xdr:to>
    <xdr:graphicFrame>
      <xdr:nvGraphicFramePr>
        <xdr:cNvPr id="3" name="Chart 10"/>
        <xdr:cNvGraphicFramePr/>
      </xdr:nvGraphicFramePr>
      <xdr:xfrm>
        <a:off x="1724025" y="11134725"/>
        <a:ext cx="7581900" cy="31432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100</xdr:row>
      <xdr:rowOff>9525</xdr:rowOff>
    </xdr:from>
    <xdr:to>
      <xdr:col>1</xdr:col>
      <xdr:colOff>1095375</xdr:colOff>
      <xdr:row>102</xdr:row>
      <xdr:rowOff>0</xdr:rowOff>
    </xdr:to>
    <xdr:pic>
      <xdr:nvPicPr>
        <xdr:cNvPr id="1" name="Worst_Case"/>
        <xdr:cNvPicPr preferRelativeResize="1">
          <a:picLocks noChangeAspect="1"/>
        </xdr:cNvPicPr>
      </xdr:nvPicPr>
      <xdr:blipFill>
        <a:blip r:embed="rId1"/>
        <a:stretch>
          <a:fillRect/>
        </a:stretch>
      </xdr:blipFill>
      <xdr:spPr>
        <a:xfrm>
          <a:off x="3571875" y="14706600"/>
          <a:ext cx="1085850" cy="323850"/>
        </a:xfrm>
        <a:prstGeom prst="rect">
          <a:avLst/>
        </a:prstGeom>
        <a:noFill/>
        <a:ln w="9525" cmpd="sng">
          <a:noFill/>
        </a:ln>
      </xdr:spPr>
    </xdr:pic>
    <xdr:clientData/>
  </xdr:twoCellAnchor>
  <xdr:twoCellAnchor editAs="oneCell">
    <xdr:from>
      <xdr:col>1</xdr:col>
      <xdr:colOff>9525</xdr:colOff>
      <xdr:row>102</xdr:row>
      <xdr:rowOff>19050</xdr:rowOff>
    </xdr:from>
    <xdr:to>
      <xdr:col>1</xdr:col>
      <xdr:colOff>1095375</xdr:colOff>
      <xdr:row>104</xdr:row>
      <xdr:rowOff>0</xdr:rowOff>
    </xdr:to>
    <xdr:pic>
      <xdr:nvPicPr>
        <xdr:cNvPr id="2" name="CommandButton1"/>
        <xdr:cNvPicPr preferRelativeResize="1">
          <a:picLocks noChangeAspect="1"/>
        </xdr:cNvPicPr>
      </xdr:nvPicPr>
      <xdr:blipFill>
        <a:blip r:embed="rId2"/>
        <a:stretch>
          <a:fillRect/>
        </a:stretch>
      </xdr:blipFill>
      <xdr:spPr>
        <a:xfrm>
          <a:off x="3571875" y="15049500"/>
          <a:ext cx="1085850" cy="314325"/>
        </a:xfrm>
        <a:prstGeom prst="rect">
          <a:avLst/>
        </a:prstGeom>
        <a:noFill/>
        <a:ln w="9525" cmpd="sng">
          <a:noFill/>
        </a:ln>
      </xdr:spPr>
    </xdr:pic>
    <xdr:clientData/>
  </xdr:twoCellAnchor>
  <xdr:twoCellAnchor editAs="oneCell">
    <xdr:from>
      <xdr:col>1</xdr:col>
      <xdr:colOff>9525</xdr:colOff>
      <xdr:row>104</xdr:row>
      <xdr:rowOff>9525</xdr:rowOff>
    </xdr:from>
    <xdr:to>
      <xdr:col>1</xdr:col>
      <xdr:colOff>1095375</xdr:colOff>
      <xdr:row>106</xdr:row>
      <xdr:rowOff>0</xdr:rowOff>
    </xdr:to>
    <xdr:pic>
      <xdr:nvPicPr>
        <xdr:cNvPr id="3" name="CommandButton2"/>
        <xdr:cNvPicPr preferRelativeResize="1">
          <a:picLocks noChangeAspect="1"/>
        </xdr:cNvPicPr>
      </xdr:nvPicPr>
      <xdr:blipFill>
        <a:blip r:embed="rId3"/>
        <a:stretch>
          <a:fillRect/>
        </a:stretch>
      </xdr:blipFill>
      <xdr:spPr>
        <a:xfrm>
          <a:off x="3571875" y="15373350"/>
          <a:ext cx="1085850"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685800</xdr:colOff>
      <xdr:row>1</xdr:row>
      <xdr:rowOff>114300</xdr:rowOff>
    </xdr:from>
    <xdr:to>
      <xdr:col>7</xdr:col>
      <xdr:colOff>57150</xdr:colOff>
      <xdr:row>1</xdr:row>
      <xdr:rowOff>266700</xdr:rowOff>
    </xdr:to>
    <xdr:pic>
      <xdr:nvPicPr>
        <xdr:cNvPr id="1" name="Picture 130"/>
        <xdr:cNvPicPr preferRelativeResize="1">
          <a:picLocks noChangeAspect="1"/>
        </xdr:cNvPicPr>
      </xdr:nvPicPr>
      <xdr:blipFill>
        <a:blip r:embed="rId1"/>
        <a:stretch>
          <a:fillRect/>
        </a:stretch>
      </xdr:blipFill>
      <xdr:spPr>
        <a:xfrm>
          <a:off x="3400425" y="276225"/>
          <a:ext cx="2162175" cy="152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714375</xdr:colOff>
      <xdr:row>1</xdr:row>
      <xdr:rowOff>114300</xdr:rowOff>
    </xdr:from>
    <xdr:to>
      <xdr:col>7</xdr:col>
      <xdr:colOff>19050</xdr:colOff>
      <xdr:row>1</xdr:row>
      <xdr:rowOff>266700</xdr:rowOff>
    </xdr:to>
    <xdr:pic>
      <xdr:nvPicPr>
        <xdr:cNvPr id="1" name="Picture 7"/>
        <xdr:cNvPicPr preferRelativeResize="1">
          <a:picLocks noChangeAspect="1"/>
        </xdr:cNvPicPr>
      </xdr:nvPicPr>
      <xdr:blipFill>
        <a:blip r:embed="rId1"/>
        <a:stretch>
          <a:fillRect/>
        </a:stretch>
      </xdr:blipFill>
      <xdr:spPr>
        <a:xfrm>
          <a:off x="5362575" y="276225"/>
          <a:ext cx="2162175"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571500</xdr:colOff>
      <xdr:row>0</xdr:row>
      <xdr:rowOff>114300</xdr:rowOff>
    </xdr:from>
    <xdr:to>
      <xdr:col>7</xdr:col>
      <xdr:colOff>152400</xdr:colOff>
      <xdr:row>0</xdr:row>
      <xdr:rowOff>266700</xdr:rowOff>
    </xdr:to>
    <xdr:pic>
      <xdr:nvPicPr>
        <xdr:cNvPr id="1" name="Picture 488"/>
        <xdr:cNvPicPr preferRelativeResize="1">
          <a:picLocks noChangeAspect="1"/>
        </xdr:cNvPicPr>
      </xdr:nvPicPr>
      <xdr:blipFill>
        <a:blip r:embed="rId1"/>
        <a:stretch>
          <a:fillRect/>
        </a:stretch>
      </xdr:blipFill>
      <xdr:spPr>
        <a:xfrm>
          <a:off x="2238375" y="114300"/>
          <a:ext cx="2162175" cy="152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609600</xdr:colOff>
      <xdr:row>0</xdr:row>
      <xdr:rowOff>114300</xdr:rowOff>
    </xdr:from>
    <xdr:to>
      <xdr:col>8</xdr:col>
      <xdr:colOff>209550</xdr:colOff>
      <xdr:row>0</xdr:row>
      <xdr:rowOff>266700</xdr:rowOff>
    </xdr:to>
    <xdr:pic>
      <xdr:nvPicPr>
        <xdr:cNvPr id="1" name="Picture 2"/>
        <xdr:cNvPicPr preferRelativeResize="1">
          <a:picLocks noChangeAspect="1"/>
        </xdr:cNvPicPr>
      </xdr:nvPicPr>
      <xdr:blipFill>
        <a:blip r:embed="rId1"/>
        <a:stretch>
          <a:fillRect/>
        </a:stretch>
      </xdr:blipFill>
      <xdr:spPr>
        <a:xfrm>
          <a:off x="2247900" y="114300"/>
          <a:ext cx="2162175" cy="152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695325</xdr:colOff>
      <xdr:row>1</xdr:row>
      <xdr:rowOff>114300</xdr:rowOff>
    </xdr:from>
    <xdr:to>
      <xdr:col>7</xdr:col>
      <xdr:colOff>38100</xdr:colOff>
      <xdr:row>1</xdr:row>
      <xdr:rowOff>266700</xdr:rowOff>
    </xdr:to>
    <xdr:pic>
      <xdr:nvPicPr>
        <xdr:cNvPr id="1" name="Picture 270"/>
        <xdr:cNvPicPr preferRelativeResize="1">
          <a:picLocks noChangeAspect="1"/>
        </xdr:cNvPicPr>
      </xdr:nvPicPr>
      <xdr:blipFill>
        <a:blip r:embed="rId1"/>
        <a:stretch>
          <a:fillRect/>
        </a:stretch>
      </xdr:blipFill>
      <xdr:spPr>
        <a:xfrm>
          <a:off x="3781425" y="276225"/>
          <a:ext cx="2162175" cy="152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_divisions\Economic%20Analysis\Vital%20Records\ERRs\Spreadsheets%20-%20Public%20versions\El%20Salvador\mcc-err-elsalvador-nonformalskil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cc.gov\root\Documents%20and%20Settings\benouaich\My%20Documents\Training\F1F9%20Course%20Dec%2005\M300%20Model%2013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No 1 y 2"/>
      <sheetName val="AGUA262"/>
      <sheetName val="Datos de Becas"/>
      <sheetName val="User's Guide"/>
      <sheetName val="Activity Description"/>
      <sheetName val="CB_DATA_"/>
      <sheetName val="ERR &amp; Sensitivity Analysis"/>
      <sheetName val="Non-formal Skills ERR"/>
    </sheetNames>
    <sheetDataSet>
      <sheetData sheetId="6">
        <row r="10">
          <cell r="D10">
            <v>1</v>
          </cell>
        </row>
        <row r="11">
          <cell r="D11">
            <v>1</v>
          </cell>
        </row>
        <row r="13">
          <cell r="D13">
            <v>2600</v>
          </cell>
        </row>
        <row r="14">
          <cell r="D14">
            <v>60</v>
          </cell>
        </row>
        <row r="15">
          <cell r="D15">
            <v>195</v>
          </cell>
        </row>
        <row r="16">
          <cell r="D16">
            <v>150</v>
          </cell>
        </row>
        <row r="17">
          <cell r="D17">
            <v>0.196</v>
          </cell>
        </row>
        <row r="18">
          <cell r="D18">
            <v>0.08</v>
          </cell>
        </row>
        <row r="19">
          <cell r="D19">
            <v>0.08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rses"/>
      <sheetName val="InpC"/>
      <sheetName val="InpR"/>
      <sheetName val="Ph1T&amp;E"/>
      <sheetName val="Ph1Cost"/>
      <sheetName val="Ph1Fin"/>
      <sheetName val="Time"/>
      <sheetName val="Esc"/>
      <sheetName val="Ph2Fin"/>
      <sheetName val="LifeCyc"/>
      <sheetName val="OpCost"/>
      <sheetName val="OpRev"/>
      <sheetName val="CapEx"/>
      <sheetName val="FinDebt"/>
      <sheetName val="CorpTax"/>
      <sheetName val="DSRA"/>
      <sheetName val="Acct"/>
      <sheetName val="Div+Int"/>
      <sheetName val="Ratios"/>
      <sheetName val="Returns"/>
      <sheetName val="FinStat"/>
      <sheetName val="Chk"/>
      <sheetName val="Trk"/>
      <sheetName val="Tm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3"/>
  <dimension ref="A1:E56"/>
  <sheetViews>
    <sheetView showGridLines="0" workbookViewId="0" topLeftCell="A1">
      <selection activeCell="B8" sqref="B8"/>
    </sheetView>
  </sheetViews>
  <sheetFormatPr defaultColWidth="9.140625" defaultRowHeight="12.75"/>
  <cols>
    <col min="1" max="1" width="39.57421875" style="893" customWidth="1"/>
    <col min="2" max="2" width="106.421875" style="893" customWidth="1"/>
    <col min="3" max="16384" width="9.140625" style="893" customWidth="1"/>
  </cols>
  <sheetData>
    <row r="1" ht="12.75">
      <c r="B1" s="1053" t="s">
        <v>476</v>
      </c>
    </row>
    <row r="2" ht="20.25" customHeight="1">
      <c r="B2" s="1077" t="s">
        <v>511</v>
      </c>
    </row>
    <row r="3" ht="12.75">
      <c r="B3" s="1077"/>
    </row>
    <row r="4" ht="12.75">
      <c r="B4" s="1077"/>
    </row>
    <row r="5" ht="12.75">
      <c r="B5" s="1077"/>
    </row>
    <row r="6" ht="12.75">
      <c r="B6" s="1077"/>
    </row>
    <row r="7" ht="13.5" thickBot="1"/>
    <row r="8" spans="1:2" ht="18" customHeight="1" thickBot="1" thickTop="1">
      <c r="A8" s="894" t="s">
        <v>477</v>
      </c>
      <c r="B8" s="895" t="s">
        <v>512</v>
      </c>
    </row>
    <row r="9" spans="1:5" ht="18" customHeight="1" thickTop="1">
      <c r="A9" s="896" t="s">
        <v>478</v>
      </c>
      <c r="B9" s="897" t="s">
        <v>479</v>
      </c>
      <c r="E9" s="898"/>
    </row>
    <row r="10" spans="1:2" ht="18" customHeight="1">
      <c r="A10" s="899" t="s">
        <v>480</v>
      </c>
      <c r="B10" s="900">
        <v>38960</v>
      </c>
    </row>
    <row r="11" spans="1:2" ht="18" customHeight="1">
      <c r="A11" s="901" t="s">
        <v>481</v>
      </c>
      <c r="B11" s="902" t="s">
        <v>513</v>
      </c>
    </row>
    <row r="12" spans="1:2" ht="76.5">
      <c r="A12" s="901" t="s">
        <v>482</v>
      </c>
      <c r="B12" s="903" t="s">
        <v>525</v>
      </c>
    </row>
    <row r="13" spans="1:2" ht="18" customHeight="1">
      <c r="A13" s="1078" t="s">
        <v>501</v>
      </c>
      <c r="B13" s="904" t="s">
        <v>526</v>
      </c>
    </row>
    <row r="14" spans="1:2" ht="18" customHeight="1">
      <c r="A14" s="1079"/>
      <c r="B14" s="905" t="s">
        <v>527</v>
      </c>
    </row>
    <row r="15" spans="1:2" ht="18" customHeight="1">
      <c r="A15" s="1079"/>
      <c r="B15" s="905" t="s">
        <v>528</v>
      </c>
    </row>
    <row r="16" spans="1:2" ht="18" customHeight="1">
      <c r="A16" s="1079"/>
      <c r="B16" s="905" t="s">
        <v>529</v>
      </c>
    </row>
    <row r="17" spans="1:2" ht="18" customHeight="1">
      <c r="A17" s="1079"/>
      <c r="B17" s="906" t="s">
        <v>105</v>
      </c>
    </row>
    <row r="18" spans="1:2" ht="25.5" customHeight="1">
      <c r="A18" s="907" t="s">
        <v>502</v>
      </c>
      <c r="B18" s="908" t="s">
        <v>503</v>
      </c>
    </row>
    <row r="19" spans="1:2" ht="18" customHeight="1">
      <c r="A19" s="901" t="s">
        <v>504</v>
      </c>
      <c r="B19" s="902" t="s">
        <v>514</v>
      </c>
    </row>
    <row r="20" spans="1:2" ht="6.75" customHeight="1">
      <c r="A20" s="1082"/>
      <c r="B20" s="904"/>
    </row>
    <row r="21" spans="1:2" ht="12.75">
      <c r="A21" s="1083"/>
      <c r="B21" s="912" t="s">
        <v>506</v>
      </c>
    </row>
    <row r="22" spans="1:2" ht="25.5">
      <c r="A22" s="1080" t="s">
        <v>505</v>
      </c>
      <c r="B22" s="913" t="s">
        <v>508</v>
      </c>
    </row>
    <row r="23" spans="1:2" ht="12.75">
      <c r="A23" s="1080"/>
      <c r="B23" s="913"/>
    </row>
    <row r="24" spans="1:2" ht="12.75">
      <c r="A24" s="1080"/>
      <c r="B24" s="914" t="s">
        <v>509</v>
      </c>
    </row>
    <row r="25" spans="1:2" ht="12.75">
      <c r="A25" s="1080"/>
      <c r="B25" s="909" t="s">
        <v>510</v>
      </c>
    </row>
    <row r="26" spans="1:4" ht="12.75" customHeight="1">
      <c r="A26" s="1080"/>
      <c r="B26" s="905"/>
      <c r="D26" s="910"/>
    </row>
    <row r="27" spans="1:4" ht="12.75" customHeight="1">
      <c r="A27" s="1080"/>
      <c r="B27" s="916" t="s">
        <v>530</v>
      </c>
      <c r="D27" s="910"/>
    </row>
    <row r="28" spans="1:2" ht="12.75" customHeight="1">
      <c r="A28" s="1080"/>
      <c r="B28" s="911" t="s">
        <v>102</v>
      </c>
    </row>
    <row r="29" spans="1:2" ht="12.75" customHeight="1">
      <c r="A29" s="1080"/>
      <c r="B29" s="911"/>
    </row>
    <row r="30" spans="1:2" ht="12.75" customHeight="1">
      <c r="A30" s="1080"/>
      <c r="B30" s="912" t="s">
        <v>531</v>
      </c>
    </row>
    <row r="31" spans="1:2" ht="12.75" customHeight="1">
      <c r="A31" s="1080"/>
      <c r="B31" s="911" t="s">
        <v>439</v>
      </c>
    </row>
    <row r="32" spans="1:2" ht="12.75" customHeight="1">
      <c r="A32" s="1080"/>
      <c r="B32" s="905"/>
    </row>
    <row r="33" spans="1:2" ht="12.75" customHeight="1">
      <c r="A33" s="1080"/>
      <c r="B33" s="912" t="s">
        <v>532</v>
      </c>
    </row>
    <row r="34" spans="1:2" ht="12.75" customHeight="1">
      <c r="A34" s="1080"/>
      <c r="B34" s="905" t="s">
        <v>103</v>
      </c>
    </row>
    <row r="35" spans="1:2" ht="12.75" customHeight="1">
      <c r="A35" s="1080"/>
      <c r="B35" s="905"/>
    </row>
    <row r="36" spans="1:2" ht="12.75" customHeight="1">
      <c r="A36" s="1080"/>
      <c r="B36" s="917" t="s">
        <v>533</v>
      </c>
    </row>
    <row r="37" spans="1:2" ht="25.5">
      <c r="A37" s="1080"/>
      <c r="B37" s="905" t="s">
        <v>104</v>
      </c>
    </row>
    <row r="38" spans="1:2" ht="12.75" customHeight="1">
      <c r="A38" s="1080"/>
      <c r="B38" s="905"/>
    </row>
    <row r="39" spans="1:2" ht="12.75" customHeight="1">
      <c r="A39" s="1080"/>
      <c r="B39" s="917" t="s">
        <v>534</v>
      </c>
    </row>
    <row r="40" spans="1:2" ht="12.75" customHeight="1">
      <c r="A40" s="1080"/>
      <c r="B40" s="905" t="s">
        <v>106</v>
      </c>
    </row>
    <row r="41" spans="1:2" ht="12.75" customHeight="1">
      <c r="A41" s="1080"/>
      <c r="B41" s="905"/>
    </row>
    <row r="42" spans="1:2" ht="12.75" customHeight="1">
      <c r="A42" s="1080"/>
      <c r="B42" s="917" t="s">
        <v>535</v>
      </c>
    </row>
    <row r="43" spans="1:2" ht="12.75" customHeight="1">
      <c r="A43" s="1080"/>
      <c r="B43" s="905" t="s">
        <v>107</v>
      </c>
    </row>
    <row r="44" spans="1:2" ht="12.75">
      <c r="A44" s="1080"/>
      <c r="B44" s="905"/>
    </row>
    <row r="45" spans="1:2" ht="12.75">
      <c r="A45" s="1080"/>
      <c r="B45" s="912" t="s">
        <v>536</v>
      </c>
    </row>
    <row r="46" spans="1:2" ht="12.75">
      <c r="A46" s="1080"/>
      <c r="B46" s="905" t="s">
        <v>108</v>
      </c>
    </row>
    <row r="47" spans="1:2" ht="12.75">
      <c r="A47" s="1080"/>
      <c r="B47" s="905"/>
    </row>
    <row r="48" spans="1:2" ht="12.75">
      <c r="A48" s="1080"/>
      <c r="B48" s="912" t="s">
        <v>537</v>
      </c>
    </row>
    <row r="49" spans="1:2" ht="12.75">
      <c r="A49" s="1080"/>
      <c r="B49" s="905" t="s">
        <v>109</v>
      </c>
    </row>
    <row r="50" spans="1:2" ht="12.75">
      <c r="A50" s="1080"/>
      <c r="B50" s="905"/>
    </row>
    <row r="51" spans="1:2" ht="12.75">
      <c r="A51" s="1080"/>
      <c r="B51" s="912" t="s">
        <v>538</v>
      </c>
    </row>
    <row r="52" spans="1:2" ht="12.75">
      <c r="A52" s="1080"/>
      <c r="B52" s="905" t="s">
        <v>110</v>
      </c>
    </row>
    <row r="53" spans="1:2" ht="12.75">
      <c r="A53" s="1080"/>
      <c r="B53" s="905"/>
    </row>
    <row r="54" spans="1:2" ht="12.75">
      <c r="A54" s="1080"/>
      <c r="B54" s="912" t="s">
        <v>539</v>
      </c>
    </row>
    <row r="55" spans="1:2" ht="12.75">
      <c r="A55" s="1080"/>
      <c r="B55" s="905" t="s">
        <v>111</v>
      </c>
    </row>
    <row r="56" spans="1:2" ht="6" customHeight="1" thickBot="1">
      <c r="A56" s="1081"/>
      <c r="B56" s="915"/>
    </row>
    <row r="57" ht="13.5" thickTop="1"/>
  </sheetData>
  <mergeCells count="4">
    <mergeCell ref="B2:B6"/>
    <mergeCell ref="A13:A17"/>
    <mergeCell ref="A22:A56"/>
    <mergeCell ref="A20:A21"/>
  </mergeCells>
  <hyperlinks>
    <hyperlink ref="B21" location="'Project Description'!A1" display="Project Description"/>
    <hyperlink ref="B24" location="'ERR &amp; Sensitivity Analysis'!A1" display="ERR &amp; Sensitivity Analysis"/>
    <hyperlink ref="B27" location="'Summary ERRs'!A1" display="Summary ERRs"/>
    <hyperlink ref="B30" location="'Farm Model Assumptions'!A1" display="Farm Model Assumptions"/>
    <hyperlink ref="B33" location="Project_Costs!A1" display="Project_Costs"/>
    <hyperlink ref="B36" location="'Road Model'!A1" display="Road Model"/>
    <hyperlink ref="B39" location="Econ_Analysis_MSI!A1" display="Econ_Analysis_MSI"/>
    <hyperlink ref="B42" location="'Alatona Beneficiaries'!A1" display="Alatona Beneficiaries"/>
    <hyperlink ref="B45" location="Land_Financing!A1" display="Land_Financing"/>
    <hyperlink ref="B48" location="'Alatona Prod'!A1" display="Alatona Prod"/>
    <hyperlink ref="B51" location="'Finan-Econ Prices'!A1" display="Finan-Econ Prices"/>
    <hyperlink ref="B54" location="SocialInfraRtnCalc!A1" display="SocialInfraRtnCalc"/>
  </hyperlink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4"/>
  <dimension ref="A2:IV176"/>
  <sheetViews>
    <sheetView workbookViewId="0" topLeftCell="A100">
      <selection activeCell="F128" sqref="F128"/>
    </sheetView>
  </sheetViews>
  <sheetFormatPr defaultColWidth="9.140625" defaultRowHeight="12.75"/>
  <cols>
    <col min="1" max="1" width="37.28125" style="0" customWidth="1"/>
    <col min="2" max="2" width="13.421875" style="0" bestFit="1" customWidth="1"/>
    <col min="3" max="3" width="13.8515625" style="0" customWidth="1"/>
    <col min="4" max="4" width="14.00390625" style="0" customWidth="1"/>
    <col min="5" max="5" width="15.28125" style="0" customWidth="1"/>
    <col min="6" max="6" width="12.8515625" style="0" customWidth="1"/>
    <col min="7" max="7" width="11.00390625" style="0" customWidth="1"/>
    <col min="8" max="9" width="11.140625" style="0" bestFit="1" customWidth="1"/>
    <col min="10" max="10" width="10.421875" style="0" customWidth="1"/>
    <col min="11" max="11" width="11.28125" style="0" customWidth="1"/>
    <col min="12" max="21" width="10.8515625" style="0" customWidth="1"/>
    <col min="22" max="22" width="15.57421875" style="0" customWidth="1"/>
    <col min="24" max="24" width="11.8515625" style="0" bestFit="1" customWidth="1"/>
  </cols>
  <sheetData>
    <row r="2" spans="1:8" ht="13.5" thickBot="1">
      <c r="A2" s="9" t="s">
        <v>753</v>
      </c>
      <c r="B2" s="266"/>
      <c r="C2" s="267"/>
      <c r="D2" s="267"/>
      <c r="E2" s="266"/>
      <c r="F2" s="266"/>
      <c r="G2" s="267"/>
      <c r="H2" s="267"/>
    </row>
    <row r="3" spans="1:8" ht="25.5">
      <c r="A3" s="285"/>
      <c r="B3" s="288" t="s">
        <v>545</v>
      </c>
      <c r="C3" s="289" t="s">
        <v>710</v>
      </c>
      <c r="D3" s="290" t="s">
        <v>711</v>
      </c>
      <c r="E3" s="291" t="s">
        <v>712</v>
      </c>
      <c r="F3" s="292" t="s">
        <v>713</v>
      </c>
      <c r="G3" s="289" t="s">
        <v>714</v>
      </c>
      <c r="H3" s="293" t="s">
        <v>549</v>
      </c>
    </row>
    <row r="4" spans="1:8" ht="12.75">
      <c r="A4" s="286" t="s">
        <v>715</v>
      </c>
      <c r="B4" s="271">
        <v>1</v>
      </c>
      <c r="C4" s="272">
        <v>2868000</v>
      </c>
      <c r="D4" s="274">
        <f>B4*C4</f>
        <v>2868000</v>
      </c>
      <c r="E4" s="276">
        <v>0</v>
      </c>
      <c r="F4" s="276">
        <v>5</v>
      </c>
      <c r="G4" s="274">
        <f>D4/F4</f>
        <v>573600</v>
      </c>
      <c r="H4" s="282">
        <f>G4*B4</f>
        <v>573600</v>
      </c>
    </row>
    <row r="5" spans="1:8" ht="12.75">
      <c r="A5" s="287" t="s">
        <v>716</v>
      </c>
      <c r="B5" s="269">
        <v>1</v>
      </c>
      <c r="C5" s="273">
        <v>130000</v>
      </c>
      <c r="D5" s="275">
        <f>B5*C5</f>
        <v>130000</v>
      </c>
      <c r="E5" s="277">
        <v>0</v>
      </c>
      <c r="F5" s="277">
        <v>5</v>
      </c>
      <c r="G5" s="275">
        <v>8000</v>
      </c>
      <c r="H5" s="283">
        <f>G5*B5</f>
        <v>8000</v>
      </c>
    </row>
    <row r="6" spans="1:8" ht="13.5" thickBot="1">
      <c r="A6" s="287" t="s">
        <v>4</v>
      </c>
      <c r="B6" s="269">
        <v>1</v>
      </c>
      <c r="C6" s="273">
        <v>50000</v>
      </c>
      <c r="D6" s="275">
        <f>B6*C6</f>
        <v>50000</v>
      </c>
      <c r="E6" s="277">
        <v>0</v>
      </c>
      <c r="F6" s="277">
        <v>5</v>
      </c>
      <c r="G6" s="275">
        <v>6000</v>
      </c>
      <c r="H6" s="283">
        <f>G6*B6</f>
        <v>6000</v>
      </c>
    </row>
    <row r="7" spans="1:8" ht="13.5" thickBot="1">
      <c r="A7" s="84" t="s">
        <v>717</v>
      </c>
      <c r="B7" s="284"/>
      <c r="C7" s="279"/>
      <c r="D7" s="279">
        <f>SUM(D4:D6)</f>
        <v>3048000</v>
      </c>
      <c r="E7" s="280"/>
      <c r="F7" s="280"/>
      <c r="G7" s="279"/>
      <c r="H7" s="281">
        <f>SUM(H4:H6)</f>
        <v>587600</v>
      </c>
    </row>
    <row r="9" spans="1:6" ht="13.5" thickBot="1">
      <c r="A9" s="9" t="s">
        <v>756</v>
      </c>
      <c r="B9" s="268"/>
      <c r="C9" s="68"/>
      <c r="D9" s="268"/>
      <c r="F9" s="9" t="s">
        <v>763</v>
      </c>
    </row>
    <row r="10" spans="1:9" ht="12.75">
      <c r="A10" s="285" t="s">
        <v>758</v>
      </c>
      <c r="B10" s="300"/>
      <c r="C10" s="300"/>
      <c r="D10" s="301">
        <v>0.25</v>
      </c>
      <c r="F10" s="299" t="s">
        <v>719</v>
      </c>
      <c r="G10" s="312"/>
      <c r="H10" s="300"/>
      <c r="I10" s="310">
        <v>2500</v>
      </c>
    </row>
    <row r="11" spans="1:9" ht="12.75">
      <c r="A11" s="287" t="s">
        <v>718</v>
      </c>
      <c r="B11" s="278"/>
      <c r="C11" s="278"/>
      <c r="D11" s="303">
        <v>5</v>
      </c>
      <c r="F11" s="302" t="s">
        <v>720</v>
      </c>
      <c r="G11" s="313"/>
      <c r="H11" s="278"/>
      <c r="I11" s="283">
        <v>15000</v>
      </c>
    </row>
    <row r="12" spans="1:9" ht="12.75">
      <c r="A12" s="287" t="s">
        <v>761</v>
      </c>
      <c r="B12" s="278"/>
      <c r="C12" s="278"/>
      <c r="D12" s="304">
        <v>0.9</v>
      </c>
      <c r="F12" s="302" t="s">
        <v>721</v>
      </c>
      <c r="G12" s="313"/>
      <c r="H12" s="278"/>
      <c r="I12" s="283">
        <v>0</v>
      </c>
    </row>
    <row r="13" spans="1:9" ht="13.5" thickBot="1">
      <c r="A13" s="287" t="s">
        <v>759</v>
      </c>
      <c r="B13" s="278"/>
      <c r="C13" s="278"/>
      <c r="D13" s="305">
        <f>D12*D7</f>
        <v>2743200</v>
      </c>
      <c r="F13" s="306" t="s">
        <v>722</v>
      </c>
      <c r="G13" s="314"/>
      <c r="H13" s="307"/>
      <c r="I13" s="311">
        <f>D14/10</f>
        <v>102004.99762018086</v>
      </c>
    </row>
    <row r="14" spans="1:4" ht="12.75">
      <c r="A14" s="287" t="s">
        <v>762</v>
      </c>
      <c r="B14" s="278"/>
      <c r="C14" s="278"/>
      <c r="D14" s="305">
        <f>ABS(PMT(D10,D11,D13,0))</f>
        <v>1020049.9762018087</v>
      </c>
    </row>
    <row r="15" spans="1:4" ht="12.75">
      <c r="A15" s="287" t="s">
        <v>760</v>
      </c>
      <c r="B15" s="278"/>
      <c r="C15" s="278"/>
      <c r="D15" s="305">
        <f>(D14*D11)-D13</f>
        <v>2357049.881009043</v>
      </c>
    </row>
    <row r="16" spans="1:4" ht="12.75">
      <c r="A16" s="287" t="s">
        <v>896</v>
      </c>
      <c r="B16" s="278"/>
      <c r="C16" s="278"/>
      <c r="D16" s="305">
        <f>D15/D11</f>
        <v>471409.97620180866</v>
      </c>
    </row>
    <row r="17" spans="1:4" ht="13.5" thickBot="1">
      <c r="A17" s="309" t="s">
        <v>3</v>
      </c>
      <c r="B17" s="307"/>
      <c r="C17" s="307"/>
      <c r="D17" s="308">
        <f>D16/10</f>
        <v>47140.99762018087</v>
      </c>
    </row>
    <row r="18" spans="1:4" ht="12.75">
      <c r="A18" s="268"/>
      <c r="B18" s="268"/>
      <c r="C18" s="268"/>
      <c r="D18" s="268"/>
    </row>
    <row r="19" spans="1:6" ht="13.5" thickBot="1">
      <c r="A19" s="9" t="s">
        <v>755</v>
      </c>
      <c r="F19" s="9" t="s">
        <v>754</v>
      </c>
    </row>
    <row r="20" spans="1:9" ht="12.75">
      <c r="A20" s="47" t="s">
        <v>704</v>
      </c>
      <c r="B20" s="71"/>
      <c r="C20" s="71"/>
      <c r="D20" s="297">
        <v>0.45</v>
      </c>
      <c r="F20" s="47" t="s">
        <v>705</v>
      </c>
      <c r="G20" s="83"/>
      <c r="H20" s="71"/>
      <c r="I20" s="294">
        <v>63500</v>
      </c>
    </row>
    <row r="21" spans="1:9" ht="13.5" thickBot="1">
      <c r="A21" s="88" t="s">
        <v>757</v>
      </c>
      <c r="B21" s="72"/>
      <c r="C21" s="72"/>
      <c r="D21" s="298">
        <v>0.17</v>
      </c>
      <c r="F21" s="87" t="s">
        <v>706</v>
      </c>
      <c r="G21" s="79"/>
      <c r="H21" s="21"/>
      <c r="I21" s="295">
        <v>6350</v>
      </c>
    </row>
    <row r="22" spans="6:9" ht="13.5" thickBot="1">
      <c r="F22" s="76" t="s">
        <v>707</v>
      </c>
      <c r="G22" s="77"/>
      <c r="H22" s="72"/>
      <c r="I22" s="296">
        <v>59000</v>
      </c>
    </row>
    <row r="23" ht="13.5" thickBot="1"/>
    <row r="24" spans="1:4" ht="13.5" thickBot="1">
      <c r="A24" s="84" t="s">
        <v>740</v>
      </c>
      <c r="B24" s="340"/>
      <c r="C24" s="63"/>
      <c r="D24" s="195">
        <v>317</v>
      </c>
    </row>
    <row r="25" spans="9:12" ht="13.5" thickBot="1">
      <c r="I25" s="14"/>
      <c r="J25" s="114"/>
      <c r="K25" s="114"/>
      <c r="L25" s="14"/>
    </row>
    <row r="26" spans="1:4" ht="13.5" thickBot="1">
      <c r="A26" s="151" t="s">
        <v>767</v>
      </c>
      <c r="B26" s="355">
        <v>1</v>
      </c>
      <c r="C26" t="s">
        <v>768</v>
      </c>
      <c r="D26" s="1"/>
    </row>
    <row r="27" ht="12.75">
      <c r="D27" s="1"/>
    </row>
    <row r="28" ht="12.75">
      <c r="A28" s="9" t="s">
        <v>764</v>
      </c>
    </row>
    <row r="29" ht="13.5" thickBot="1"/>
    <row r="30" spans="1:27" ht="13.5" thickBot="1">
      <c r="A30" s="329"/>
      <c r="B30" s="112" t="s">
        <v>566</v>
      </c>
      <c r="C30" s="113" t="s">
        <v>567</v>
      </c>
      <c r="D30" s="113" t="s">
        <v>568</v>
      </c>
      <c r="E30" s="113" t="s">
        <v>569</v>
      </c>
      <c r="F30" s="113" t="s">
        <v>570</v>
      </c>
      <c r="G30" s="113" t="s">
        <v>695</v>
      </c>
      <c r="H30" s="113" t="s">
        <v>696</v>
      </c>
      <c r="I30" s="113" t="s">
        <v>697</v>
      </c>
      <c r="J30" s="113" t="s">
        <v>698</v>
      </c>
      <c r="K30" s="113" t="s">
        <v>699</v>
      </c>
      <c r="L30" s="113" t="s">
        <v>727</v>
      </c>
      <c r="M30" s="113" t="s">
        <v>728</v>
      </c>
      <c r="N30" s="113" t="s">
        <v>729</v>
      </c>
      <c r="O30" s="113" t="s">
        <v>730</v>
      </c>
      <c r="P30" s="113" t="s">
        <v>731</v>
      </c>
      <c r="Q30" s="113" t="s">
        <v>742</v>
      </c>
      <c r="R30" s="113" t="s">
        <v>743</v>
      </c>
      <c r="S30" s="113" t="s">
        <v>744</v>
      </c>
      <c r="T30" s="113" t="s">
        <v>745</v>
      </c>
      <c r="U30" s="328" t="s">
        <v>746</v>
      </c>
      <c r="X30" t="s">
        <v>732</v>
      </c>
      <c r="Y30" t="s">
        <v>733</v>
      </c>
      <c r="Z30" t="s">
        <v>734</v>
      </c>
      <c r="AA30" t="s">
        <v>735</v>
      </c>
    </row>
    <row r="31" spans="1:27" ht="12.75">
      <c r="A31" s="87" t="s">
        <v>703</v>
      </c>
      <c r="B31" s="317">
        <f>IF($B$26=2,(('Farm Model Assumptions'!B39*D24)+(SUMPRODUCT('Farm Model Assumptions'!B40:B47,'Farm Model Assumptions'!$C$91:$C$98))+('Farm Model Assumptions'!B47*'Farm Model Assumptions'!$C$99)+(0.04*('Farm Model Assumptions'!$H$25*20/1000)))*1000,"")</f>
      </c>
      <c r="C31" s="316">
        <f>IF($B$26=2,(('Farm Model Assumptions'!C39*D24)+(SUMPRODUCT('Farm Model Assumptions'!C40:C47,'Farm Model Assumptions'!$C$91:$C$98))+('Farm Model Assumptions'!C47*'Farm Model Assumptions'!$C$99)+(0.04*('Farm Model Assumptions'!$H$25*20/1000)))*1000,"")</f>
      </c>
      <c r="D31" s="316">
        <f>IF(B26=2,(('Farm Model Assumptions'!D39*D24)+(SUMPRODUCT('Farm Model Assumptions'!D40:D47,'Farm Model Assumptions'!$C$91:$C$98))+('Farm Model Assumptions'!D47*'Farm Model Assumptions'!$C$99)+(0.04*('Farm Model Assumptions'!$H$25*20/1000)))*1000,"")</f>
      </c>
      <c r="E31" s="316">
        <f>IF($B$26=2,(('Farm Model Assumptions'!E39*D24)+(SUMPRODUCT('Farm Model Assumptions'!E40:E47,'Farm Model Assumptions'!$C$91:$C$98))+('Farm Model Assumptions'!E47*'Farm Model Assumptions'!$C$99)+(0.04*('Farm Model Assumptions'!$H$25*20/1000)))*1000,"")</f>
      </c>
      <c r="F31" s="316">
        <f>IF($B$26=2,(('Farm Model Assumptions'!$F$39*D24)+(SUMPRODUCT('Farm Model Assumptions'!$F$40:$F$47,'Farm Model Assumptions'!$C$91:$C$98))+('Farm Model Assumptions'!$F$47*'Farm Model Assumptions'!$C$99)+(0.04*('Farm Model Assumptions'!$H$25*20/1000)))*1000,"")</f>
      </c>
      <c r="G31" s="316">
        <f aca="true" t="shared" si="0" ref="G31:P31">F31</f>
      </c>
      <c r="H31" s="316">
        <f t="shared" si="0"/>
      </c>
      <c r="I31" s="316">
        <f t="shared" si="0"/>
      </c>
      <c r="J31" s="316">
        <f t="shared" si="0"/>
      </c>
      <c r="K31" s="316">
        <f t="shared" si="0"/>
      </c>
      <c r="L31" s="316">
        <f t="shared" si="0"/>
      </c>
      <c r="M31" s="316">
        <f t="shared" si="0"/>
      </c>
      <c r="N31" s="316">
        <f t="shared" si="0"/>
      </c>
      <c r="O31" s="316">
        <f t="shared" si="0"/>
      </c>
      <c r="P31" s="316">
        <f t="shared" si="0"/>
      </c>
      <c r="Q31" s="316">
        <f>P31</f>
      </c>
      <c r="R31" s="316">
        <f>Q31</f>
      </c>
      <c r="S31" s="316">
        <f>R31</f>
      </c>
      <c r="T31" s="316">
        <f>S31</f>
      </c>
      <c r="U31" s="318">
        <f>T31</f>
      </c>
      <c r="V31" s="257"/>
      <c r="X31" s="257" t="e">
        <f>K31/'Farm Model Assumptions'!$F$52</f>
        <v>#VALUE!</v>
      </c>
      <c r="Y31">
        <v>376</v>
      </c>
      <c r="Z31">
        <v>389</v>
      </c>
      <c r="AA31">
        <v>405</v>
      </c>
    </row>
    <row r="32" spans="1:24" ht="12.75">
      <c r="A32" s="320" t="s">
        <v>700</v>
      </c>
      <c r="B32" s="319">
        <f>IF(B26=2,B159*(('Farm Model Assumptions'!$K$101*D24*1000/'Summary ERRs'!$H$99*'Farm Model Assumptions'!B57)+SUMPRODUCT('Farm Model Assumptions'!$N$108:$N$115,'Farm Model Assumptions'!B58:B65)+('Farm Model Assumptions'!$N$116*'Farm Model Assumptions'!B65)+(60*'Farm Model Assumptions'!$K$29))/((D24*1000/'Summary ERRs'!$H$99*'Farm Model Assumptions'!B57)+(SUMPRODUCT('Farm Model Assumptions'!$C$91:$C$98,'Farm Model Assumptions'!B58:B65)*1000/'Summary ERRs'!$H$99)+(('Farm Model Assumptions'!$C$99*'Farm Model Assumptions'!B65)*1000/'Summary ERRs'!$H$99)+(60*20*('Farm Model Assumptions'!$K$25/'Summary ERRs'!$H$99))),"")</f>
      </c>
      <c r="C32" s="315">
        <f>IF($B$26=2,C159*(('Farm Model Assumptions'!$K$101*D24*1000/'Summary ERRs'!$H$99*'Farm Model Assumptions'!C57)+SUMPRODUCT('Farm Model Assumptions'!$N$108:$N$115,'Farm Model Assumptions'!C58:C65)+('Farm Model Assumptions'!$N$116*'Farm Model Assumptions'!C65)+(60*'Farm Model Assumptions'!$K$29))/((D24*1000/'Summary ERRs'!$H$99*'Farm Model Assumptions'!C57)+(SUMPRODUCT('Farm Model Assumptions'!$C$91:$C$98,'Farm Model Assumptions'!C58:C65)*1000/'Summary ERRs'!$H$99)+(('Farm Model Assumptions'!$C$99*'Farm Model Assumptions'!C65)*1000/'Summary ERRs'!$H$99)+(60*20*('Farm Model Assumptions'!$K$25/'Summary ERRs'!$H$99))),"")</f>
      </c>
      <c r="D32" s="315">
        <f>IF($B$26=2,D159*(('Farm Model Assumptions'!$K$101*D24*1000/'Summary ERRs'!$H$99*'Farm Model Assumptions'!D57)+SUMPRODUCT('Farm Model Assumptions'!$N$108:$N$115,'Farm Model Assumptions'!D58:D65)+('Farm Model Assumptions'!$N$116*'Farm Model Assumptions'!D65)+(60*'Farm Model Assumptions'!$K$29))/((D24*1000/'Summary ERRs'!$H$99*'Farm Model Assumptions'!D57)+(SUMPRODUCT('Farm Model Assumptions'!$C$91:$C$98,'Farm Model Assumptions'!D58:D65)*1000/'Summary ERRs'!$H$99)+(('Farm Model Assumptions'!$C$99*'Farm Model Assumptions'!D65)*1000/'Summary ERRs'!$H$99)+(60*20*('Farm Model Assumptions'!$K$25/'Summary ERRs'!$H$99))),"")</f>
      </c>
      <c r="E32" s="315">
        <f>IF($B$26=2,E159*(('Farm Model Assumptions'!$K$101*D24*1000/'Summary ERRs'!$H$99*'Farm Model Assumptions'!E57)+SUMPRODUCT('Farm Model Assumptions'!$N$108:$N$115,'Farm Model Assumptions'!E58:E65)+('Farm Model Assumptions'!$N$116*'Farm Model Assumptions'!E65)+(60*'Farm Model Assumptions'!$K$29))/((D24*1000/'Summary ERRs'!$H$99*'Farm Model Assumptions'!E57)+(SUMPRODUCT('Farm Model Assumptions'!$C$91:$C$98,'Farm Model Assumptions'!E58:E65)*1000/'Summary ERRs'!$H$99)+(('Farm Model Assumptions'!$C$99*'Farm Model Assumptions'!E65)*1000/'Summary ERRs'!$H$99)+(60*20*('Farm Model Assumptions'!$K$25/'Summary ERRs'!$H$99))),"")</f>
      </c>
      <c r="F32" s="315">
        <f>IF($B$26=2,F159*(('Farm Model Assumptions'!$K$101*D24*1000/'Summary ERRs'!$H$99*'Farm Model Assumptions'!F57)+SUMPRODUCT('Farm Model Assumptions'!$N$108:$N$115,'Farm Model Assumptions'!F58:F65)+('Farm Model Assumptions'!$N$116*'Farm Model Assumptions'!F65)+(60*'Farm Model Assumptions'!$K$29))/((D24*1000/'Summary ERRs'!$H$99*'Farm Model Assumptions'!F57)+(SUMPRODUCT('Farm Model Assumptions'!$C$91:$C$98,'Farm Model Assumptions'!F58:F65)*1000/'Summary ERRs'!$H$99)+(('Farm Model Assumptions'!$C$99*'Farm Model Assumptions'!F65)*1000/'Summary ERRs'!$H$99)+(60*20*('Farm Model Assumptions'!$K$25/'Summary ERRs'!$H$99))),"")</f>
      </c>
      <c r="G32" s="315">
        <f>F32</f>
      </c>
      <c r="H32" s="315">
        <f aca="true" t="shared" si="1" ref="H32:Q32">G32</f>
      </c>
      <c r="I32" s="315">
        <f t="shared" si="1"/>
      </c>
      <c r="J32" s="315">
        <f t="shared" si="1"/>
      </c>
      <c r="K32" s="315">
        <f t="shared" si="1"/>
      </c>
      <c r="L32" s="315">
        <f t="shared" si="1"/>
      </c>
      <c r="M32" s="315">
        <f t="shared" si="1"/>
      </c>
      <c r="N32" s="315">
        <f t="shared" si="1"/>
      </c>
      <c r="O32" s="315">
        <f t="shared" si="1"/>
      </c>
      <c r="P32" s="315">
        <f t="shared" si="1"/>
      </c>
      <c r="Q32" s="316">
        <f t="shared" si="1"/>
      </c>
      <c r="R32" s="316">
        <f aca="true" t="shared" si="2" ref="R32:U34">Q32</f>
      </c>
      <c r="S32" s="316">
        <f t="shared" si="2"/>
      </c>
      <c r="T32" s="316">
        <f t="shared" si="2"/>
      </c>
      <c r="U32" s="318">
        <f t="shared" si="2"/>
      </c>
      <c r="V32" s="258"/>
      <c r="X32" s="258" t="e">
        <f>K32/'Farm Model Assumptions'!$F$52</f>
        <v>#VALUE!</v>
      </c>
    </row>
    <row r="33" spans="1:24" ht="12.75">
      <c r="A33" s="320" t="s">
        <v>701</v>
      </c>
      <c r="B33" s="319">
        <f>IF($B$26=2,($I$20*'Farm Model Assumptions'!B39+$I$21*'Farm Model Assumptions'!B42+$I$22*('Farm Model Assumptions'!B52-'Farm Model Assumptions'!B39-'Farm Model Assumptions'!B42)),"")</f>
      </c>
      <c r="C33" s="315">
        <f>IF($B$26=2,($I$20*'Farm Model Assumptions'!C39+$I$21*'Farm Model Assumptions'!C42+$I$22*('Farm Model Assumptions'!C52-'Farm Model Assumptions'!C39-'Farm Model Assumptions'!C42)),"")</f>
      </c>
      <c r="D33" s="315">
        <f>IF($B$26=2,($I$20*'Farm Model Assumptions'!D39+$I$21*'Farm Model Assumptions'!D42+$I$22*('Farm Model Assumptions'!D52-'Farm Model Assumptions'!D39-'Farm Model Assumptions'!D42)),"")</f>
      </c>
      <c r="E33" s="315">
        <f>IF($B$26=2,($I$20*'Farm Model Assumptions'!E39+$I$21*'Farm Model Assumptions'!E42+$I$22*('Farm Model Assumptions'!E52-'Farm Model Assumptions'!E39-'Farm Model Assumptions'!E42)),"")</f>
      </c>
      <c r="F33" s="315">
        <f>IF($B$26=2,($I$20*'Farm Model Assumptions'!F39+$I$21*'Farm Model Assumptions'!F42+$I$22*('Farm Model Assumptions'!F52-'Farm Model Assumptions'!F39-'Farm Model Assumptions'!F42)),"")</f>
      </c>
      <c r="G33" s="315">
        <f aca="true" t="shared" si="3" ref="G33:Q33">F33</f>
      </c>
      <c r="H33" s="315">
        <f t="shared" si="3"/>
      </c>
      <c r="I33" s="315">
        <f t="shared" si="3"/>
      </c>
      <c r="J33" s="315">
        <f t="shared" si="3"/>
      </c>
      <c r="K33" s="315">
        <f t="shared" si="3"/>
      </c>
      <c r="L33" s="315">
        <f t="shared" si="3"/>
      </c>
      <c r="M33" s="315">
        <f t="shared" si="3"/>
      </c>
      <c r="N33" s="315">
        <f t="shared" si="3"/>
      </c>
      <c r="O33" s="315">
        <f t="shared" si="3"/>
      </c>
      <c r="P33" s="315">
        <f t="shared" si="3"/>
      </c>
      <c r="Q33" s="316">
        <f t="shared" si="3"/>
      </c>
      <c r="R33" s="316">
        <f t="shared" si="2"/>
      </c>
      <c r="S33" s="316">
        <f t="shared" si="2"/>
      </c>
      <c r="T33" s="316">
        <f t="shared" si="2"/>
      </c>
      <c r="U33" s="318">
        <f t="shared" si="2"/>
      </c>
      <c r="V33" s="258"/>
      <c r="X33" s="258" t="e">
        <f>K33/'Farm Model Assumptions'!$F$52</f>
        <v>#VALUE!</v>
      </c>
    </row>
    <row r="34" spans="1:24" ht="12.75">
      <c r="A34" s="320" t="s">
        <v>702</v>
      </c>
      <c r="B34" s="319">
        <f>IF($B$26=2,(1/(1+($D$21*$D$20)))*(B31-B32-B33),"")</f>
      </c>
      <c r="C34" s="315">
        <f>IF($B$26=2,(1/(1+($D$21*$D$20)))*(C31-C32-C33),"")</f>
      </c>
      <c r="D34" s="315">
        <f>IF($B$26=2,(1/(1+($D$21*$D$20)))*(D31-D32-D33),"")</f>
      </c>
      <c r="E34" s="315">
        <f>IF($B$26=2,(1/(1+($D$21*$D$20)))*(E31-E32-E33),"")</f>
      </c>
      <c r="F34" s="315">
        <f>IF($B$26=2,(1/(1+($D$21*$D$20)))*(F31-F32-F33),"")</f>
      </c>
      <c r="G34" s="315">
        <f aca="true" t="shared" si="4" ref="G34:Q34">F34</f>
      </c>
      <c r="H34" s="315">
        <f t="shared" si="4"/>
      </c>
      <c r="I34" s="315">
        <f t="shared" si="4"/>
      </c>
      <c r="J34" s="315">
        <f t="shared" si="4"/>
      </c>
      <c r="K34" s="315">
        <f t="shared" si="4"/>
      </c>
      <c r="L34" s="315">
        <f t="shared" si="4"/>
      </c>
      <c r="M34" s="315">
        <f t="shared" si="4"/>
      </c>
      <c r="N34" s="315">
        <f t="shared" si="4"/>
      </c>
      <c r="O34" s="315">
        <f t="shared" si="4"/>
      </c>
      <c r="P34" s="315">
        <f t="shared" si="4"/>
      </c>
      <c r="Q34" s="316">
        <f t="shared" si="4"/>
      </c>
      <c r="R34" s="316">
        <f t="shared" si="2"/>
      </c>
      <c r="S34" s="316">
        <f t="shared" si="2"/>
      </c>
      <c r="T34" s="316">
        <f t="shared" si="2"/>
      </c>
      <c r="U34" s="318">
        <f t="shared" si="2"/>
      </c>
      <c r="V34" s="258"/>
      <c r="X34" s="258" t="e">
        <f>K34/'Farm Model Assumptions'!$F$52</f>
        <v>#VALUE!</v>
      </c>
    </row>
    <row r="35" spans="1:24" ht="12.75">
      <c r="A35" s="320" t="s">
        <v>709</v>
      </c>
      <c r="B35" s="319">
        <f>IF($B$26=2,($D$20*B34)*$D$21,"")</f>
      </c>
      <c r="C35" s="315">
        <f aca="true" t="shared" si="5" ref="C35:U35">IF($B$26=2,($D$20*C34)*$D$21,"")</f>
      </c>
      <c r="D35" s="315">
        <f t="shared" si="5"/>
      </c>
      <c r="E35" s="315">
        <f t="shared" si="5"/>
      </c>
      <c r="F35" s="315">
        <f t="shared" si="5"/>
      </c>
      <c r="G35" s="315">
        <f t="shared" si="5"/>
      </c>
      <c r="H35" s="315">
        <f t="shared" si="5"/>
      </c>
      <c r="I35" s="315">
        <f t="shared" si="5"/>
      </c>
      <c r="J35" s="315">
        <f t="shared" si="5"/>
      </c>
      <c r="K35" s="315">
        <f t="shared" si="5"/>
      </c>
      <c r="L35" s="315">
        <f t="shared" si="5"/>
      </c>
      <c r="M35" s="315">
        <f t="shared" si="5"/>
      </c>
      <c r="N35" s="315">
        <f t="shared" si="5"/>
      </c>
      <c r="O35" s="315">
        <f t="shared" si="5"/>
      </c>
      <c r="P35" s="315">
        <f t="shared" si="5"/>
      </c>
      <c r="Q35" s="316">
        <f t="shared" si="5"/>
      </c>
      <c r="R35" s="316">
        <f t="shared" si="5"/>
      </c>
      <c r="S35" s="316">
        <f t="shared" si="5"/>
      </c>
      <c r="T35" s="316">
        <f t="shared" si="5"/>
      </c>
      <c r="U35" s="318">
        <f t="shared" si="5"/>
      </c>
      <c r="V35" s="258"/>
      <c r="X35" s="258" t="e">
        <f>K35/'Farm Model Assumptions'!$F$52</f>
        <v>#VALUE!</v>
      </c>
    </row>
    <row r="36" spans="1:27" ht="12.75">
      <c r="A36" s="87" t="s">
        <v>694</v>
      </c>
      <c r="B36" s="317">
        <f>IF($B$26=2,SUM(B37:B41),"")</f>
      </c>
      <c r="C36" s="316">
        <f aca="true" t="shared" si="6" ref="C36:H36">IF($B$26=2,SUM(C37:C41),"")</f>
      </c>
      <c r="D36" s="316">
        <f t="shared" si="6"/>
      </c>
      <c r="E36" s="316">
        <f t="shared" si="6"/>
      </c>
      <c r="F36" s="316">
        <f t="shared" si="6"/>
      </c>
      <c r="G36" s="316">
        <f t="shared" si="6"/>
      </c>
      <c r="H36" s="316">
        <f t="shared" si="6"/>
      </c>
      <c r="I36" s="316">
        <f aca="true" t="shared" si="7" ref="I36:U36">IF($B$26=2,SUM(I37:I41),"")</f>
      </c>
      <c r="J36" s="316">
        <f t="shared" si="7"/>
      </c>
      <c r="K36" s="316">
        <f t="shared" si="7"/>
      </c>
      <c r="L36" s="316">
        <f t="shared" si="7"/>
      </c>
      <c r="M36" s="316">
        <f t="shared" si="7"/>
      </c>
      <c r="N36" s="316">
        <f t="shared" si="7"/>
      </c>
      <c r="O36" s="316">
        <f t="shared" si="7"/>
      </c>
      <c r="P36" s="316">
        <f t="shared" si="7"/>
      </c>
      <c r="Q36" s="316">
        <f t="shared" si="7"/>
      </c>
      <c r="R36" s="316">
        <f t="shared" si="7"/>
      </c>
      <c r="S36" s="316">
        <f t="shared" si="7"/>
      </c>
      <c r="T36" s="316">
        <f t="shared" si="7"/>
      </c>
      <c r="U36" s="318">
        <f t="shared" si="7"/>
      </c>
      <c r="V36" s="257"/>
      <c r="X36" s="257" t="e">
        <f>K36/'Farm Model Assumptions'!$F$52</f>
        <v>#VALUE!</v>
      </c>
      <c r="Y36">
        <v>14</v>
      </c>
      <c r="Z36">
        <v>13</v>
      </c>
      <c r="AA36">
        <v>10</v>
      </c>
    </row>
    <row r="37" spans="1:24" ht="12.75">
      <c r="A37" s="320" t="s">
        <v>724</v>
      </c>
      <c r="B37" s="319">
        <f>IF($B$26=2,(1-D12)*D7,"")</f>
      </c>
      <c r="C37" s="315">
        <f>IF($B$26=2,0,"")</f>
      </c>
      <c r="D37" s="315">
        <f aca="true" t="shared" si="8" ref="D37:U39">IF($B$26=2,0,"")</f>
      </c>
      <c r="E37" s="315">
        <f t="shared" si="8"/>
      </c>
      <c r="F37" s="315">
        <f t="shared" si="8"/>
      </c>
      <c r="G37" s="315">
        <f>IF($B$26=2,50000,"")</f>
      </c>
      <c r="H37" s="315">
        <f t="shared" si="8"/>
      </c>
      <c r="I37" s="315">
        <f t="shared" si="8"/>
      </c>
      <c r="J37" s="315">
        <f t="shared" si="8"/>
      </c>
      <c r="K37" s="315">
        <f t="shared" si="8"/>
      </c>
      <c r="L37" s="315">
        <f t="shared" si="8"/>
      </c>
      <c r="M37" s="315">
        <f>IF($B$26=2,50000,"")</f>
      </c>
      <c r="N37" s="315">
        <f t="shared" si="8"/>
      </c>
      <c r="O37" s="315">
        <f t="shared" si="8"/>
      </c>
      <c r="P37" s="315">
        <f t="shared" si="8"/>
      </c>
      <c r="Q37" s="316">
        <f t="shared" si="8"/>
      </c>
      <c r="R37" s="316">
        <f t="shared" si="8"/>
      </c>
      <c r="S37" s="316">
        <f>IF($B$26=2,50000,"")</f>
      </c>
      <c r="T37" s="316">
        <f t="shared" si="8"/>
      </c>
      <c r="U37" s="318">
        <f t="shared" si="8"/>
      </c>
      <c r="V37" s="258"/>
      <c r="X37" s="258" t="e">
        <f>K37/'Farm Model Assumptions'!$F$52</f>
        <v>#VALUE!</v>
      </c>
    </row>
    <row r="38" spans="1:24" ht="12.75">
      <c r="A38" s="320" t="s">
        <v>722</v>
      </c>
      <c r="B38" s="319">
        <f>IF($B$26=2,$I$13*'Farm Model Assumptions'!B39,"")</f>
      </c>
      <c r="C38" s="315">
        <f>IF($B$26=2,$I$13*'Farm Model Assumptions'!C39,"")</f>
      </c>
      <c r="D38" s="315">
        <f>IF($B$26=2,$I$13*'Farm Model Assumptions'!D39,"")</f>
      </c>
      <c r="E38" s="315">
        <f>IF($B$26=2,$I$13*'Farm Model Assumptions'!E39,"")</f>
      </c>
      <c r="F38" s="315">
        <f>IF($B$26=2,$I$13*'Farm Model Assumptions'!F39,"")</f>
      </c>
      <c r="G38" s="315">
        <f>IF($B$26=2,0,"")</f>
      </c>
      <c r="H38" s="315">
        <f t="shared" si="8"/>
      </c>
      <c r="I38" s="315">
        <f t="shared" si="8"/>
      </c>
      <c r="J38" s="315">
        <f t="shared" si="8"/>
      </c>
      <c r="K38" s="315">
        <f t="shared" si="8"/>
      </c>
      <c r="L38" s="315">
        <f t="shared" si="8"/>
      </c>
      <c r="M38" s="315">
        <f t="shared" si="8"/>
      </c>
      <c r="N38" s="315">
        <f t="shared" si="8"/>
      </c>
      <c r="O38" s="315">
        <f t="shared" si="8"/>
      </c>
      <c r="P38" s="315">
        <f t="shared" si="8"/>
      </c>
      <c r="Q38" s="316">
        <f t="shared" si="8"/>
      </c>
      <c r="R38" s="316">
        <f t="shared" si="8"/>
      </c>
      <c r="S38" s="316">
        <f t="shared" si="8"/>
      </c>
      <c r="T38" s="316">
        <f t="shared" si="8"/>
      </c>
      <c r="U38" s="318">
        <f t="shared" si="8"/>
      </c>
      <c r="V38" s="258"/>
      <c r="X38" s="258" t="e">
        <f>K38/'Farm Model Assumptions'!$F$52</f>
        <v>#VALUE!</v>
      </c>
    </row>
    <row r="39" spans="1:24" ht="12.75">
      <c r="A39" s="320" t="s">
        <v>771</v>
      </c>
      <c r="B39" s="319">
        <f>IF($B$26=2,$I$12*'Farm Model Assumptions'!B39,"")</f>
      </c>
      <c r="C39" s="315">
        <f>IF($B$26=2,$I$12*'Farm Model Assumptions'!C39,"")</f>
      </c>
      <c r="D39" s="315">
        <f>IF($B$26=2,$I$12*'Farm Model Assumptions'!D39,"")</f>
      </c>
      <c r="E39" s="315">
        <f>IF($B$26=2,$I$12*'Farm Model Assumptions'!E39,"")</f>
      </c>
      <c r="F39" s="315">
        <f>IF($B$26=2,$I$12*'Farm Model Assumptions'!F39,"")</f>
      </c>
      <c r="G39" s="315">
        <f>IF($B$26=2,0,"")</f>
      </c>
      <c r="H39" s="315">
        <f t="shared" si="8"/>
      </c>
      <c r="I39" s="315">
        <f t="shared" si="8"/>
      </c>
      <c r="J39" s="315">
        <f t="shared" si="8"/>
      </c>
      <c r="K39" s="315">
        <f t="shared" si="8"/>
      </c>
      <c r="L39" s="315">
        <f t="shared" si="8"/>
      </c>
      <c r="M39" s="315">
        <f t="shared" si="8"/>
      </c>
      <c r="N39" s="315">
        <f t="shared" si="8"/>
      </c>
      <c r="O39" s="315">
        <f t="shared" si="8"/>
      </c>
      <c r="P39" s="315">
        <f t="shared" si="8"/>
      </c>
      <c r="Q39" s="316">
        <f t="shared" si="8"/>
      </c>
      <c r="R39" s="316">
        <f t="shared" si="8"/>
      </c>
      <c r="S39" s="316">
        <f t="shared" si="8"/>
      </c>
      <c r="T39" s="316">
        <f t="shared" si="8"/>
      </c>
      <c r="U39" s="318">
        <f t="shared" si="8"/>
      </c>
      <c r="V39" s="258"/>
      <c r="X39" s="258" t="e">
        <f>K39/'Farm Model Assumptions'!$F$52</f>
        <v>#VALUE!</v>
      </c>
    </row>
    <row r="40" spans="1:24" ht="12.75">
      <c r="A40" s="320" t="s">
        <v>719</v>
      </c>
      <c r="B40" s="319">
        <f>IF($B$26=2,$I$10*'Farm Model Assumptions'!B39,"")</f>
      </c>
      <c r="C40" s="315">
        <f>IF($B$26=2,$I$10*'Farm Model Assumptions'!C39,"")</f>
      </c>
      <c r="D40" s="315">
        <f>IF($B$26=2,$I$10*'Farm Model Assumptions'!D39,"")</f>
      </c>
      <c r="E40" s="315">
        <f>IF($B$26=2,$I$10*'Farm Model Assumptions'!E39,"")</f>
      </c>
      <c r="F40" s="315">
        <f>IF($B$26=2,$I$10*'Farm Model Assumptions'!F39,"")</f>
      </c>
      <c r="G40" s="315">
        <f>IF($B$26=2,F40,"")</f>
      </c>
      <c r="H40" s="315">
        <f aca="true" t="shared" si="9" ref="H40:U40">IF($B$26=2,G40,"")</f>
      </c>
      <c r="I40" s="315">
        <f t="shared" si="9"/>
      </c>
      <c r="J40" s="315">
        <f t="shared" si="9"/>
      </c>
      <c r="K40" s="315">
        <f t="shared" si="9"/>
      </c>
      <c r="L40" s="315">
        <f t="shared" si="9"/>
      </c>
      <c r="M40" s="315">
        <f t="shared" si="9"/>
      </c>
      <c r="N40" s="315">
        <f t="shared" si="9"/>
      </c>
      <c r="O40" s="315">
        <f t="shared" si="9"/>
      </c>
      <c r="P40" s="315">
        <f t="shared" si="9"/>
      </c>
      <c r="Q40" s="316">
        <f t="shared" si="9"/>
      </c>
      <c r="R40" s="316">
        <f t="shared" si="9"/>
      </c>
      <c r="S40" s="316">
        <f t="shared" si="9"/>
      </c>
      <c r="T40" s="316">
        <f t="shared" si="9"/>
      </c>
      <c r="U40" s="318">
        <f t="shared" si="9"/>
      </c>
      <c r="V40" s="258"/>
      <c r="X40" s="258" t="e">
        <f>K40/'Farm Model Assumptions'!$F$52</f>
        <v>#VALUE!</v>
      </c>
    </row>
    <row r="41" spans="1:24" ht="13.5" thickBot="1">
      <c r="A41" s="320" t="s">
        <v>723</v>
      </c>
      <c r="B41" s="319">
        <f>IF($B$26=2,$I$11*'Farm Model Assumptions'!B39,"")</f>
      </c>
      <c r="C41" s="315">
        <f>IF($B$26=2,$I$11*'Farm Model Assumptions'!C39,"")</f>
      </c>
      <c r="D41" s="315">
        <f>IF($B$26=2,$I$11*'Farm Model Assumptions'!D39,"")</f>
      </c>
      <c r="E41" s="315">
        <f>IF($B$26=2,$I$11*'Farm Model Assumptions'!E39,"")</f>
      </c>
      <c r="F41" s="315">
        <f>IF($B$26=2,$I$11*'Farm Model Assumptions'!F39,"")</f>
      </c>
      <c r="G41" s="315">
        <f>IF($B$26=2,F41,"")</f>
      </c>
      <c r="H41" s="315">
        <f aca="true" t="shared" si="10" ref="H41:U41">IF($B$26=2,G41,"")</f>
      </c>
      <c r="I41" s="315">
        <f t="shared" si="10"/>
      </c>
      <c r="J41" s="315">
        <f t="shared" si="10"/>
      </c>
      <c r="K41" s="315">
        <f t="shared" si="10"/>
      </c>
      <c r="L41" s="315">
        <f t="shared" si="10"/>
      </c>
      <c r="M41" s="315">
        <f t="shared" si="10"/>
      </c>
      <c r="N41" s="315">
        <f t="shared" si="10"/>
      </c>
      <c r="O41" s="315">
        <f t="shared" si="10"/>
      </c>
      <c r="P41" s="315">
        <f t="shared" si="10"/>
      </c>
      <c r="Q41" s="316">
        <f t="shared" si="10"/>
      </c>
      <c r="R41" s="316">
        <f t="shared" si="10"/>
      </c>
      <c r="S41" s="316">
        <f t="shared" si="10"/>
      </c>
      <c r="T41" s="316">
        <f t="shared" si="10"/>
      </c>
      <c r="U41" s="318">
        <f t="shared" si="10"/>
      </c>
      <c r="V41" s="258"/>
      <c r="X41" s="258" t="e">
        <f>K41/'Farm Model Assumptions'!$F$52</f>
        <v>#VALUE!</v>
      </c>
    </row>
    <row r="42" spans="1:29" ht="12.75">
      <c r="A42" s="321" t="s">
        <v>765</v>
      </c>
      <c r="B42" s="322">
        <f>IF($B$26=1,B158*1000,IF($B$26=2,(B31+B36),"Error"))</f>
        <v>420117.780651904</v>
      </c>
      <c r="C42" s="323">
        <f>IF($B$26=1,C158*1000,IF($B$26=2,(C31+C36),"Error"))</f>
        <v>426978.33548892796</v>
      </c>
      <c r="D42" s="323">
        <f>IF($B$26=1,D158*1000,IF($B$26=2,(D31+D36),"Error"))</f>
        <v>436045.14032595203</v>
      </c>
      <c r="E42" s="323">
        <f>IF($B$26=1,E158*1000,IF($B$26=2,(E31+E36),"Error"))</f>
        <v>444146.320162976</v>
      </c>
      <c r="F42" s="323">
        <f>IF($B$26=1,F158*1000,IF($B$26=2,(F31+F36),"Error"))</f>
        <v>452247.50000000006</v>
      </c>
      <c r="G42" s="323">
        <f>IF(B26=1,F42,IF(B26=2,G36+G31))</f>
        <v>452247.50000000006</v>
      </c>
      <c r="H42" s="323">
        <f aca="true" t="shared" si="11" ref="H42:P42">G42</f>
        <v>452247.50000000006</v>
      </c>
      <c r="I42" s="323">
        <f t="shared" si="11"/>
        <v>452247.50000000006</v>
      </c>
      <c r="J42" s="323">
        <f t="shared" si="11"/>
        <v>452247.50000000006</v>
      </c>
      <c r="K42" s="323">
        <f t="shared" si="11"/>
        <v>452247.50000000006</v>
      </c>
      <c r="L42" s="323">
        <f t="shared" si="11"/>
        <v>452247.50000000006</v>
      </c>
      <c r="M42" s="323">
        <f t="shared" si="11"/>
        <v>452247.50000000006</v>
      </c>
      <c r="N42" s="323">
        <f t="shared" si="11"/>
        <v>452247.50000000006</v>
      </c>
      <c r="O42" s="323">
        <f t="shared" si="11"/>
        <v>452247.50000000006</v>
      </c>
      <c r="P42" s="323">
        <f t="shared" si="11"/>
        <v>452247.50000000006</v>
      </c>
      <c r="Q42" s="323">
        <f>P42</f>
        <v>452247.50000000006</v>
      </c>
      <c r="R42" s="323">
        <f>Q42</f>
        <v>452247.50000000006</v>
      </c>
      <c r="S42" s="323">
        <f>R42</f>
        <v>452247.50000000006</v>
      </c>
      <c r="T42" s="323">
        <f>S42</f>
        <v>452247.50000000006</v>
      </c>
      <c r="U42" s="324">
        <f>T42</f>
        <v>452247.50000000006</v>
      </c>
      <c r="V42" s="257"/>
      <c r="X42" s="257">
        <f>K42/'Farm Model Assumptions'!$F$52</f>
        <v>393258.6956521739</v>
      </c>
      <c r="Y42">
        <v>390</v>
      </c>
      <c r="Z42">
        <v>403</v>
      </c>
      <c r="AA42">
        <v>415</v>
      </c>
      <c r="AC42">
        <f>(SUMPRODUCT('Farm Model Assumptions'!C90:C98,'Farm Model Assumptions'!F39:F47)+('Farm Model Assumptions'!C99*'Farm Model Assumptions'!F47)+0*'Farm Model Assumptions'!K25*20/1000)/('Farm Model Assumptions'!F52+0)</f>
        <v>389.18260869565216</v>
      </c>
    </row>
    <row r="43" spans="1:24" ht="13.5" thickBot="1">
      <c r="A43" s="98" t="s">
        <v>736</v>
      </c>
      <c r="B43" s="325">
        <f>B42/10</f>
        <v>42011.7780651904</v>
      </c>
      <c r="C43" s="326">
        <f aca="true" t="shared" si="12" ref="C43:U43">C42/10</f>
        <v>42697.8335488928</v>
      </c>
      <c r="D43" s="326">
        <f t="shared" si="12"/>
        <v>43604.5140325952</v>
      </c>
      <c r="E43" s="326">
        <f t="shared" si="12"/>
        <v>44414.6320162976</v>
      </c>
      <c r="F43" s="326">
        <f t="shared" si="12"/>
        <v>45224.75000000001</v>
      </c>
      <c r="G43" s="326">
        <f t="shared" si="12"/>
        <v>45224.75000000001</v>
      </c>
      <c r="H43" s="326">
        <f t="shared" si="12"/>
        <v>45224.75000000001</v>
      </c>
      <c r="I43" s="326">
        <f t="shared" si="12"/>
        <v>45224.75000000001</v>
      </c>
      <c r="J43" s="326">
        <f t="shared" si="12"/>
        <v>45224.75000000001</v>
      </c>
      <c r="K43" s="326">
        <f t="shared" si="12"/>
        <v>45224.75000000001</v>
      </c>
      <c r="L43" s="326">
        <f t="shared" si="12"/>
        <v>45224.75000000001</v>
      </c>
      <c r="M43" s="326">
        <f t="shared" si="12"/>
        <v>45224.75000000001</v>
      </c>
      <c r="N43" s="326">
        <f t="shared" si="12"/>
        <v>45224.75000000001</v>
      </c>
      <c r="O43" s="326">
        <f t="shared" si="12"/>
        <v>45224.75000000001</v>
      </c>
      <c r="P43" s="326">
        <f t="shared" si="12"/>
        <v>45224.75000000001</v>
      </c>
      <c r="Q43" s="326">
        <f t="shared" si="12"/>
        <v>45224.75000000001</v>
      </c>
      <c r="R43" s="326">
        <f t="shared" si="12"/>
        <v>45224.75000000001</v>
      </c>
      <c r="S43" s="326">
        <f t="shared" si="12"/>
        <v>45224.75000000001</v>
      </c>
      <c r="T43" s="326">
        <f t="shared" si="12"/>
        <v>45224.75000000001</v>
      </c>
      <c r="U43" s="327">
        <f t="shared" si="12"/>
        <v>45224.75000000001</v>
      </c>
      <c r="V43" s="257"/>
      <c r="X43" s="257"/>
    </row>
    <row r="44" spans="1:24" ht="13.5" thickBot="1">
      <c r="A44" s="192"/>
      <c r="B44" s="215"/>
      <c r="C44" s="215"/>
      <c r="D44" s="215"/>
      <c r="E44" s="215"/>
      <c r="F44" s="215"/>
      <c r="G44" s="215"/>
      <c r="H44" s="215"/>
      <c r="I44" s="215"/>
      <c r="J44" s="215"/>
      <c r="K44" s="215"/>
      <c r="L44" s="215"/>
      <c r="M44" s="215"/>
      <c r="N44" s="215"/>
      <c r="O44" s="215"/>
      <c r="P44" s="215"/>
      <c r="Q44" s="215"/>
      <c r="R44" s="215"/>
      <c r="S44" s="215"/>
      <c r="T44" s="215"/>
      <c r="U44" s="215"/>
      <c r="V44" s="257"/>
      <c r="X44" s="257"/>
    </row>
    <row r="45" spans="1:24" ht="12.75">
      <c r="A45" s="172" t="s">
        <v>769</v>
      </c>
      <c r="B45" s="332">
        <f>H43</f>
        <v>45224.75000000001</v>
      </c>
      <c r="C45" s="215"/>
      <c r="D45" s="193" t="s">
        <v>741</v>
      </c>
      <c r="E45" s="71"/>
      <c r="F45" s="71"/>
      <c r="G45" s="71"/>
      <c r="H45" s="83"/>
      <c r="I45" s="338">
        <f>IF($B$26=2,F34/F31,"")</f>
      </c>
      <c r="J45" s="215"/>
      <c r="K45" s="215"/>
      <c r="L45" s="215"/>
      <c r="M45" s="215"/>
      <c r="N45" s="215"/>
      <c r="O45" s="215"/>
      <c r="P45" s="215"/>
      <c r="Q45" s="215"/>
      <c r="R45" s="215"/>
      <c r="S45" s="215"/>
      <c r="T45" s="215"/>
      <c r="U45" s="215"/>
      <c r="V45" s="257"/>
      <c r="X45" s="257"/>
    </row>
    <row r="46" spans="1:24" ht="13.5" thickBot="1">
      <c r="A46" s="173" t="s">
        <v>770</v>
      </c>
      <c r="B46" s="333">
        <f>AVERAGE(B43:U43)</f>
        <v>44816.2378831488</v>
      </c>
      <c r="C46" s="215"/>
      <c r="D46" s="194" t="s">
        <v>708</v>
      </c>
      <c r="E46" s="72"/>
      <c r="F46" s="72"/>
      <c r="G46" s="72"/>
      <c r="H46" s="77"/>
      <c r="I46" s="339">
        <f>IF(B26=2,F32/F31,"")</f>
      </c>
      <c r="J46" s="215"/>
      <c r="K46" s="215"/>
      <c r="L46" s="215"/>
      <c r="M46" s="215"/>
      <c r="N46" s="215"/>
      <c r="O46" s="215"/>
      <c r="P46" s="215"/>
      <c r="Q46" s="215"/>
      <c r="R46" s="215"/>
      <c r="S46" s="215"/>
      <c r="T46" s="215"/>
      <c r="U46" s="215"/>
      <c r="V46" s="257"/>
      <c r="X46" s="257"/>
    </row>
    <row r="47" ht="13.5" thickBot="1">
      <c r="A47" s="222"/>
    </row>
    <row r="48" spans="1:27" ht="12.75">
      <c r="A48" s="330" t="s">
        <v>725</v>
      </c>
      <c r="B48" s="322">
        <f>IF($B$51=1,(0.8*B142*1000),B142*1000)</f>
        <v>849036.2574806986</v>
      </c>
      <c r="C48" s="323">
        <f>IF($B$51=1,(0.8*C142*1000),C142*1000)</f>
        <v>980257.3205896356</v>
      </c>
      <c r="D48" s="323">
        <f>IF($B$51=1,(0.8*D142*1000),D142*1000)</f>
        <v>1105834.4381523007</v>
      </c>
      <c r="E48" s="323">
        <f>IF($B$51=1,(0.8*E142*1000),E142*1000)</f>
        <v>1225201.4282358543</v>
      </c>
      <c r="F48" s="323">
        <f>IF($B$51=1,(0.8*F142*1000),F142*1000)</f>
        <v>1292200</v>
      </c>
      <c r="G48" s="323">
        <f aca="true" t="shared" si="13" ref="G48:P48">F48</f>
        <v>1292200</v>
      </c>
      <c r="H48" s="323">
        <f t="shared" si="13"/>
        <v>1292200</v>
      </c>
      <c r="I48" s="323">
        <f t="shared" si="13"/>
        <v>1292200</v>
      </c>
      <c r="J48" s="323">
        <f t="shared" si="13"/>
        <v>1292200</v>
      </c>
      <c r="K48" s="323">
        <f t="shared" si="13"/>
        <v>1292200</v>
      </c>
      <c r="L48" s="323">
        <f t="shared" si="13"/>
        <v>1292200</v>
      </c>
      <c r="M48" s="323">
        <f t="shared" si="13"/>
        <v>1292200</v>
      </c>
      <c r="N48" s="323">
        <f t="shared" si="13"/>
        <v>1292200</v>
      </c>
      <c r="O48" s="323">
        <f t="shared" si="13"/>
        <v>1292200</v>
      </c>
      <c r="P48" s="323">
        <f t="shared" si="13"/>
        <v>1292200</v>
      </c>
      <c r="Q48" s="323">
        <f>P48</f>
        <v>1292200</v>
      </c>
      <c r="R48" s="323">
        <f>Q48</f>
        <v>1292200</v>
      </c>
      <c r="S48" s="323">
        <f>R48</f>
        <v>1292200</v>
      </c>
      <c r="T48" s="323">
        <f>S48</f>
        <v>1292200</v>
      </c>
      <c r="U48" s="324">
        <f>T48</f>
        <v>1292200</v>
      </c>
      <c r="V48" s="257"/>
      <c r="X48" s="257">
        <f>K48/'Farm Model Assumptions'!$F$52</f>
        <v>1123652.1739130435</v>
      </c>
      <c r="Y48">
        <v>393</v>
      </c>
      <c r="Z48">
        <v>526</v>
      </c>
      <c r="AA48">
        <v>623</v>
      </c>
    </row>
    <row r="49" spans="1:24" ht="13.5" thickBot="1">
      <c r="A49" s="331" t="s">
        <v>766</v>
      </c>
      <c r="B49" s="325">
        <f>B48/10</f>
        <v>84903.62574806987</v>
      </c>
      <c r="C49" s="326">
        <f aca="true" t="shared" si="14" ref="C49:U49">C48/10</f>
        <v>98025.73205896356</v>
      </c>
      <c r="D49" s="326">
        <f t="shared" si="14"/>
        <v>110583.44381523007</v>
      </c>
      <c r="E49" s="326">
        <f t="shared" si="14"/>
        <v>122520.14282358543</v>
      </c>
      <c r="F49" s="326">
        <f t="shared" si="14"/>
        <v>129220</v>
      </c>
      <c r="G49" s="326">
        <f t="shared" si="14"/>
        <v>129220</v>
      </c>
      <c r="H49" s="326">
        <f t="shared" si="14"/>
        <v>129220</v>
      </c>
      <c r="I49" s="326">
        <f t="shared" si="14"/>
        <v>129220</v>
      </c>
      <c r="J49" s="326">
        <f t="shared" si="14"/>
        <v>129220</v>
      </c>
      <c r="K49" s="326">
        <f t="shared" si="14"/>
        <v>129220</v>
      </c>
      <c r="L49" s="326">
        <f t="shared" si="14"/>
        <v>129220</v>
      </c>
      <c r="M49" s="326">
        <f t="shared" si="14"/>
        <v>129220</v>
      </c>
      <c r="N49" s="326">
        <f t="shared" si="14"/>
        <v>129220</v>
      </c>
      <c r="O49" s="326">
        <f t="shared" si="14"/>
        <v>129220</v>
      </c>
      <c r="P49" s="326">
        <f t="shared" si="14"/>
        <v>129220</v>
      </c>
      <c r="Q49" s="326">
        <f t="shared" si="14"/>
        <v>129220</v>
      </c>
      <c r="R49" s="326">
        <f t="shared" si="14"/>
        <v>129220</v>
      </c>
      <c r="S49" s="326">
        <f t="shared" si="14"/>
        <v>129220</v>
      </c>
      <c r="T49" s="326">
        <f t="shared" si="14"/>
        <v>129220</v>
      </c>
      <c r="U49" s="327">
        <f t="shared" si="14"/>
        <v>129220</v>
      </c>
      <c r="V49" s="257"/>
      <c r="X49" s="257"/>
    </row>
    <row r="50" ht="13.5" thickBot="1"/>
    <row r="51" spans="1:5" ht="13.5" thickBot="1">
      <c r="A51" s="84" t="s">
        <v>51</v>
      </c>
      <c r="B51" s="475">
        <v>0</v>
      </c>
      <c r="D51" s="1"/>
      <c r="E51" s="1"/>
    </row>
    <row r="52" ht="13.5" thickBot="1"/>
    <row r="53" spans="1:24" ht="12.75">
      <c r="A53" s="330" t="s">
        <v>726</v>
      </c>
      <c r="B53" s="322">
        <f>B48-B42</f>
        <v>428918.47682879464</v>
      </c>
      <c r="C53" s="323">
        <f aca="true" t="shared" si="15" ref="C53:K53">C48-C42</f>
        <v>553278.9851007077</v>
      </c>
      <c r="D53" s="323">
        <f t="shared" si="15"/>
        <v>669789.2978263486</v>
      </c>
      <c r="E53" s="323">
        <f t="shared" si="15"/>
        <v>781055.1080728783</v>
      </c>
      <c r="F53" s="323">
        <f>F48-F42</f>
        <v>839952.5</v>
      </c>
      <c r="G53" s="323">
        <f t="shared" si="15"/>
        <v>839952.5</v>
      </c>
      <c r="H53" s="323">
        <f t="shared" si="15"/>
        <v>839952.5</v>
      </c>
      <c r="I53" s="323">
        <f t="shared" si="15"/>
        <v>839952.5</v>
      </c>
      <c r="J53" s="323">
        <f t="shared" si="15"/>
        <v>839952.5</v>
      </c>
      <c r="K53" s="323">
        <f t="shared" si="15"/>
        <v>839952.5</v>
      </c>
      <c r="L53" s="323">
        <f aca="true" t="shared" si="16" ref="L53:U53">L48-L42</f>
        <v>839952.5</v>
      </c>
      <c r="M53" s="323">
        <f t="shared" si="16"/>
        <v>839952.5</v>
      </c>
      <c r="N53" s="323">
        <f t="shared" si="16"/>
        <v>839952.5</v>
      </c>
      <c r="O53" s="323">
        <f t="shared" si="16"/>
        <v>839952.5</v>
      </c>
      <c r="P53" s="323">
        <f t="shared" si="16"/>
        <v>839952.5</v>
      </c>
      <c r="Q53" s="323">
        <f t="shared" si="16"/>
        <v>839952.5</v>
      </c>
      <c r="R53" s="323">
        <f t="shared" si="16"/>
        <v>839952.5</v>
      </c>
      <c r="S53" s="323">
        <f t="shared" si="16"/>
        <v>839952.5</v>
      </c>
      <c r="T53" s="323">
        <f t="shared" si="16"/>
        <v>839952.5</v>
      </c>
      <c r="U53" s="324">
        <f t="shared" si="16"/>
        <v>839952.5</v>
      </c>
      <c r="V53" s="257"/>
      <c r="X53" s="257">
        <f>K53/'Farm Model Assumptions'!$F$52</f>
        <v>730393.4782608695</v>
      </c>
    </row>
    <row r="54" spans="1:24" ht="13.5" thickBot="1">
      <c r="A54" s="331" t="s">
        <v>737</v>
      </c>
      <c r="B54" s="325">
        <f>B49-B43</f>
        <v>42891.84768287947</v>
      </c>
      <c r="C54" s="326">
        <f aca="true" t="shared" si="17" ref="C54:U54">C49-C43</f>
        <v>55327.898510070765</v>
      </c>
      <c r="D54" s="326">
        <f t="shared" si="17"/>
        <v>66978.92978263486</v>
      </c>
      <c r="E54" s="326">
        <f t="shared" si="17"/>
        <v>78105.51080728782</v>
      </c>
      <c r="F54" s="326">
        <f t="shared" si="17"/>
        <v>83995.25</v>
      </c>
      <c r="G54" s="326">
        <f t="shared" si="17"/>
        <v>83995.25</v>
      </c>
      <c r="H54" s="326">
        <f t="shared" si="17"/>
        <v>83995.25</v>
      </c>
      <c r="I54" s="326">
        <f t="shared" si="17"/>
        <v>83995.25</v>
      </c>
      <c r="J54" s="326">
        <f t="shared" si="17"/>
        <v>83995.25</v>
      </c>
      <c r="K54" s="326">
        <f t="shared" si="17"/>
        <v>83995.25</v>
      </c>
      <c r="L54" s="326">
        <f t="shared" si="17"/>
        <v>83995.25</v>
      </c>
      <c r="M54" s="326">
        <f t="shared" si="17"/>
        <v>83995.25</v>
      </c>
      <c r="N54" s="326">
        <f t="shared" si="17"/>
        <v>83995.25</v>
      </c>
      <c r="O54" s="326">
        <f t="shared" si="17"/>
        <v>83995.25</v>
      </c>
      <c r="P54" s="326">
        <f t="shared" si="17"/>
        <v>83995.25</v>
      </c>
      <c r="Q54" s="326">
        <f t="shared" si="17"/>
        <v>83995.25</v>
      </c>
      <c r="R54" s="326">
        <f t="shared" si="17"/>
        <v>83995.25</v>
      </c>
      <c r="S54" s="326">
        <f t="shared" si="17"/>
        <v>83995.25</v>
      </c>
      <c r="T54" s="326">
        <f t="shared" si="17"/>
        <v>83995.25</v>
      </c>
      <c r="U54" s="327">
        <f t="shared" si="17"/>
        <v>83995.25</v>
      </c>
      <c r="V54" s="257"/>
      <c r="X54" s="257"/>
    </row>
    <row r="55" spans="1:24" ht="13.5" thickBot="1">
      <c r="A55" s="78"/>
      <c r="B55" s="215"/>
      <c r="C55" s="215"/>
      <c r="D55" s="215"/>
      <c r="E55" s="215"/>
      <c r="F55" s="215"/>
      <c r="G55" s="215"/>
      <c r="H55" s="215"/>
      <c r="I55" s="215"/>
      <c r="J55" s="215"/>
      <c r="K55" s="215"/>
      <c r="L55" s="215"/>
      <c r="M55" s="215"/>
      <c r="N55" s="215"/>
      <c r="O55" s="215"/>
      <c r="P55" s="215"/>
      <c r="Q55" s="215"/>
      <c r="R55" s="215"/>
      <c r="S55" s="215"/>
      <c r="T55" s="215"/>
      <c r="U55" s="215"/>
      <c r="V55" s="257"/>
      <c r="X55" s="257"/>
    </row>
    <row r="56" spans="1:24" ht="25.5">
      <c r="A56" s="361" t="s">
        <v>799</v>
      </c>
      <c r="B56" s="362">
        <f>IF($B$26=2,((B34*$D$20)*'Farm Model Assumptions'!B66/10/3),"")</f>
      </c>
      <c r="C56" s="362">
        <f>IF($B$26=2,((C34*$D$20)*'Farm Model Assumptions'!C66/10/3),"")</f>
      </c>
      <c r="D56" s="362">
        <f>IF($B$26=2,((D34*$D$20)*'Farm Model Assumptions'!D66/10/3),"")</f>
      </c>
      <c r="E56" s="362">
        <f>IF($B$26=2,((E34*$D$20)*'Farm Model Assumptions'!E66/10/3),"")</f>
      </c>
      <c r="F56" s="362">
        <f>IF($B$26=2,((F34*$D$20)*'Farm Model Assumptions'!F66/10/3),"")</f>
      </c>
      <c r="G56" s="362">
        <f>IF($B$26=2,((G34*$D$20)*'Farm Model Assumptions'!$F$66/10/3),"")</f>
      </c>
      <c r="H56" s="362">
        <f>IF($B$26=2,((H34*$D$20)*'Farm Model Assumptions'!$F$66/10/3),"")</f>
      </c>
      <c r="I56" s="362">
        <f>IF($B$26=2,((I34*$D$20)*'Farm Model Assumptions'!$F$66/10/3),"")</f>
      </c>
      <c r="J56" s="362">
        <f>IF($B$26=2,((J34*$D$20)*'Farm Model Assumptions'!$F$66/10/3),"")</f>
      </c>
      <c r="K56" s="362">
        <f>IF($B$26=2,((K34*$D$20)*'Farm Model Assumptions'!$F$66/10/3),"")</f>
      </c>
      <c r="L56" s="362">
        <f>IF($B$26=2,((L34*$D$20)*'Farm Model Assumptions'!$F$66/10/3),"")</f>
      </c>
      <c r="M56" s="362">
        <f>IF($B$26=2,((M34*$D$20)*'Farm Model Assumptions'!$F$66/10/3),"")</f>
      </c>
      <c r="N56" s="362">
        <f>IF($B$26=2,((N34*$D$20)*'Farm Model Assumptions'!$F$66/10/3),"")</f>
      </c>
      <c r="O56" s="362">
        <f>IF($B$26=2,((O34*$D$20)*'Farm Model Assumptions'!$F$66/10/3),"")</f>
      </c>
      <c r="P56" s="362">
        <f>IF($B$26=2,((P34*$D$20)*'Farm Model Assumptions'!$F$66/10/3),"")</f>
      </c>
      <c r="Q56" s="362">
        <f>IF($B$26=2,((Q34*$D$20)*'Farm Model Assumptions'!$F$66/10/3),"")</f>
      </c>
      <c r="R56" s="362">
        <f>IF($B$26=2,((R34*$D$20)*'Farm Model Assumptions'!$F$66/10/3),"")</f>
      </c>
      <c r="S56" s="362">
        <f>IF($B$26=2,((S34*$D$20)*'Farm Model Assumptions'!$F$66/10/3),"")</f>
      </c>
      <c r="T56" s="362">
        <f>IF($B$26=2,((T34*$D$20)*'Farm Model Assumptions'!$F$66/10/3),"")</f>
      </c>
      <c r="U56" s="363">
        <f>IF($B$26=2,((U34*$D$20)*'Farm Model Assumptions'!$F$66/10/3),"")</f>
      </c>
      <c r="V56" s="257"/>
      <c r="X56" s="257"/>
    </row>
    <row r="57" spans="1:24" ht="26.25" thickBot="1">
      <c r="A57" s="364" t="s">
        <v>800</v>
      </c>
      <c r="B57" s="365">
        <f>IF($B$26=2,(D13*'Farm Model Assumptions'!$C$17/10/3),"")</f>
      </c>
      <c r="C57" s="366">
        <f>IF($B$26=2,0,"")</f>
      </c>
      <c r="D57" s="366">
        <f>C57</f>
      </c>
      <c r="E57" s="366">
        <f>D57</f>
      </c>
      <c r="F57" s="366">
        <f>E57</f>
      </c>
      <c r="G57" s="366">
        <f>IF($B$26=2,(G38*'Farm Model Assumptions'!$C$17/10/3),"")</f>
      </c>
      <c r="H57" s="366">
        <f>IF($B$26=2,(H38*'Farm Model Assumptions'!$C$17/10/3),"")</f>
      </c>
      <c r="I57" s="366">
        <f>IF($B$26=2,(I38*'Farm Model Assumptions'!$C$17/10/3),"")</f>
      </c>
      <c r="J57" s="366">
        <f>IF($B$26=2,(J38*'Farm Model Assumptions'!$C$17/10/3),"")</f>
      </c>
      <c r="K57" s="366">
        <f>IF($B$26=2,(K38*'Farm Model Assumptions'!$C$17/10/3),"")</f>
      </c>
      <c r="L57" s="366">
        <f>IF($B$26=2,(L38*'Farm Model Assumptions'!$C$17/10/3),"")</f>
      </c>
      <c r="M57" s="366">
        <f>IF($B$26=2,(M38*'Farm Model Assumptions'!$C$17/10/3),"")</f>
      </c>
      <c r="N57" s="366">
        <f>IF($B$26=2,(N38*'Farm Model Assumptions'!$C$17/10/3),"")</f>
      </c>
      <c r="O57" s="366">
        <f>IF($B$26=2,(O38*'Farm Model Assumptions'!$C$17/10/3),"")</f>
      </c>
      <c r="P57" s="366">
        <f>IF($B$26=2,(P38*'Farm Model Assumptions'!$C$17/10/3),"")</f>
      </c>
      <c r="Q57" s="366">
        <f>IF($B$26=2,(Q38*'Farm Model Assumptions'!$C$17/10/3),"")</f>
      </c>
      <c r="R57" s="366">
        <f>IF($B$26=2,(R38*'Farm Model Assumptions'!$C$17/10/3),"")</f>
      </c>
      <c r="S57" s="366">
        <f>IF($B$26=2,(S38*'Farm Model Assumptions'!$C$17/10/3),"")</f>
      </c>
      <c r="T57" s="366">
        <f>IF($B$26=2,(T38*'Farm Model Assumptions'!$C$17/10/3),"")</f>
      </c>
      <c r="U57" s="367">
        <f>IF($B$26=2,(U38*'Farm Model Assumptions'!$C$17/10/3),"")</f>
      </c>
      <c r="V57" s="257"/>
      <c r="X57" s="257"/>
    </row>
    <row r="58" spans="1:24" ht="25.5">
      <c r="A58" s="359" t="s">
        <v>802</v>
      </c>
      <c r="B58" s="322">
        <f>IF($B$26=2,B57+B56,"")</f>
      </c>
      <c r="C58" s="323">
        <f aca="true" t="shared" si="18" ref="C58:L58">IF($B$26=2,C57+C56,"")</f>
      </c>
      <c r="D58" s="323">
        <f t="shared" si="18"/>
      </c>
      <c r="E58" s="323">
        <f t="shared" si="18"/>
      </c>
      <c r="F58" s="323">
        <f t="shared" si="18"/>
      </c>
      <c r="G58" s="323">
        <f t="shared" si="18"/>
      </c>
      <c r="H58" s="323">
        <f t="shared" si="18"/>
      </c>
      <c r="I58" s="323">
        <f t="shared" si="18"/>
      </c>
      <c r="J58" s="323">
        <f t="shared" si="18"/>
      </c>
      <c r="K58" s="323">
        <f t="shared" si="18"/>
      </c>
      <c r="L58" s="323">
        <f t="shared" si="18"/>
      </c>
      <c r="M58" s="323">
        <f aca="true" t="shared" si="19" ref="M58:U58">IF($B$26=2,M57+M56,"")</f>
      </c>
      <c r="N58" s="323">
        <f t="shared" si="19"/>
      </c>
      <c r="O58" s="323">
        <f t="shared" si="19"/>
      </c>
      <c r="P58" s="323">
        <f t="shared" si="19"/>
      </c>
      <c r="Q58" s="323">
        <f t="shared" si="19"/>
      </c>
      <c r="R58" s="323">
        <f t="shared" si="19"/>
      </c>
      <c r="S58" s="323">
        <f t="shared" si="19"/>
      </c>
      <c r="T58" s="323">
        <f t="shared" si="19"/>
      </c>
      <c r="U58" s="324">
        <f t="shared" si="19"/>
      </c>
      <c r="V58" s="257"/>
      <c r="X58" s="257"/>
    </row>
    <row r="59" spans="1:24" ht="13.5" thickBot="1">
      <c r="A59" s="360" t="s">
        <v>801</v>
      </c>
      <c r="B59" s="325">
        <f>IF($B$26=2,B58/'Summary ERRs'!$H$99,"")</f>
      </c>
      <c r="C59" s="326">
        <f>IF($B$26=2,C58/'Summary ERRs'!$H$99,"")</f>
      </c>
      <c r="D59" s="326">
        <f>IF($B$26=2,D58/'Summary ERRs'!$H$99,"")</f>
      </c>
      <c r="E59" s="326">
        <f>IF($B$26=2,E58/'Summary ERRs'!$H$99,"")</f>
      </c>
      <c r="F59" s="326">
        <f>IF($B$26=2,F58/'Summary ERRs'!$H$99,"")</f>
      </c>
      <c r="G59" s="326">
        <f>IF($B$26=2,G58/'Summary ERRs'!$H$99,"")</f>
      </c>
      <c r="H59" s="326">
        <f>IF($B$26=2,H58/'Summary ERRs'!$H$99,"")</f>
      </c>
      <c r="I59" s="326">
        <f>IF($B$26=2,I58/'Summary ERRs'!$H$99,"")</f>
      </c>
      <c r="J59" s="326">
        <f>IF($B$26=2,J58/'Summary ERRs'!$H$99,"")</f>
      </c>
      <c r="K59" s="326">
        <f>IF($B$26=2,K58/'Summary ERRs'!$H$99,"")</f>
      </c>
      <c r="L59" s="326">
        <f>IF($B$26=2,L58/'Summary ERRs'!$H$99,"")</f>
      </c>
      <c r="M59" s="326">
        <f>IF($B$26=2,M58/'Summary ERRs'!$H$99,"")</f>
      </c>
      <c r="N59" s="326">
        <f>IF($B$26=2,N58/'Summary ERRs'!$H$99,"")</f>
      </c>
      <c r="O59" s="326">
        <f>IF($B$26=2,O58/'Summary ERRs'!$H$99,"")</f>
      </c>
      <c r="P59" s="326">
        <f>IF($B$26=2,P58/'Summary ERRs'!$H$99,"")</f>
      </c>
      <c r="Q59" s="326">
        <f>IF($B$26=2,Q58/'Summary ERRs'!$H$99,"")</f>
      </c>
      <c r="R59" s="326">
        <f>IF($B$26=2,R58/'Summary ERRs'!$H$99,"")</f>
      </c>
      <c r="S59" s="326">
        <f>IF($B$26=2,S58/'Summary ERRs'!$H$99,"")</f>
      </c>
      <c r="T59" s="326">
        <f>IF($B$26=2,T58/'Summary ERRs'!$H$99,"")</f>
      </c>
      <c r="U59" s="327">
        <f>IF($B$26=2,U58/'Summary ERRs'!$H$99,"")</f>
      </c>
      <c r="V59" s="257"/>
      <c r="X59" s="257"/>
    </row>
    <row r="60" spans="1:24" ht="12.75">
      <c r="A60" s="358"/>
      <c r="B60" s="215"/>
      <c r="C60" s="215"/>
      <c r="D60" s="215"/>
      <c r="E60" s="215"/>
      <c r="F60" s="215"/>
      <c r="G60" s="215"/>
      <c r="H60" s="215"/>
      <c r="I60" s="215"/>
      <c r="J60" s="215"/>
      <c r="K60" s="215"/>
      <c r="L60" s="215"/>
      <c r="M60" s="215"/>
      <c r="N60" s="215"/>
      <c r="O60" s="215"/>
      <c r="P60" s="215"/>
      <c r="Q60" s="215"/>
      <c r="R60" s="215"/>
      <c r="S60" s="215"/>
      <c r="T60" s="215"/>
      <c r="U60" s="215"/>
      <c r="V60" s="257"/>
      <c r="X60" s="257"/>
    </row>
    <row r="61" spans="1:21" s="21" customFormat="1" ht="13.5" thickBot="1">
      <c r="A61"/>
      <c r="B61"/>
      <c r="C61"/>
      <c r="D61"/>
      <c r="E61"/>
      <c r="F61"/>
      <c r="G61"/>
      <c r="H61" s="49"/>
      <c r="I61" s="49"/>
      <c r="J61" s="49"/>
      <c r="K61" s="49"/>
      <c r="L61" s="49"/>
      <c r="M61"/>
      <c r="N61"/>
      <c r="O61"/>
      <c r="P61"/>
      <c r="Q61"/>
      <c r="R61"/>
      <c r="S61"/>
      <c r="T61"/>
      <c r="U61"/>
    </row>
    <row r="62" spans="1:21" s="21" customFormat="1" ht="12.75">
      <c r="A62" s="71"/>
      <c r="B62" s="71"/>
      <c r="C62" s="71"/>
      <c r="D62" s="71"/>
      <c r="E62" s="71"/>
      <c r="F62" s="71"/>
      <c r="G62" s="71"/>
      <c r="H62" s="341"/>
      <c r="I62" s="341"/>
      <c r="J62" s="341"/>
      <c r="K62" s="341"/>
      <c r="L62" s="341"/>
      <c r="M62" s="71"/>
      <c r="N62" s="71"/>
      <c r="O62" s="71"/>
      <c r="P62" s="71"/>
      <c r="Q62" s="71"/>
      <c r="R62" s="71"/>
      <c r="S62" s="71"/>
      <c r="T62" s="71"/>
      <c r="U62" s="71"/>
    </row>
    <row r="63" spans="1:12" s="21" customFormat="1" ht="12.75">
      <c r="A63" s="68" t="s">
        <v>772</v>
      </c>
      <c r="H63" s="342"/>
      <c r="I63" s="342"/>
      <c r="J63" s="342"/>
      <c r="K63" s="342"/>
      <c r="L63" s="342"/>
    </row>
    <row r="64" spans="1:21" s="21" customFormat="1" ht="12.75">
      <c r="A64"/>
      <c r="B64"/>
      <c r="C64"/>
      <c r="F64"/>
      <c r="G64"/>
      <c r="H64" s="49"/>
      <c r="I64" s="49"/>
      <c r="J64" s="49"/>
      <c r="K64" s="49"/>
      <c r="L64" s="49"/>
      <c r="M64"/>
      <c r="N64"/>
      <c r="O64"/>
      <c r="P64"/>
      <c r="Q64"/>
      <c r="R64"/>
      <c r="S64"/>
      <c r="T64"/>
      <c r="U64"/>
    </row>
    <row r="65" spans="1:21" s="21" customFormat="1" ht="13.5" thickBot="1">
      <c r="A65"/>
      <c r="B65" s="368" t="s">
        <v>807</v>
      </c>
      <c r="C65" s="368" t="s">
        <v>808</v>
      </c>
      <c r="F65"/>
      <c r="G65"/>
      <c r="H65" s="49"/>
      <c r="I65" s="49"/>
      <c r="J65" s="49"/>
      <c r="K65" s="49"/>
      <c r="L65" s="49"/>
      <c r="M65"/>
      <c r="N65"/>
      <c r="O65"/>
      <c r="P65"/>
      <c r="Q65"/>
      <c r="R65"/>
      <c r="S65"/>
      <c r="T65"/>
      <c r="U65"/>
    </row>
    <row r="66" spans="1:22" s="21" customFormat="1" ht="12.75">
      <c r="A66" s="147" t="s">
        <v>786</v>
      </c>
      <c r="B66" s="375">
        <v>150567555.83557948</v>
      </c>
      <c r="C66" s="372">
        <f>B66/'Summary ERRs'!$H$99</f>
        <v>289552.99199149903</v>
      </c>
      <c r="F66" s="257"/>
      <c r="G66" s="257"/>
      <c r="H66" s="257"/>
      <c r="I66" s="257"/>
      <c r="J66" s="257"/>
      <c r="K66" s="257"/>
      <c r="L66" s="257"/>
      <c r="M66" s="257"/>
      <c r="N66" s="257"/>
      <c r="O66" s="257"/>
      <c r="P66" s="257"/>
      <c r="Q66" s="257"/>
      <c r="R66" s="257"/>
      <c r="S66" s="257"/>
      <c r="T66" s="257"/>
      <c r="U66" s="257"/>
      <c r="V66" s="317"/>
    </row>
    <row r="67" spans="1:22" s="21" customFormat="1" ht="13.5" thickBot="1">
      <c r="A67" s="148" t="s">
        <v>787</v>
      </c>
      <c r="B67" s="376">
        <f>B66/10</f>
        <v>15056755.583557948</v>
      </c>
      <c r="C67" s="377">
        <f>B67/'Summary ERRs'!$H$99</f>
        <v>28955.2991991499</v>
      </c>
      <c r="D67" s="257"/>
      <c r="E67" s="257"/>
      <c r="F67" s="257"/>
      <c r="G67" s="257"/>
      <c r="H67" s="257"/>
      <c r="I67" s="257"/>
      <c r="J67" s="257"/>
      <c r="K67" s="257"/>
      <c r="L67" s="257"/>
      <c r="M67" s="257"/>
      <c r="N67" s="257"/>
      <c r="O67" s="257"/>
      <c r="P67" s="257"/>
      <c r="Q67" s="257"/>
      <c r="R67" s="257"/>
      <c r="S67" s="257"/>
      <c r="T67" s="257"/>
      <c r="U67" s="257"/>
      <c r="V67" s="317"/>
    </row>
    <row r="68" spans="1:22" s="21" customFormat="1" ht="12.75">
      <c r="A68" s="257" t="s">
        <v>797</v>
      </c>
      <c r="B68" s="215"/>
      <c r="C68" s="257"/>
      <c r="D68" s="257"/>
      <c r="E68" s="257"/>
      <c r="F68" s="257"/>
      <c r="G68" s="257"/>
      <c r="H68" s="257"/>
      <c r="I68" s="257"/>
      <c r="J68" s="257"/>
      <c r="K68" s="257"/>
      <c r="L68" s="257"/>
      <c r="M68" s="257"/>
      <c r="N68" s="257"/>
      <c r="O68" s="257"/>
      <c r="P68" s="257"/>
      <c r="Q68" s="257"/>
      <c r="R68" s="257"/>
      <c r="S68" s="257"/>
      <c r="T68" s="257"/>
      <c r="U68" s="257"/>
      <c r="V68" s="317"/>
    </row>
    <row r="69" spans="1:22" s="21" customFormat="1" ht="12.75">
      <c r="A69" s="357" t="s">
        <v>798</v>
      </c>
      <c r="B69" s="465" t="str">
        <f>IF('Summary ERRs'!B96=0.8,"Low Case",IF('Summary ERRs'!B96=1,"Base Case",IF('Summary ERRs'!B96=1.2,"High Case","No Scenario")))</f>
        <v>Base Case</v>
      </c>
      <c r="C69" s="257"/>
      <c r="D69" s="257"/>
      <c r="E69" s="257"/>
      <c r="F69" s="257"/>
      <c r="G69" s="257"/>
      <c r="H69" s="257"/>
      <c r="I69" s="257"/>
      <c r="J69" s="257"/>
      <c r="K69" s="257"/>
      <c r="L69" s="257"/>
      <c r="M69" s="257"/>
      <c r="N69" s="257"/>
      <c r="O69" s="257"/>
      <c r="P69" s="257"/>
      <c r="Q69" s="257"/>
      <c r="R69" s="257"/>
      <c r="S69" s="257"/>
      <c r="T69" s="257"/>
      <c r="U69" s="257"/>
      <c r="V69" s="317"/>
    </row>
    <row r="70" spans="1:22" s="21" customFormat="1" ht="13.5" thickBot="1">
      <c r="A70"/>
      <c r="B70" s="257"/>
      <c r="C70" s="257"/>
      <c r="D70" s="257"/>
      <c r="E70" s="257"/>
      <c r="F70" s="257"/>
      <c r="G70" s="257"/>
      <c r="H70" s="257"/>
      <c r="I70" s="257"/>
      <c r="J70" s="257"/>
      <c r="K70" s="257"/>
      <c r="L70" s="257"/>
      <c r="M70" s="257"/>
      <c r="N70" s="257"/>
      <c r="O70" s="257"/>
      <c r="P70" s="257"/>
      <c r="Q70" s="257"/>
      <c r="R70" s="257"/>
      <c r="S70" s="257"/>
      <c r="T70" s="257"/>
      <c r="U70" s="257"/>
      <c r="V70" s="317"/>
    </row>
    <row r="71" spans="1:22" s="21" customFormat="1" ht="13.5" thickBot="1">
      <c r="A71" s="84" t="s">
        <v>775</v>
      </c>
      <c r="B71" s="334">
        <f>B42+B66</f>
        <v>150987673.61623138</v>
      </c>
      <c r="C71" s="335">
        <f aca="true" t="shared" si="20" ref="C71:U71">C42+C66</f>
        <v>716531.327480427</v>
      </c>
      <c r="D71" s="335">
        <f>D42+D66</f>
        <v>436045.14032595203</v>
      </c>
      <c r="E71" s="335">
        <f>E42+E66</f>
        <v>444146.320162976</v>
      </c>
      <c r="F71" s="335">
        <f t="shared" si="20"/>
        <v>452247.50000000006</v>
      </c>
      <c r="G71" s="335">
        <f t="shared" si="20"/>
        <v>452247.50000000006</v>
      </c>
      <c r="H71" s="335">
        <f t="shared" si="20"/>
        <v>452247.50000000006</v>
      </c>
      <c r="I71" s="335">
        <f t="shared" si="20"/>
        <v>452247.50000000006</v>
      </c>
      <c r="J71" s="335">
        <f t="shared" si="20"/>
        <v>452247.50000000006</v>
      </c>
      <c r="K71" s="335">
        <f t="shared" si="20"/>
        <v>452247.50000000006</v>
      </c>
      <c r="L71" s="335">
        <f t="shared" si="20"/>
        <v>452247.50000000006</v>
      </c>
      <c r="M71" s="335">
        <f t="shared" si="20"/>
        <v>452247.50000000006</v>
      </c>
      <c r="N71" s="335">
        <f t="shared" si="20"/>
        <v>452247.50000000006</v>
      </c>
      <c r="O71" s="335">
        <f t="shared" si="20"/>
        <v>452247.50000000006</v>
      </c>
      <c r="P71" s="335">
        <f t="shared" si="20"/>
        <v>452247.50000000006</v>
      </c>
      <c r="Q71" s="335">
        <f t="shared" si="20"/>
        <v>452247.50000000006</v>
      </c>
      <c r="R71" s="335">
        <f t="shared" si="20"/>
        <v>452247.50000000006</v>
      </c>
      <c r="S71" s="335">
        <f t="shared" si="20"/>
        <v>452247.50000000006</v>
      </c>
      <c r="T71" s="335">
        <f t="shared" si="20"/>
        <v>452247.50000000006</v>
      </c>
      <c r="U71" s="349">
        <f t="shared" si="20"/>
        <v>452247.50000000006</v>
      </c>
      <c r="V71" s="317"/>
    </row>
    <row r="72" spans="1:22" s="21" customFormat="1" ht="13.5" thickBot="1">
      <c r="A72"/>
      <c r="B72" s="259"/>
      <c r="C72" s="259"/>
      <c r="D72" s="259"/>
      <c r="E72" s="259"/>
      <c r="F72" s="259"/>
      <c r="G72" s="259"/>
      <c r="H72" s="259"/>
      <c r="I72" s="259"/>
      <c r="J72" s="259"/>
      <c r="K72" s="259"/>
      <c r="L72" s="259"/>
      <c r="M72" s="259"/>
      <c r="N72" s="259"/>
      <c r="O72" s="259"/>
      <c r="P72" s="259"/>
      <c r="Q72" s="259"/>
      <c r="R72" s="259"/>
      <c r="S72" s="259"/>
      <c r="T72" s="259"/>
      <c r="U72" s="259"/>
      <c r="V72" s="70"/>
    </row>
    <row r="73" spans="1:22" s="21" customFormat="1" ht="13.5" thickBot="1">
      <c r="A73" s="84" t="s">
        <v>776</v>
      </c>
      <c r="B73" s="334">
        <f>B48-B71</f>
        <v>-150138637.35875067</v>
      </c>
      <c r="C73" s="335">
        <f aca="true" t="shared" si="21" ref="C73:U73">C48-C71</f>
        <v>263725.99310920865</v>
      </c>
      <c r="D73" s="335">
        <f t="shared" si="21"/>
        <v>669789.2978263486</v>
      </c>
      <c r="E73" s="335">
        <f t="shared" si="21"/>
        <v>781055.1080728783</v>
      </c>
      <c r="F73" s="335">
        <f t="shared" si="21"/>
        <v>839952.5</v>
      </c>
      <c r="G73" s="335">
        <f t="shared" si="21"/>
        <v>839952.5</v>
      </c>
      <c r="H73" s="335">
        <f t="shared" si="21"/>
        <v>839952.5</v>
      </c>
      <c r="I73" s="335">
        <f t="shared" si="21"/>
        <v>839952.5</v>
      </c>
      <c r="J73" s="335">
        <f t="shared" si="21"/>
        <v>839952.5</v>
      </c>
      <c r="K73" s="335">
        <f t="shared" si="21"/>
        <v>839952.5</v>
      </c>
      <c r="L73" s="335">
        <f t="shared" si="21"/>
        <v>839952.5</v>
      </c>
      <c r="M73" s="335">
        <f t="shared" si="21"/>
        <v>839952.5</v>
      </c>
      <c r="N73" s="335">
        <f t="shared" si="21"/>
        <v>839952.5</v>
      </c>
      <c r="O73" s="335">
        <f t="shared" si="21"/>
        <v>839952.5</v>
      </c>
      <c r="P73" s="335">
        <f t="shared" si="21"/>
        <v>839952.5</v>
      </c>
      <c r="Q73" s="335">
        <f t="shared" si="21"/>
        <v>839952.5</v>
      </c>
      <c r="R73" s="335">
        <f t="shared" si="21"/>
        <v>839952.5</v>
      </c>
      <c r="S73" s="335">
        <f t="shared" si="21"/>
        <v>839952.5</v>
      </c>
      <c r="T73" s="335">
        <f t="shared" si="21"/>
        <v>839952.5</v>
      </c>
      <c r="U73" s="349">
        <f t="shared" si="21"/>
        <v>839952.5</v>
      </c>
      <c r="V73" s="317"/>
    </row>
    <row r="74" spans="1:21" s="21" customFormat="1" ht="13.5" thickBot="1">
      <c r="A74"/>
      <c r="B74"/>
      <c r="C74"/>
      <c r="D74"/>
      <c r="E74"/>
      <c r="F74"/>
      <c r="G74"/>
      <c r="H74"/>
      <c r="I74"/>
      <c r="J74"/>
      <c r="K74"/>
      <c r="L74"/>
      <c r="M74"/>
      <c r="N74"/>
      <c r="O74"/>
      <c r="P74"/>
      <c r="Q74"/>
      <c r="R74"/>
      <c r="S74"/>
      <c r="T74"/>
      <c r="U74"/>
    </row>
    <row r="75" spans="1:20" s="21" customFormat="1" ht="12.75">
      <c r="A75" s="147" t="s">
        <v>781</v>
      </c>
      <c r="B75" s="344" t="e">
        <f>IRR(B73:K73,-10%)</f>
        <v>#DIV/0!</v>
      </c>
      <c r="C75"/>
      <c r="D75" s="193" t="s">
        <v>788</v>
      </c>
      <c r="E75" s="200"/>
      <c r="F75" s="347"/>
      <c r="G75" s="348">
        <f>'Summary ERRs'!B45*1000/15000</f>
        <v>15707.491319506296</v>
      </c>
      <c r="H75"/>
      <c r="I75"/>
      <c r="J75"/>
      <c r="K75"/>
      <c r="L75"/>
      <c r="M75"/>
      <c r="N75"/>
      <c r="O75"/>
      <c r="P75"/>
      <c r="Q75"/>
      <c r="R75"/>
      <c r="S75"/>
      <c r="T75"/>
    </row>
    <row r="76" spans="1:20" s="21" customFormat="1" ht="12.75">
      <c r="A76" s="337" t="s">
        <v>782</v>
      </c>
      <c r="B76" s="345" t="e">
        <f>IRR(B73:P73)</f>
        <v>#DIV/0!</v>
      </c>
      <c r="C76"/>
      <c r="D76" s="351" t="s">
        <v>773</v>
      </c>
      <c r="E76" s="68"/>
      <c r="F76" s="353"/>
      <c r="G76" s="352" t="e">
        <f>SUM('Summary ERRs'!#REF!)*1000/13500</f>
        <v>#REF!</v>
      </c>
      <c r="H76"/>
      <c r="I76"/>
      <c r="J76"/>
      <c r="K76"/>
      <c r="L76"/>
      <c r="M76"/>
      <c r="N76"/>
      <c r="O76"/>
      <c r="P76"/>
      <c r="Q76"/>
      <c r="R76"/>
      <c r="S76"/>
      <c r="T76"/>
    </row>
    <row r="77" spans="1:20" s="21" customFormat="1" ht="13.5" thickBot="1">
      <c r="A77" s="148" t="s">
        <v>783</v>
      </c>
      <c r="B77" s="346" t="e">
        <f>IRR(B73:U73,0)</f>
        <v>#DIV/0!</v>
      </c>
      <c r="C77"/>
      <c r="D77" s="194" t="s">
        <v>789</v>
      </c>
      <c r="E77" s="72"/>
      <c r="F77" s="77"/>
      <c r="G77" s="354" t="e">
        <f>B84</f>
        <v>#REF!</v>
      </c>
      <c r="H77"/>
      <c r="I77"/>
      <c r="J77"/>
      <c r="K77"/>
      <c r="L77"/>
      <c r="M77"/>
      <c r="N77"/>
      <c r="O77"/>
      <c r="P77"/>
      <c r="Q77"/>
      <c r="R77"/>
      <c r="S77"/>
      <c r="T77"/>
    </row>
    <row r="78" spans="1:21" s="21" customFormat="1" ht="13.5" thickBot="1">
      <c r="A78"/>
      <c r="B78"/>
      <c r="C78"/>
      <c r="D78"/>
      <c r="E78"/>
      <c r="F78"/>
      <c r="G78"/>
      <c r="H78"/>
      <c r="I78"/>
      <c r="J78"/>
      <c r="K78"/>
      <c r="L78"/>
      <c r="M78"/>
      <c r="N78"/>
      <c r="O78"/>
      <c r="P78"/>
      <c r="Q78"/>
      <c r="R78"/>
      <c r="S78"/>
      <c r="T78"/>
      <c r="U78"/>
    </row>
    <row r="79" spans="8:256" s="71" customFormat="1" ht="12.75">
      <c r="H79" s="341"/>
      <c r="I79" s="341"/>
      <c r="J79" s="341"/>
      <c r="K79" s="341"/>
      <c r="L79" s="34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21"/>
      <c r="EV79" s="21"/>
      <c r="EW79" s="21"/>
      <c r="EX79" s="21"/>
      <c r="EY79" s="21"/>
      <c r="EZ79" s="21"/>
      <c r="FA79" s="21"/>
      <c r="FB79" s="21"/>
      <c r="FC79" s="21"/>
      <c r="FD79" s="21"/>
      <c r="FE79" s="21"/>
      <c r="FF79" s="21"/>
      <c r="FG79" s="21"/>
      <c r="FH79" s="21"/>
      <c r="FI79" s="21"/>
      <c r="FJ79" s="21"/>
      <c r="FK79" s="21"/>
      <c r="FL79" s="21"/>
      <c r="FM79" s="21"/>
      <c r="FN79" s="21"/>
      <c r="FO79" s="21"/>
      <c r="FP79" s="21"/>
      <c r="FQ79" s="21"/>
      <c r="FR79" s="21"/>
      <c r="FS79" s="21"/>
      <c r="FT79" s="21"/>
      <c r="FU79" s="2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c r="IB79" s="21"/>
      <c r="IC79" s="21"/>
      <c r="ID79" s="21"/>
      <c r="IE79" s="21"/>
      <c r="IF79" s="21"/>
      <c r="IG79" s="21"/>
      <c r="IH79" s="21"/>
      <c r="II79" s="21"/>
      <c r="IJ79" s="21"/>
      <c r="IK79" s="21"/>
      <c r="IL79" s="21"/>
      <c r="IM79" s="21"/>
      <c r="IN79" s="21"/>
      <c r="IO79" s="21"/>
      <c r="IP79" s="21"/>
      <c r="IQ79" s="21"/>
      <c r="IR79" s="21"/>
      <c r="IS79" s="21"/>
      <c r="IT79" s="21"/>
      <c r="IU79" s="21"/>
      <c r="IV79" s="21"/>
    </row>
    <row r="80" ht="12.75">
      <c r="A80" s="58" t="s">
        <v>13</v>
      </c>
    </row>
    <row r="81" ht="12.75">
      <c r="B81" s="264"/>
    </row>
    <row r="82" spans="2:3" ht="13.5" thickBot="1">
      <c r="B82" s="369" t="s">
        <v>807</v>
      </c>
      <c r="C82" s="368" t="s">
        <v>808</v>
      </c>
    </row>
    <row r="83" spans="1:22" ht="12.75">
      <c r="A83" s="193" t="s">
        <v>784</v>
      </c>
      <c r="B83" s="371" t="e">
        <f>G76*10*'Summary ERRs'!H99</f>
        <v>#REF!</v>
      </c>
      <c r="C83" s="372" t="e">
        <f>B83/'Summary ERRs'!$H$99</f>
        <v>#REF!</v>
      </c>
      <c r="D83" s="257"/>
      <c r="E83" s="257"/>
      <c r="F83" s="257"/>
      <c r="G83" s="257"/>
      <c r="H83" s="257"/>
      <c r="I83" s="257"/>
      <c r="J83" s="257"/>
      <c r="K83" s="257"/>
      <c r="L83" s="257"/>
      <c r="M83" s="257"/>
      <c r="N83" s="257"/>
      <c r="O83" s="257"/>
      <c r="P83" s="257"/>
      <c r="Q83" s="257"/>
      <c r="R83" s="257"/>
      <c r="S83" s="257"/>
      <c r="T83" s="257"/>
      <c r="U83" s="257"/>
      <c r="V83" s="257"/>
    </row>
    <row r="84" spans="1:20" ht="13.5" thickBot="1">
      <c r="A84" s="194" t="s">
        <v>785</v>
      </c>
      <c r="B84" s="460" t="e">
        <f>B83/10</f>
        <v>#REF!</v>
      </c>
      <c r="C84" s="377" t="e">
        <f>B84/'Summary ERRs'!$H$99</f>
        <v>#REF!</v>
      </c>
      <c r="D84" s="21"/>
      <c r="E84" s="350"/>
      <c r="F84" s="257"/>
      <c r="G84" s="257"/>
      <c r="H84" s="257"/>
      <c r="I84" s="257"/>
      <c r="J84" s="257"/>
      <c r="K84" s="257"/>
      <c r="L84" s="257"/>
      <c r="M84" s="257"/>
      <c r="N84" s="257"/>
      <c r="O84" s="257"/>
      <c r="P84" s="257"/>
      <c r="Q84" s="257"/>
      <c r="R84" s="257"/>
      <c r="S84" s="257"/>
      <c r="T84" s="257"/>
    </row>
    <row r="85" spans="2:22" ht="13.5" thickBot="1">
      <c r="B85" s="257"/>
      <c r="C85" s="257"/>
      <c r="D85" s="257"/>
      <c r="E85" s="257"/>
      <c r="F85" s="257"/>
      <c r="G85" s="257"/>
      <c r="H85" s="257"/>
      <c r="I85" s="257"/>
      <c r="J85" s="257"/>
      <c r="K85" s="257"/>
      <c r="L85" s="257"/>
      <c r="M85" s="257"/>
      <c r="N85" s="257"/>
      <c r="O85" s="257"/>
      <c r="P85" s="257"/>
      <c r="Q85" s="257"/>
      <c r="R85" s="257"/>
      <c r="S85" s="257"/>
      <c r="T85" s="257"/>
      <c r="U85" s="257"/>
      <c r="V85" s="257"/>
    </row>
    <row r="86" spans="1:22" ht="13.5" thickBot="1">
      <c r="A86" s="84" t="s">
        <v>774</v>
      </c>
      <c r="B86" s="334" t="e">
        <f>B83+B42</f>
        <v>#REF!</v>
      </c>
      <c r="C86" s="335" t="e">
        <f aca="true" t="shared" si="22" ref="C86:U86">C83+C42</f>
        <v>#REF!</v>
      </c>
      <c r="D86" s="335">
        <f t="shared" si="22"/>
        <v>436045.14032595203</v>
      </c>
      <c r="E86" s="335">
        <f t="shared" si="22"/>
        <v>444146.320162976</v>
      </c>
      <c r="F86" s="335">
        <f t="shared" si="22"/>
        <v>452247.50000000006</v>
      </c>
      <c r="G86" s="335">
        <f t="shared" si="22"/>
        <v>452247.50000000006</v>
      </c>
      <c r="H86" s="335">
        <f t="shared" si="22"/>
        <v>452247.50000000006</v>
      </c>
      <c r="I86" s="335">
        <f t="shared" si="22"/>
        <v>452247.50000000006</v>
      </c>
      <c r="J86" s="335">
        <f t="shared" si="22"/>
        <v>452247.50000000006</v>
      </c>
      <c r="K86" s="335">
        <f t="shared" si="22"/>
        <v>452247.50000000006</v>
      </c>
      <c r="L86" s="335">
        <f t="shared" si="22"/>
        <v>452247.50000000006</v>
      </c>
      <c r="M86" s="335">
        <f t="shared" si="22"/>
        <v>452247.50000000006</v>
      </c>
      <c r="N86" s="335">
        <f t="shared" si="22"/>
        <v>452247.50000000006</v>
      </c>
      <c r="O86" s="335">
        <f t="shared" si="22"/>
        <v>452247.50000000006</v>
      </c>
      <c r="P86" s="335">
        <f t="shared" si="22"/>
        <v>452247.50000000006</v>
      </c>
      <c r="Q86" s="335">
        <f t="shared" si="22"/>
        <v>452247.50000000006</v>
      </c>
      <c r="R86" s="335">
        <f t="shared" si="22"/>
        <v>452247.50000000006</v>
      </c>
      <c r="S86" s="335">
        <f t="shared" si="22"/>
        <v>452247.50000000006</v>
      </c>
      <c r="T86" s="335">
        <f t="shared" si="22"/>
        <v>452247.50000000006</v>
      </c>
      <c r="U86" s="336">
        <f t="shared" si="22"/>
        <v>452247.50000000006</v>
      </c>
      <c r="V86" s="257"/>
    </row>
    <row r="87" spans="2:22" ht="13.5" thickBot="1">
      <c r="B87" s="259"/>
      <c r="C87" s="259"/>
      <c r="D87" s="259"/>
      <c r="E87" s="259"/>
      <c r="F87" s="259"/>
      <c r="G87" s="259"/>
      <c r="H87" s="259"/>
      <c r="I87" s="259"/>
      <c r="J87" s="259"/>
      <c r="K87" s="259"/>
      <c r="L87" s="259"/>
      <c r="M87" s="259"/>
      <c r="N87" s="259"/>
      <c r="O87" s="259"/>
      <c r="P87" s="259"/>
      <c r="Q87" s="259"/>
      <c r="R87" s="259"/>
      <c r="S87" s="259"/>
      <c r="T87" s="259"/>
      <c r="U87" s="259"/>
      <c r="V87" s="259"/>
    </row>
    <row r="88" spans="1:22" ht="13.5" thickBot="1">
      <c r="A88" s="84" t="s">
        <v>777</v>
      </c>
      <c r="B88" s="334" t="e">
        <f aca="true" t="shared" si="23" ref="B88:U88">B48-B86</f>
        <v>#REF!</v>
      </c>
      <c r="C88" s="335" t="e">
        <f t="shared" si="23"/>
        <v>#REF!</v>
      </c>
      <c r="D88" s="335">
        <f t="shared" si="23"/>
        <v>669789.2978263486</v>
      </c>
      <c r="E88" s="335">
        <f t="shared" si="23"/>
        <v>781055.1080728783</v>
      </c>
      <c r="F88" s="335">
        <f t="shared" si="23"/>
        <v>839952.5</v>
      </c>
      <c r="G88" s="335">
        <f t="shared" si="23"/>
        <v>839952.5</v>
      </c>
      <c r="H88" s="335">
        <f t="shared" si="23"/>
        <v>839952.5</v>
      </c>
      <c r="I88" s="335">
        <f t="shared" si="23"/>
        <v>839952.5</v>
      </c>
      <c r="J88" s="335">
        <f t="shared" si="23"/>
        <v>839952.5</v>
      </c>
      <c r="K88" s="335">
        <f t="shared" si="23"/>
        <v>839952.5</v>
      </c>
      <c r="L88" s="335">
        <f t="shared" si="23"/>
        <v>839952.5</v>
      </c>
      <c r="M88" s="335">
        <f t="shared" si="23"/>
        <v>839952.5</v>
      </c>
      <c r="N88" s="335">
        <f t="shared" si="23"/>
        <v>839952.5</v>
      </c>
      <c r="O88" s="335">
        <f t="shared" si="23"/>
        <v>839952.5</v>
      </c>
      <c r="P88" s="335">
        <f t="shared" si="23"/>
        <v>839952.5</v>
      </c>
      <c r="Q88" s="335">
        <f t="shared" si="23"/>
        <v>839952.5</v>
      </c>
      <c r="R88" s="335">
        <f t="shared" si="23"/>
        <v>839952.5</v>
      </c>
      <c r="S88" s="335">
        <f t="shared" si="23"/>
        <v>839952.5</v>
      </c>
      <c r="T88" s="335">
        <f t="shared" si="23"/>
        <v>839952.5</v>
      </c>
      <c r="U88" s="336">
        <f t="shared" si="23"/>
        <v>839952.5</v>
      </c>
      <c r="V88" s="257"/>
    </row>
    <row r="89" ht="13.5" thickBot="1">
      <c r="B89" s="264"/>
    </row>
    <row r="90" spans="1:2" ht="12.75">
      <c r="A90" s="147" t="s">
        <v>778</v>
      </c>
      <c r="B90" s="344" t="e">
        <f>IRR(B88:K88,-10%)</f>
        <v>#VALUE!</v>
      </c>
    </row>
    <row r="91" spans="1:2" ht="12.75">
      <c r="A91" s="337" t="s">
        <v>779</v>
      </c>
      <c r="B91" s="345" t="e">
        <f>IRR(B88:P88)</f>
        <v>#VALUE!</v>
      </c>
    </row>
    <row r="92" spans="1:2" ht="13.5" thickBot="1">
      <c r="A92" s="148" t="s">
        <v>780</v>
      </c>
      <c r="B92" s="346" t="e">
        <f>IRR(B88:U88,0)</f>
        <v>#VALUE!</v>
      </c>
    </row>
    <row r="93" ht="13.5" thickBot="1">
      <c r="B93" s="264"/>
    </row>
    <row r="94" spans="8:256" s="71" customFormat="1" ht="13.5" thickBot="1">
      <c r="H94" s="341"/>
      <c r="I94" s="341"/>
      <c r="J94" s="341"/>
      <c r="K94" s="341"/>
      <c r="L94" s="34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21"/>
      <c r="EE94" s="21"/>
      <c r="EF94" s="21"/>
      <c r="EG94" s="21"/>
      <c r="EH94" s="21"/>
      <c r="EI94" s="21"/>
      <c r="EJ94" s="21"/>
      <c r="EK94" s="21"/>
      <c r="EL94" s="21"/>
      <c r="EM94" s="21"/>
      <c r="EN94" s="21"/>
      <c r="EO94" s="21"/>
      <c r="EP94" s="21"/>
      <c r="EQ94" s="21"/>
      <c r="ER94" s="21"/>
      <c r="ES94" s="21"/>
      <c r="ET94" s="21"/>
      <c r="EU94" s="21"/>
      <c r="EV94" s="21"/>
      <c r="EW94" s="21"/>
      <c r="EX94" s="21"/>
      <c r="EY94" s="21"/>
      <c r="EZ94" s="21"/>
      <c r="FA94" s="21"/>
      <c r="FB94" s="21"/>
      <c r="FC94" s="21"/>
      <c r="FD94" s="21"/>
      <c r="FE94" s="21"/>
      <c r="FF94" s="21"/>
      <c r="FG94" s="21"/>
      <c r="FH94" s="21"/>
      <c r="FI94" s="21"/>
      <c r="FJ94" s="21"/>
      <c r="FK94" s="21"/>
      <c r="FL94" s="21"/>
      <c r="FM94" s="21"/>
      <c r="FN94" s="21"/>
      <c r="FO94" s="21"/>
      <c r="FP94" s="21"/>
      <c r="FQ94" s="21"/>
      <c r="FR94" s="21"/>
      <c r="FS94" s="21"/>
      <c r="FT94" s="21"/>
      <c r="FU94" s="21"/>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c r="HE94" s="21"/>
      <c r="HF94" s="21"/>
      <c r="HG94" s="21"/>
      <c r="HH94" s="21"/>
      <c r="HI94" s="21"/>
      <c r="HJ94" s="21"/>
      <c r="HK94" s="21"/>
      <c r="HL94" s="21"/>
      <c r="HM94" s="21"/>
      <c r="HN94" s="21"/>
      <c r="HO94" s="21"/>
      <c r="HP94" s="21"/>
      <c r="HQ94" s="21"/>
      <c r="HR94" s="21"/>
      <c r="HS94" s="21"/>
      <c r="HT94" s="21"/>
      <c r="HU94" s="21"/>
      <c r="HV94" s="21"/>
      <c r="HW94" s="21"/>
      <c r="HX94" s="21"/>
      <c r="HY94" s="21"/>
      <c r="HZ94" s="21"/>
      <c r="IA94" s="21"/>
      <c r="IB94" s="21"/>
      <c r="IC94" s="21"/>
      <c r="ID94" s="21"/>
      <c r="IE94" s="21"/>
      <c r="IF94" s="21"/>
      <c r="IG94" s="21"/>
      <c r="IH94" s="21"/>
      <c r="II94" s="21"/>
      <c r="IJ94" s="21"/>
      <c r="IK94" s="21"/>
      <c r="IL94" s="21"/>
      <c r="IM94" s="21"/>
      <c r="IN94" s="21"/>
      <c r="IO94" s="21"/>
      <c r="IP94" s="21"/>
      <c r="IQ94" s="21"/>
      <c r="IR94" s="21"/>
      <c r="IS94" s="21"/>
      <c r="IT94" s="21"/>
      <c r="IU94" s="21"/>
      <c r="IV94" s="21"/>
    </row>
    <row r="95" spans="1:12" s="21" customFormat="1" ht="13.5" thickBot="1">
      <c r="A95" s="58" t="s">
        <v>20</v>
      </c>
      <c r="F95" s="1155" t="str">
        <f>A69</f>
        <v>Scenario In Use:</v>
      </c>
      <c r="G95" s="1155"/>
      <c r="H95" s="464" t="str">
        <f>B69</f>
        <v>Base Case</v>
      </c>
      <c r="J95" s="342"/>
      <c r="K95" s="151" t="s">
        <v>892</v>
      </c>
      <c r="L95" s="507" t="s">
        <v>55</v>
      </c>
    </row>
    <row r="96" spans="8:12" s="21" customFormat="1" ht="13.5" thickBot="1">
      <c r="H96" s="464">
        <f>IF(B51=1,"80% of Revenues","")</f>
      </c>
      <c r="I96" s="342"/>
      <c r="J96" s="342"/>
      <c r="K96" s="508">
        <v>1000</v>
      </c>
      <c r="L96" s="510" t="e">
        <f>1000/G76</f>
        <v>#REF!</v>
      </c>
    </row>
    <row r="97" spans="1:12" s="21" customFormat="1" ht="12.75">
      <c r="A97" s="147" t="s">
        <v>540</v>
      </c>
      <c r="B97" s="472">
        <v>20</v>
      </c>
      <c r="C97" s="21" t="s">
        <v>57</v>
      </c>
      <c r="E97" s="193" t="s">
        <v>12</v>
      </c>
      <c r="F97" s="71"/>
      <c r="G97" s="71"/>
      <c r="H97" s="461"/>
      <c r="I97" s="476">
        <v>0.705</v>
      </c>
      <c r="J97" s="342"/>
      <c r="K97" s="508">
        <v>2500</v>
      </c>
      <c r="L97" s="510" t="e">
        <f>2500/G76</f>
        <v>#REF!</v>
      </c>
    </row>
    <row r="98" spans="1:12" s="21" customFormat="1" ht="12.75">
      <c r="A98" s="337" t="s">
        <v>752</v>
      </c>
      <c r="B98" s="473">
        <v>0</v>
      </c>
      <c r="E98" s="351" t="s">
        <v>10</v>
      </c>
      <c r="H98" s="462"/>
      <c r="I98" s="502" t="e">
        <f>I97*B84</f>
        <v>#REF!</v>
      </c>
      <c r="J98" s="342"/>
      <c r="K98" s="508">
        <v>4000</v>
      </c>
      <c r="L98" s="510" t="e">
        <f>4000/G76</f>
        <v>#REF!</v>
      </c>
    </row>
    <row r="99" spans="1:12" s="21" customFormat="1" ht="13.5" thickBot="1">
      <c r="A99" s="148" t="s">
        <v>790</v>
      </c>
      <c r="B99" s="474">
        <v>1</v>
      </c>
      <c r="C99" s="21" t="s">
        <v>791</v>
      </c>
      <c r="E99" s="194" t="s">
        <v>11</v>
      </c>
      <c r="F99" s="72"/>
      <c r="G99" s="72"/>
      <c r="H99" s="463"/>
      <c r="I99" s="503" t="e">
        <f>I97*C84</f>
        <v>#REF!</v>
      </c>
      <c r="J99" s="342"/>
      <c r="K99" s="508">
        <v>5500</v>
      </c>
      <c r="L99" s="510" t="e">
        <f>5500/G76</f>
        <v>#REF!</v>
      </c>
    </row>
    <row r="100" spans="1:12" s="21" customFormat="1" ht="13.5" thickBot="1">
      <c r="A100" s="68"/>
      <c r="B100" s="270"/>
      <c r="E100" s="68"/>
      <c r="H100" s="342"/>
      <c r="I100" s="458"/>
      <c r="J100" s="342"/>
      <c r="K100" s="508">
        <v>7000</v>
      </c>
      <c r="L100" s="510" t="e">
        <f>7000/G76</f>
        <v>#REF!</v>
      </c>
    </row>
    <row r="101" spans="1:12" s="21" customFormat="1" ht="12.75">
      <c r="A101" s="147" t="s">
        <v>52</v>
      </c>
      <c r="B101" s="500">
        <v>2238600</v>
      </c>
      <c r="E101" s="68"/>
      <c r="H101" s="342"/>
      <c r="I101" s="458"/>
      <c r="J101" s="342"/>
      <c r="K101" s="508">
        <v>7200</v>
      </c>
      <c r="L101" s="510" t="e">
        <f>7200/G76</f>
        <v>#REF!</v>
      </c>
    </row>
    <row r="102" spans="1:12" s="21" customFormat="1" ht="13.5" thickBot="1">
      <c r="A102" s="148" t="s">
        <v>61</v>
      </c>
      <c r="B102" s="501">
        <f>B101/'Summary ERRs'!H99</f>
        <v>4305</v>
      </c>
      <c r="E102" s="68"/>
      <c r="H102" s="342"/>
      <c r="I102" s="458"/>
      <c r="J102" s="342"/>
      <c r="K102" s="508">
        <v>8500</v>
      </c>
      <c r="L102" s="510" t="e">
        <f>8500/G76</f>
        <v>#REF!</v>
      </c>
    </row>
    <row r="103" spans="1:12" s="21" customFormat="1" ht="13.5" thickBot="1">
      <c r="A103" s="68"/>
      <c r="B103" s="270"/>
      <c r="E103" s="68"/>
      <c r="H103" s="342"/>
      <c r="I103" s="458"/>
      <c r="J103" s="342"/>
      <c r="K103" s="509">
        <v>10000</v>
      </c>
      <c r="L103" s="511" t="e">
        <f>10000/G76</f>
        <v>#REF!</v>
      </c>
    </row>
    <row r="104" spans="1:12" s="21" customFormat="1" ht="13.5" thickBot="1">
      <c r="A104" s="84" t="s">
        <v>17</v>
      </c>
      <c r="B104" s="475">
        <v>1</v>
      </c>
      <c r="C104" s="68" t="s">
        <v>18</v>
      </c>
      <c r="E104" s="68"/>
      <c r="H104" s="342"/>
      <c r="I104" s="458"/>
      <c r="J104" s="342"/>
      <c r="K104" s="342"/>
      <c r="L104" s="342"/>
    </row>
    <row r="105" spans="8:12" s="21" customFormat="1" ht="13.5" thickBot="1">
      <c r="H105" s="342"/>
      <c r="I105" s="342"/>
      <c r="J105" s="342"/>
      <c r="K105" s="342"/>
      <c r="L105" s="342"/>
    </row>
    <row r="106" spans="1:26" ht="12.75">
      <c r="A106" s="147" t="s">
        <v>747</v>
      </c>
      <c r="B106" s="323" t="e">
        <f>IF($B$99=1,ABS(PMT($B$98,$B$97,($I$97*$B$83),0)),0)</f>
        <v>#REF!</v>
      </c>
      <c r="C106" s="323" t="e">
        <f>IF($B$99&lt;=2,ABS(PMT($B$98,$B$97,($I$97*$B$83),0)),0)</f>
        <v>#REF!</v>
      </c>
      <c r="D106" s="323" t="e">
        <f>IF($B$99&lt;=3,ABS(PMT($B$98,$B$97,($I$97*$B$83),0)),0)</f>
        <v>#REF!</v>
      </c>
      <c r="E106" s="323" t="e">
        <f>IF($B$99&lt;=4,ABS(PMT($B$98,$B$97,($I$97*$B$83),0)),0)</f>
        <v>#REF!</v>
      </c>
      <c r="F106" s="323" t="e">
        <f>IF($B$99&lt;=5,ABS(PMT($B$98,$B$97,($I$97*$B$83),0)),0)</f>
        <v>#REF!</v>
      </c>
      <c r="G106" s="323" t="e">
        <f>IF($B$99=1,IF($B$97=5,0,F106),F106)</f>
        <v>#REF!</v>
      </c>
      <c r="H106" s="323" t="e">
        <f>IF($B$99=2,IF($B$97=5,0,G106),G106)</f>
        <v>#REF!</v>
      </c>
      <c r="I106" s="323" t="e">
        <f>IF($B$99=3,IF($B$97=5,0,H106),H106)</f>
        <v>#REF!</v>
      </c>
      <c r="J106" s="323" t="e">
        <f>IF($B$99=4,IF($B$97=5,0,I106),I106)</f>
        <v>#REF!</v>
      </c>
      <c r="K106" s="323" t="e">
        <f>IF($B$99=5,IF($B$97=5,0,J106),J106)</f>
        <v>#REF!</v>
      </c>
      <c r="L106" s="323" t="e">
        <f>IF($B$99=1,IF($B$97=10,0,K106),K106)</f>
        <v>#REF!</v>
      </c>
      <c r="M106" s="323" t="e">
        <f>IF($B$99=2,IF($B$97=10,0,L106),L106)</f>
        <v>#REF!</v>
      </c>
      <c r="N106" s="323" t="e">
        <f>IF($B$99=3,IF($B$97=10,0,M106),M106)</f>
        <v>#REF!</v>
      </c>
      <c r="O106" s="323" t="e">
        <f>IF($B$99=4,IF($B$97=10,0,N106),N106)</f>
        <v>#REF!</v>
      </c>
      <c r="P106" s="323" t="e">
        <f>IF($B$99=5,IF($B$97=10,0,O106),O106)</f>
        <v>#REF!</v>
      </c>
      <c r="Q106" s="323" t="e">
        <f>IF($B$99=1,IF($B$97=15,0,P106),P106)</f>
        <v>#REF!</v>
      </c>
      <c r="R106" s="323" t="e">
        <f>IF($B$99=2,IF($B$97=15,0,Q106),Q106)</f>
        <v>#REF!</v>
      </c>
      <c r="S106" s="323" t="e">
        <f>IF($B$99=3,IF($B$97=15,0,R106),R106)</f>
        <v>#REF!</v>
      </c>
      <c r="T106" s="323" t="e">
        <f>IF($B$99=4,IF($B$97=15,0,S106),S106)</f>
        <v>#REF!</v>
      </c>
      <c r="U106" s="323" t="e">
        <f>IF($B$99=5,IF($B$97=15,0,T106),T106)</f>
        <v>#REF!</v>
      </c>
      <c r="V106" s="323">
        <f>IF($B$99=1,IF($B$97=20,0,U106),U106)</f>
        <v>0</v>
      </c>
      <c r="W106" s="323">
        <f>IF($B$99=2,IF($B$97=20,0,V106),V106)</f>
        <v>0</v>
      </c>
      <c r="X106" s="323">
        <f>IF($B$99=3,IF($B$97=20,0,W106),W106)</f>
        <v>0</v>
      </c>
      <c r="Y106" s="505">
        <f>IF($B$99=4,IF($B$97=20,0,X106),X106)</f>
        <v>0</v>
      </c>
      <c r="Z106" s="215"/>
    </row>
    <row r="107" spans="1:25" ht="13.5" thickBot="1">
      <c r="A107" s="148" t="s">
        <v>748</v>
      </c>
      <c r="B107" s="326" t="e">
        <f>B106/10</f>
        <v>#REF!</v>
      </c>
      <c r="C107" s="326" t="e">
        <f aca="true" t="shared" si="24" ref="C107:U107">C106/10</f>
        <v>#REF!</v>
      </c>
      <c r="D107" s="326" t="e">
        <f t="shared" si="24"/>
        <v>#REF!</v>
      </c>
      <c r="E107" s="326" t="e">
        <f t="shared" si="24"/>
        <v>#REF!</v>
      </c>
      <c r="F107" s="326" t="e">
        <f t="shared" si="24"/>
        <v>#REF!</v>
      </c>
      <c r="G107" s="326" t="e">
        <f t="shared" si="24"/>
        <v>#REF!</v>
      </c>
      <c r="H107" s="326" t="e">
        <f t="shared" si="24"/>
        <v>#REF!</v>
      </c>
      <c r="I107" s="326" t="e">
        <f t="shared" si="24"/>
        <v>#REF!</v>
      </c>
      <c r="J107" s="326" t="e">
        <f t="shared" si="24"/>
        <v>#REF!</v>
      </c>
      <c r="K107" s="326" t="e">
        <f t="shared" si="24"/>
        <v>#REF!</v>
      </c>
      <c r="L107" s="326" t="e">
        <f t="shared" si="24"/>
        <v>#REF!</v>
      </c>
      <c r="M107" s="326" t="e">
        <f t="shared" si="24"/>
        <v>#REF!</v>
      </c>
      <c r="N107" s="326" t="e">
        <f t="shared" si="24"/>
        <v>#REF!</v>
      </c>
      <c r="O107" s="326" t="e">
        <f t="shared" si="24"/>
        <v>#REF!</v>
      </c>
      <c r="P107" s="326" t="e">
        <f t="shared" si="24"/>
        <v>#REF!</v>
      </c>
      <c r="Q107" s="326" t="e">
        <f t="shared" si="24"/>
        <v>#REF!</v>
      </c>
      <c r="R107" s="326" t="e">
        <f t="shared" si="24"/>
        <v>#REF!</v>
      </c>
      <c r="S107" s="326" t="e">
        <f t="shared" si="24"/>
        <v>#REF!</v>
      </c>
      <c r="T107" s="326" t="e">
        <f t="shared" si="24"/>
        <v>#REF!</v>
      </c>
      <c r="U107" s="326" t="e">
        <f t="shared" si="24"/>
        <v>#REF!</v>
      </c>
      <c r="V107" s="326">
        <f>V106/10</f>
        <v>0</v>
      </c>
      <c r="W107" s="326">
        <f>W106/10</f>
        <v>0</v>
      </c>
      <c r="X107" s="326">
        <f>X106/10</f>
        <v>0</v>
      </c>
      <c r="Y107" s="506">
        <f>Y106/10</f>
        <v>0</v>
      </c>
    </row>
    <row r="108" spans="3:12" ht="13.5" thickBot="1">
      <c r="C108" s="264"/>
      <c r="D108" s="264"/>
      <c r="E108" s="264"/>
      <c r="F108" s="264"/>
      <c r="G108" s="264"/>
      <c r="H108" s="264"/>
      <c r="I108" s="264"/>
      <c r="J108" s="264"/>
      <c r="K108" s="264"/>
      <c r="L108" s="264"/>
    </row>
    <row r="109" spans="1:25" ht="13.5" thickBot="1">
      <c r="A109" s="84" t="s">
        <v>749</v>
      </c>
      <c r="B109" s="334" t="e">
        <f>B106+B42</f>
        <v>#REF!</v>
      </c>
      <c r="C109" s="335" t="e">
        <f aca="true" t="shared" si="25" ref="C109:Y109">C106+C42</f>
        <v>#REF!</v>
      </c>
      <c r="D109" s="335" t="e">
        <f t="shared" si="25"/>
        <v>#REF!</v>
      </c>
      <c r="E109" s="335" t="e">
        <f t="shared" si="25"/>
        <v>#REF!</v>
      </c>
      <c r="F109" s="335" t="e">
        <f t="shared" si="25"/>
        <v>#REF!</v>
      </c>
      <c r="G109" s="335" t="e">
        <f t="shared" si="25"/>
        <v>#REF!</v>
      </c>
      <c r="H109" s="335" t="e">
        <f t="shared" si="25"/>
        <v>#REF!</v>
      </c>
      <c r="I109" s="335" t="e">
        <f t="shared" si="25"/>
        <v>#REF!</v>
      </c>
      <c r="J109" s="335" t="e">
        <f t="shared" si="25"/>
        <v>#REF!</v>
      </c>
      <c r="K109" s="335" t="e">
        <f t="shared" si="25"/>
        <v>#REF!</v>
      </c>
      <c r="L109" s="335" t="e">
        <f t="shared" si="25"/>
        <v>#REF!</v>
      </c>
      <c r="M109" s="335" t="e">
        <f t="shared" si="25"/>
        <v>#REF!</v>
      </c>
      <c r="N109" s="335" t="e">
        <f t="shared" si="25"/>
        <v>#REF!</v>
      </c>
      <c r="O109" s="335" t="e">
        <f t="shared" si="25"/>
        <v>#REF!</v>
      </c>
      <c r="P109" s="335" t="e">
        <f t="shared" si="25"/>
        <v>#REF!</v>
      </c>
      <c r="Q109" s="335" t="e">
        <f t="shared" si="25"/>
        <v>#REF!</v>
      </c>
      <c r="R109" s="335" t="e">
        <f t="shared" si="25"/>
        <v>#REF!</v>
      </c>
      <c r="S109" s="335" t="e">
        <f t="shared" si="25"/>
        <v>#REF!</v>
      </c>
      <c r="T109" s="335" t="e">
        <f t="shared" si="25"/>
        <v>#REF!</v>
      </c>
      <c r="U109" s="335" t="e">
        <f t="shared" si="25"/>
        <v>#REF!</v>
      </c>
      <c r="V109" s="335">
        <f t="shared" si="25"/>
        <v>0</v>
      </c>
      <c r="W109" s="335">
        <f t="shared" si="25"/>
        <v>0</v>
      </c>
      <c r="X109" s="335">
        <f t="shared" si="25"/>
        <v>393258.6956521739</v>
      </c>
      <c r="Y109" s="336">
        <f t="shared" si="25"/>
        <v>390</v>
      </c>
    </row>
    <row r="110" spans="3:12" ht="13.5" thickBot="1">
      <c r="C110" s="264"/>
      <c r="D110" s="264"/>
      <c r="E110" s="264"/>
      <c r="F110" s="264"/>
      <c r="G110" s="264"/>
      <c r="H110" s="264"/>
      <c r="I110" s="264"/>
      <c r="J110" s="264"/>
      <c r="K110" s="264"/>
      <c r="L110" s="264"/>
    </row>
    <row r="111" spans="1:25" ht="12.75">
      <c r="A111" s="147" t="s">
        <v>750</v>
      </c>
      <c r="B111" s="322" t="e">
        <f>B48-B109</f>
        <v>#REF!</v>
      </c>
      <c r="C111" s="322" t="e">
        <f aca="true" t="shared" si="26" ref="C111:T111">C48-C109</f>
        <v>#REF!</v>
      </c>
      <c r="D111" s="322" t="e">
        <f t="shared" si="26"/>
        <v>#REF!</v>
      </c>
      <c r="E111" s="322" t="e">
        <f t="shared" si="26"/>
        <v>#REF!</v>
      </c>
      <c r="F111" s="322" t="e">
        <f t="shared" si="26"/>
        <v>#REF!</v>
      </c>
      <c r="G111" s="322" t="e">
        <f t="shared" si="26"/>
        <v>#REF!</v>
      </c>
      <c r="H111" s="322" t="e">
        <f t="shared" si="26"/>
        <v>#REF!</v>
      </c>
      <c r="I111" s="322" t="e">
        <f t="shared" si="26"/>
        <v>#REF!</v>
      </c>
      <c r="J111" s="322" t="e">
        <f t="shared" si="26"/>
        <v>#REF!</v>
      </c>
      <c r="K111" s="322" t="e">
        <f t="shared" si="26"/>
        <v>#REF!</v>
      </c>
      <c r="L111" s="322" t="e">
        <f t="shared" si="26"/>
        <v>#REF!</v>
      </c>
      <c r="M111" s="322" t="e">
        <f t="shared" si="26"/>
        <v>#REF!</v>
      </c>
      <c r="N111" s="322" t="e">
        <f t="shared" si="26"/>
        <v>#REF!</v>
      </c>
      <c r="O111" s="322" t="e">
        <f t="shared" si="26"/>
        <v>#REF!</v>
      </c>
      <c r="P111" s="322" t="e">
        <f t="shared" si="26"/>
        <v>#REF!</v>
      </c>
      <c r="Q111" s="322" t="e">
        <f t="shared" si="26"/>
        <v>#REF!</v>
      </c>
      <c r="R111" s="322" t="e">
        <f t="shared" si="26"/>
        <v>#REF!</v>
      </c>
      <c r="S111" s="322" t="e">
        <f t="shared" si="26"/>
        <v>#REF!</v>
      </c>
      <c r="T111" s="322" t="e">
        <f t="shared" si="26"/>
        <v>#REF!</v>
      </c>
      <c r="U111" s="322" t="e">
        <f>U48-U109</f>
        <v>#REF!</v>
      </c>
      <c r="V111" s="322">
        <f>V48-V109</f>
        <v>0</v>
      </c>
      <c r="W111" s="322">
        <f>W48-W109</f>
        <v>0</v>
      </c>
      <c r="X111" s="322">
        <f>X48-X109</f>
        <v>730393.4782608696</v>
      </c>
      <c r="Y111" s="324">
        <f>Y48-Y109</f>
        <v>3</v>
      </c>
    </row>
    <row r="112" spans="1:25" ht="12.75">
      <c r="A112" s="337" t="s">
        <v>751</v>
      </c>
      <c r="B112" s="215" t="e">
        <f>B111/10</f>
        <v>#REF!</v>
      </c>
      <c r="C112" s="215" t="e">
        <f aca="true" t="shared" si="27" ref="C112:U112">C111/10</f>
        <v>#REF!</v>
      </c>
      <c r="D112" s="215" t="e">
        <f t="shared" si="27"/>
        <v>#REF!</v>
      </c>
      <c r="E112" s="215" t="e">
        <f t="shared" si="27"/>
        <v>#REF!</v>
      </c>
      <c r="F112" s="215" t="e">
        <f t="shared" si="27"/>
        <v>#REF!</v>
      </c>
      <c r="G112" s="215" t="e">
        <f t="shared" si="27"/>
        <v>#REF!</v>
      </c>
      <c r="H112" s="215" t="e">
        <f t="shared" si="27"/>
        <v>#REF!</v>
      </c>
      <c r="I112" s="215" t="e">
        <f t="shared" si="27"/>
        <v>#REF!</v>
      </c>
      <c r="J112" s="215" t="e">
        <f t="shared" si="27"/>
        <v>#REF!</v>
      </c>
      <c r="K112" s="215" t="e">
        <f t="shared" si="27"/>
        <v>#REF!</v>
      </c>
      <c r="L112" s="215" t="e">
        <f t="shared" si="27"/>
        <v>#REF!</v>
      </c>
      <c r="M112" s="215" t="e">
        <f t="shared" si="27"/>
        <v>#REF!</v>
      </c>
      <c r="N112" s="215" t="e">
        <f t="shared" si="27"/>
        <v>#REF!</v>
      </c>
      <c r="O112" s="215" t="e">
        <f t="shared" si="27"/>
        <v>#REF!</v>
      </c>
      <c r="P112" s="215" t="e">
        <f t="shared" si="27"/>
        <v>#REF!</v>
      </c>
      <c r="Q112" s="215" t="e">
        <f t="shared" si="27"/>
        <v>#REF!</v>
      </c>
      <c r="R112" s="215" t="e">
        <f t="shared" si="27"/>
        <v>#REF!</v>
      </c>
      <c r="S112" s="215" t="e">
        <f t="shared" si="27"/>
        <v>#REF!</v>
      </c>
      <c r="T112" s="215" t="e">
        <f t="shared" si="27"/>
        <v>#REF!</v>
      </c>
      <c r="U112" s="215" t="e">
        <f t="shared" si="27"/>
        <v>#REF!</v>
      </c>
      <c r="V112" s="215">
        <f>V111/10</f>
        <v>0</v>
      </c>
      <c r="W112" s="215">
        <f>W111/10</f>
        <v>0</v>
      </c>
      <c r="X112" s="215">
        <f>X111/10</f>
        <v>73039.34782608696</v>
      </c>
      <c r="Y112" s="343">
        <f>Y111/10</f>
        <v>0.3</v>
      </c>
    </row>
    <row r="113" spans="1:25" ht="13.5" thickBot="1">
      <c r="A113" s="148" t="s">
        <v>792</v>
      </c>
      <c r="B113" s="325" t="e">
        <f>B112/'Summary ERRs'!$H$99</f>
        <v>#REF!</v>
      </c>
      <c r="C113" s="325" t="e">
        <f>C112/'Summary ERRs'!$H$99</f>
        <v>#REF!</v>
      </c>
      <c r="D113" s="325" t="e">
        <f>D112/'Summary ERRs'!$H$99</f>
        <v>#REF!</v>
      </c>
      <c r="E113" s="325" t="e">
        <f>E112/'Summary ERRs'!$H$99</f>
        <v>#REF!</v>
      </c>
      <c r="F113" s="325" t="e">
        <f>F112/'Summary ERRs'!$H$99</f>
        <v>#REF!</v>
      </c>
      <c r="G113" s="325" t="e">
        <f>G112/'Summary ERRs'!$H$99</f>
        <v>#REF!</v>
      </c>
      <c r="H113" s="325" t="e">
        <f>H112/'Summary ERRs'!$H$99</f>
        <v>#REF!</v>
      </c>
      <c r="I113" s="325" t="e">
        <f>I112/'Summary ERRs'!$H$99</f>
        <v>#REF!</v>
      </c>
      <c r="J113" s="325" t="e">
        <f>J112/'Summary ERRs'!$H$99</f>
        <v>#REF!</v>
      </c>
      <c r="K113" s="325" t="e">
        <f>K112/'Summary ERRs'!$H$99</f>
        <v>#REF!</v>
      </c>
      <c r="L113" s="325" t="e">
        <f>L112/'Summary ERRs'!$H$99</f>
        <v>#REF!</v>
      </c>
      <c r="M113" s="325" t="e">
        <f>M112/'Summary ERRs'!$H$99</f>
        <v>#REF!</v>
      </c>
      <c r="N113" s="325" t="e">
        <f>N112/'Summary ERRs'!$H$99</f>
        <v>#REF!</v>
      </c>
      <c r="O113" s="325" t="e">
        <f>O112/'Summary ERRs'!$H$99</f>
        <v>#REF!</v>
      </c>
      <c r="P113" s="325" t="e">
        <f>P112/'Summary ERRs'!$H$99</f>
        <v>#REF!</v>
      </c>
      <c r="Q113" s="325" t="e">
        <f>Q112/'Summary ERRs'!$H$99</f>
        <v>#REF!</v>
      </c>
      <c r="R113" s="325" t="e">
        <f>R112/'Summary ERRs'!$H$99</f>
        <v>#REF!</v>
      </c>
      <c r="S113" s="325" t="e">
        <f>S112/'Summary ERRs'!$H$99</f>
        <v>#REF!</v>
      </c>
      <c r="T113" s="325" t="e">
        <f>T112/'Summary ERRs'!$H$99</f>
        <v>#REF!</v>
      </c>
      <c r="U113" s="325" t="e">
        <f>U112/'Summary ERRs'!$H$99</f>
        <v>#REF!</v>
      </c>
      <c r="V113" s="325">
        <f>V112/'Summary ERRs'!$H$99</f>
        <v>0</v>
      </c>
      <c r="W113" s="325">
        <f>W112/'Summary ERRs'!$H$99</f>
        <v>0</v>
      </c>
      <c r="X113" s="325">
        <f>X112/'Summary ERRs'!$H$99</f>
        <v>140.46028428093646</v>
      </c>
      <c r="Y113" s="327">
        <f>Y112/'Summary ERRs'!$H$99</f>
        <v>0.0005769230769230769</v>
      </c>
    </row>
    <row r="114" spans="2:22" ht="13.5" thickBot="1">
      <c r="B114" s="1"/>
      <c r="C114" s="1"/>
      <c r="D114" s="1"/>
      <c r="E114" s="1"/>
      <c r="F114" s="1"/>
      <c r="G114" s="1"/>
      <c r="H114" s="1"/>
      <c r="I114" s="1"/>
      <c r="J114" s="1"/>
      <c r="K114" s="1"/>
      <c r="L114" s="1"/>
      <c r="M114" s="1"/>
      <c r="N114" s="1"/>
      <c r="O114" s="1"/>
      <c r="P114" s="1"/>
      <c r="Q114" s="1"/>
      <c r="R114" s="1"/>
      <c r="S114" s="1"/>
      <c r="T114" s="1"/>
      <c r="U114" s="1"/>
      <c r="V114" s="18"/>
    </row>
    <row r="115" spans="1:25" ht="13.5" thickBot="1">
      <c r="A115" s="204" t="s">
        <v>56</v>
      </c>
      <c r="B115" s="483">
        <f>$B$102*'Alatona Beneficiaries'!$D$8/'Farm Model Assumptions'!$A$12</f>
        <v>5510.4</v>
      </c>
      <c r="C115" s="334">
        <f>$B$102*'Alatona Beneficiaries'!$D$8/'Farm Model Assumptions'!$A$12</f>
        <v>5510.4</v>
      </c>
      <c r="D115" s="334">
        <f>$B$102*'Alatona Beneficiaries'!$D$8/'Farm Model Assumptions'!$A$12</f>
        <v>5510.4</v>
      </c>
      <c r="E115" s="334">
        <f>$B$102*'Alatona Beneficiaries'!$D$8/'Farm Model Assumptions'!$A$12</f>
        <v>5510.4</v>
      </c>
      <c r="F115" s="334">
        <f>$B$102*'Alatona Beneficiaries'!$D$8/'Farm Model Assumptions'!$A$12</f>
        <v>5510.4</v>
      </c>
      <c r="G115" s="334">
        <f>$B$102*'Alatona Beneficiaries'!$D$8/'Farm Model Assumptions'!$A$12</f>
        <v>5510.4</v>
      </c>
      <c r="H115" s="334">
        <f>$B$102*'Alatona Beneficiaries'!$D$8/'Farm Model Assumptions'!$A$12</f>
        <v>5510.4</v>
      </c>
      <c r="I115" s="334">
        <f>$B$102*'Alatona Beneficiaries'!$D$8/'Farm Model Assumptions'!$A$12</f>
        <v>5510.4</v>
      </c>
      <c r="J115" s="334">
        <f>$B$102*'Alatona Beneficiaries'!$D$8/'Farm Model Assumptions'!$A$12</f>
        <v>5510.4</v>
      </c>
      <c r="K115" s="334">
        <f>$B$102*'Alatona Beneficiaries'!$D$8/'Farm Model Assumptions'!$A$12</f>
        <v>5510.4</v>
      </c>
      <c r="L115" s="334">
        <f>$B$102*'Alatona Beneficiaries'!$D$8/'Farm Model Assumptions'!$A$12</f>
        <v>5510.4</v>
      </c>
      <c r="M115" s="334">
        <f>$B$102*'Alatona Beneficiaries'!$D$8/'Farm Model Assumptions'!$A$12</f>
        <v>5510.4</v>
      </c>
      <c r="N115" s="334">
        <f>$B$102*'Alatona Beneficiaries'!$D$8/'Farm Model Assumptions'!$A$12</f>
        <v>5510.4</v>
      </c>
      <c r="O115" s="334">
        <f>$B$102*'Alatona Beneficiaries'!$D$8/'Farm Model Assumptions'!$A$12</f>
        <v>5510.4</v>
      </c>
      <c r="P115" s="334">
        <f>$B$102*'Alatona Beneficiaries'!$D$8/'Farm Model Assumptions'!$A$12</f>
        <v>5510.4</v>
      </c>
      <c r="Q115" s="334">
        <f>$B$102*'Alatona Beneficiaries'!$D$8/'Farm Model Assumptions'!$A$12</f>
        <v>5510.4</v>
      </c>
      <c r="R115" s="334">
        <f>$B$102*'Alatona Beneficiaries'!$D$8/'Farm Model Assumptions'!$A$12</f>
        <v>5510.4</v>
      </c>
      <c r="S115" s="334">
        <f>$B$102*'Alatona Beneficiaries'!$D$8/'Farm Model Assumptions'!$A$12</f>
        <v>5510.4</v>
      </c>
      <c r="T115" s="334">
        <f>$B$102*'Alatona Beneficiaries'!$D$8/'Farm Model Assumptions'!$A$12</f>
        <v>5510.4</v>
      </c>
      <c r="U115" s="334">
        <f>$B$102*'Alatona Beneficiaries'!$D$8/'Farm Model Assumptions'!$A$12</f>
        <v>5510.4</v>
      </c>
      <c r="V115" s="334">
        <f>$B$102*'Alatona Beneficiaries'!$D$8/'Farm Model Assumptions'!$A$12</f>
        <v>5510.4</v>
      </c>
      <c r="W115" s="334">
        <f>$B$102*'Alatona Beneficiaries'!$D$8/'Farm Model Assumptions'!$A$12</f>
        <v>5510.4</v>
      </c>
      <c r="X115" s="334">
        <f>$B$102*'Alatona Beneficiaries'!$D$8/'Farm Model Assumptions'!$A$12</f>
        <v>5510.4</v>
      </c>
      <c r="Y115" s="504">
        <f>$B$102*'Alatona Beneficiaries'!$D$8/'Farm Model Assumptions'!$A$12</f>
        <v>5510.4</v>
      </c>
    </row>
    <row r="116" spans="2:22" ht="13.5" thickBot="1">
      <c r="B116" s="1"/>
      <c r="C116" s="1"/>
      <c r="D116" s="1"/>
      <c r="E116" s="1"/>
      <c r="F116" s="1"/>
      <c r="G116" s="1"/>
      <c r="H116" s="1"/>
      <c r="I116" s="1"/>
      <c r="J116" s="1"/>
      <c r="K116" s="1"/>
      <c r="L116" s="1"/>
      <c r="M116" s="1"/>
      <c r="N116" s="1"/>
      <c r="O116" s="1"/>
      <c r="P116" s="1"/>
      <c r="Q116" s="1"/>
      <c r="R116" s="1"/>
      <c r="S116" s="1"/>
      <c r="T116" s="1"/>
      <c r="U116" s="1"/>
      <c r="V116" s="18"/>
    </row>
    <row r="117" spans="1:22" ht="13.5" thickBot="1">
      <c r="A117" s="84" t="s">
        <v>53</v>
      </c>
      <c r="B117" s="475">
        <v>5</v>
      </c>
      <c r="C117" s="1"/>
      <c r="D117" s="1"/>
      <c r="E117" s="1"/>
      <c r="F117" s="1"/>
      <c r="G117" s="1"/>
      <c r="H117" s="1"/>
      <c r="I117" s="1"/>
      <c r="J117" s="1"/>
      <c r="K117" s="1"/>
      <c r="L117" s="1"/>
      <c r="M117" s="1"/>
      <c r="N117" s="1"/>
      <c r="O117" s="1"/>
      <c r="P117" s="1"/>
      <c r="Q117" s="1"/>
      <c r="R117" s="1"/>
      <c r="S117" s="1"/>
      <c r="T117" s="1"/>
      <c r="U117" s="1"/>
      <c r="V117" s="18"/>
    </row>
    <row r="118" spans="1:22" ht="13.5" thickBot="1">
      <c r="A118" s="58"/>
      <c r="B118" s="1"/>
      <c r="C118" s="1"/>
      <c r="D118" s="1"/>
      <c r="E118" s="1"/>
      <c r="F118" s="1"/>
      <c r="G118" s="1"/>
      <c r="H118" s="1"/>
      <c r="I118" s="1"/>
      <c r="J118" s="1"/>
      <c r="K118" s="1"/>
      <c r="L118" s="1"/>
      <c r="M118" s="1"/>
      <c r="N118" s="1"/>
      <c r="O118" s="1"/>
      <c r="P118" s="1"/>
      <c r="Q118" s="1"/>
      <c r="R118" s="1"/>
      <c r="S118" s="1"/>
      <c r="T118" s="1"/>
      <c r="U118" s="1"/>
      <c r="V118" s="18"/>
    </row>
    <row r="119" spans="1:25" ht="13.5" thickBot="1">
      <c r="A119" s="204" t="s">
        <v>54</v>
      </c>
      <c r="B119" s="483" t="e">
        <f>($B$117*B113)-B115</f>
        <v>#REF!</v>
      </c>
      <c r="C119" s="334" t="e">
        <f aca="true" t="shared" si="28" ref="C119:U119">($B$117*C113)-C115</f>
        <v>#REF!</v>
      </c>
      <c r="D119" s="334" t="e">
        <f t="shared" si="28"/>
        <v>#REF!</v>
      </c>
      <c r="E119" s="334" t="e">
        <f t="shared" si="28"/>
        <v>#REF!</v>
      </c>
      <c r="F119" s="334" t="e">
        <f t="shared" si="28"/>
        <v>#REF!</v>
      </c>
      <c r="G119" s="334" t="e">
        <f t="shared" si="28"/>
        <v>#REF!</v>
      </c>
      <c r="H119" s="334" t="e">
        <f t="shared" si="28"/>
        <v>#REF!</v>
      </c>
      <c r="I119" s="334" t="e">
        <f t="shared" si="28"/>
        <v>#REF!</v>
      </c>
      <c r="J119" s="334" t="e">
        <f t="shared" si="28"/>
        <v>#REF!</v>
      </c>
      <c r="K119" s="334" t="e">
        <f t="shared" si="28"/>
        <v>#REF!</v>
      </c>
      <c r="L119" s="334" t="e">
        <f t="shared" si="28"/>
        <v>#REF!</v>
      </c>
      <c r="M119" s="334" t="e">
        <f t="shared" si="28"/>
        <v>#REF!</v>
      </c>
      <c r="N119" s="334" t="e">
        <f t="shared" si="28"/>
        <v>#REF!</v>
      </c>
      <c r="O119" s="334" t="e">
        <f t="shared" si="28"/>
        <v>#REF!</v>
      </c>
      <c r="P119" s="334" t="e">
        <f t="shared" si="28"/>
        <v>#REF!</v>
      </c>
      <c r="Q119" s="334" t="e">
        <f t="shared" si="28"/>
        <v>#REF!</v>
      </c>
      <c r="R119" s="334" t="e">
        <f t="shared" si="28"/>
        <v>#REF!</v>
      </c>
      <c r="S119" s="334" t="e">
        <f t="shared" si="28"/>
        <v>#REF!</v>
      </c>
      <c r="T119" s="334" t="e">
        <f t="shared" si="28"/>
        <v>#REF!</v>
      </c>
      <c r="U119" s="334" t="e">
        <f t="shared" si="28"/>
        <v>#REF!</v>
      </c>
      <c r="V119" s="334"/>
      <c r="W119" s="334"/>
      <c r="X119" s="334"/>
      <c r="Y119" s="504"/>
    </row>
    <row r="120" spans="2:22" ht="13.5" thickBot="1">
      <c r="B120" s="1"/>
      <c r="C120" s="1"/>
      <c r="D120" s="1"/>
      <c r="E120" s="1"/>
      <c r="F120" s="1"/>
      <c r="G120" s="1"/>
      <c r="H120" s="1"/>
      <c r="I120" s="1"/>
      <c r="J120" s="1"/>
      <c r="K120" s="1"/>
      <c r="L120" s="1"/>
      <c r="M120" s="1"/>
      <c r="N120" s="1"/>
      <c r="O120" s="1"/>
      <c r="P120" s="1"/>
      <c r="Q120" s="1"/>
      <c r="R120" s="1"/>
      <c r="S120" s="1"/>
      <c r="T120" s="1"/>
      <c r="U120" s="1"/>
      <c r="V120" s="18"/>
    </row>
    <row r="121" spans="1:22" ht="12.75">
      <c r="A121" s="51" t="s">
        <v>803</v>
      </c>
      <c r="B121" s="374" t="e">
        <f>IF($B$99=1,($B$84*('Farm Model Assumptions'!$C$17/3)),0)</f>
        <v>#REF!</v>
      </c>
      <c r="C121" s="374">
        <f>IF($B$99=2,($B$84*('Farm Model Assumptions'!$C$17/3)),0)</f>
        <v>0</v>
      </c>
      <c r="D121" s="374">
        <f>IF($B$99=3,($B$84*('Farm Model Assumptions'!$C$17/3)),0)</f>
        <v>0</v>
      </c>
      <c r="E121" s="374">
        <f>IF($B$99=4,($B$84*('Farm Model Assumptions'!$C$17/3)),0)</f>
        <v>0</v>
      </c>
      <c r="F121" s="374">
        <f>IF($B$99=5,($B$84*('Farm Model Assumptions'!$C$17/3)),0)</f>
        <v>0</v>
      </c>
      <c r="G121" s="374">
        <v>0</v>
      </c>
      <c r="H121" s="374">
        <f>G121</f>
        <v>0</v>
      </c>
      <c r="I121" s="374">
        <f aca="true" t="shared" si="29" ref="I121:U121">H121</f>
        <v>0</v>
      </c>
      <c r="J121" s="374">
        <f t="shared" si="29"/>
        <v>0</v>
      </c>
      <c r="K121" s="374">
        <f t="shared" si="29"/>
        <v>0</v>
      </c>
      <c r="L121" s="374">
        <f t="shared" si="29"/>
        <v>0</v>
      </c>
      <c r="M121" s="374">
        <f t="shared" si="29"/>
        <v>0</v>
      </c>
      <c r="N121" s="374">
        <f t="shared" si="29"/>
        <v>0</v>
      </c>
      <c r="O121" s="374">
        <f t="shared" si="29"/>
        <v>0</v>
      </c>
      <c r="P121" s="374">
        <f t="shared" si="29"/>
        <v>0</v>
      </c>
      <c r="Q121" s="374">
        <f t="shared" si="29"/>
        <v>0</v>
      </c>
      <c r="R121" s="374">
        <f t="shared" si="29"/>
        <v>0</v>
      </c>
      <c r="S121" s="374">
        <f t="shared" si="29"/>
        <v>0</v>
      </c>
      <c r="T121" s="374">
        <f t="shared" si="29"/>
        <v>0</v>
      </c>
      <c r="U121" s="370">
        <f t="shared" si="29"/>
        <v>0</v>
      </c>
      <c r="V121" s="18"/>
    </row>
    <row r="122" spans="1:22" ht="13.5" thickBot="1">
      <c r="A122" s="373" t="s">
        <v>804</v>
      </c>
      <c r="B122" s="317">
        <f aca="true" t="shared" si="30" ref="B122:U122">IF($B$26=2,(B121+B58),"")</f>
      </c>
      <c r="C122" s="317">
        <f t="shared" si="30"/>
      </c>
      <c r="D122" s="317">
        <f t="shared" si="30"/>
      </c>
      <c r="E122" s="317">
        <f t="shared" si="30"/>
      </c>
      <c r="F122" s="317">
        <f t="shared" si="30"/>
      </c>
      <c r="G122" s="317">
        <f t="shared" si="30"/>
      </c>
      <c r="H122" s="317">
        <f t="shared" si="30"/>
      </c>
      <c r="I122" s="317">
        <f t="shared" si="30"/>
      </c>
      <c r="J122" s="317">
        <f t="shared" si="30"/>
      </c>
      <c r="K122" s="317">
        <f t="shared" si="30"/>
      </c>
      <c r="L122" s="317">
        <f t="shared" si="30"/>
      </c>
      <c r="M122" s="317">
        <f t="shared" si="30"/>
      </c>
      <c r="N122" s="317">
        <f t="shared" si="30"/>
      </c>
      <c r="O122" s="317">
        <f t="shared" si="30"/>
      </c>
      <c r="P122" s="317">
        <f t="shared" si="30"/>
      </c>
      <c r="Q122" s="317">
        <f t="shared" si="30"/>
      </c>
      <c r="R122" s="317">
        <f t="shared" si="30"/>
      </c>
      <c r="S122" s="317">
        <f t="shared" si="30"/>
      </c>
      <c r="T122" s="317">
        <f t="shared" si="30"/>
      </c>
      <c r="U122" s="318">
        <f t="shared" si="30"/>
      </c>
      <c r="V122" s="18"/>
    </row>
    <row r="123" spans="1:22" ht="12.75">
      <c r="A123" s="193" t="s">
        <v>805</v>
      </c>
      <c r="B123" s="322">
        <f>IF($B$26=2,B122+B121,"")</f>
      </c>
      <c r="C123" s="322">
        <f aca="true" t="shared" si="31" ref="C123:U123">IF($B$26=2,C122+C121,"")</f>
      </c>
      <c r="D123" s="322">
        <f t="shared" si="31"/>
      </c>
      <c r="E123" s="322">
        <f t="shared" si="31"/>
      </c>
      <c r="F123" s="322">
        <f t="shared" si="31"/>
      </c>
      <c r="G123" s="322">
        <f t="shared" si="31"/>
      </c>
      <c r="H123" s="322">
        <f t="shared" si="31"/>
      </c>
      <c r="I123" s="322">
        <f t="shared" si="31"/>
      </c>
      <c r="J123" s="322">
        <f t="shared" si="31"/>
      </c>
      <c r="K123" s="322">
        <f t="shared" si="31"/>
      </c>
      <c r="L123" s="322">
        <f t="shared" si="31"/>
      </c>
      <c r="M123" s="322">
        <f t="shared" si="31"/>
      </c>
      <c r="N123" s="322">
        <f t="shared" si="31"/>
      </c>
      <c r="O123" s="322">
        <f t="shared" si="31"/>
      </c>
      <c r="P123" s="322">
        <f t="shared" si="31"/>
      </c>
      <c r="Q123" s="322">
        <f t="shared" si="31"/>
      </c>
      <c r="R123" s="322">
        <f t="shared" si="31"/>
      </c>
      <c r="S123" s="322">
        <f t="shared" si="31"/>
      </c>
      <c r="T123" s="322">
        <f t="shared" si="31"/>
      </c>
      <c r="U123" s="324">
        <f t="shared" si="31"/>
      </c>
      <c r="V123" s="18"/>
    </row>
    <row r="124" spans="1:22" ht="13.5" thickBot="1">
      <c r="A124" s="194" t="s">
        <v>806</v>
      </c>
      <c r="B124" s="325">
        <f>IF($B$26=2,(B123/'Summary ERRs'!$H$99),"")</f>
      </c>
      <c r="C124" s="325">
        <f>IF($B$26=2,(C123/'Summary ERRs'!$H$99),"")</f>
      </c>
      <c r="D124" s="325">
        <f>IF($B$26=2,(D123/'Summary ERRs'!$H$99),"")</f>
      </c>
      <c r="E124" s="325">
        <f>IF($B$26=2,(E123/'Summary ERRs'!$H$99),"")</f>
      </c>
      <c r="F124" s="325">
        <f>IF($B$26=2,(F123/'Summary ERRs'!$H$99),"")</f>
      </c>
      <c r="G124" s="325">
        <f>IF($B$26=2,(G123/'Summary ERRs'!$H$99),"")</f>
      </c>
      <c r="H124" s="325">
        <f>IF($B$26=2,(H123/'Summary ERRs'!$H$99),"")</f>
      </c>
      <c r="I124" s="325">
        <f>IF($B$26=2,(I123/'Summary ERRs'!$H$99),"")</f>
      </c>
      <c r="J124" s="325">
        <f>IF($B$26=2,(J123/'Summary ERRs'!$H$99),"")</f>
      </c>
      <c r="K124" s="325">
        <f>IF($B$26=2,(K123/'Summary ERRs'!$H$99),"")</f>
      </c>
      <c r="L124" s="325">
        <f>IF($B$26=2,(L123/'Summary ERRs'!$H$99),"")</f>
      </c>
      <c r="M124" s="325">
        <f>IF($B$26=2,(M123/'Summary ERRs'!$H$99),"")</f>
      </c>
      <c r="N124" s="325">
        <f>IF($B$26=2,(N123/'Summary ERRs'!$H$99),"")</f>
      </c>
      <c r="O124" s="325">
        <f>IF($B$26=2,(O123/'Summary ERRs'!$H$99),"")</f>
      </c>
      <c r="P124" s="325">
        <f>IF($B$26=2,(P123/'Summary ERRs'!$H$99),"")</f>
      </c>
      <c r="Q124" s="325">
        <f>IF($B$26=2,(Q123/'Summary ERRs'!$H$99),"")</f>
      </c>
      <c r="R124" s="325">
        <f>IF($B$26=2,(R123/'Summary ERRs'!$H$99),"")</f>
      </c>
      <c r="S124" s="325">
        <f>IF($B$26=2,(S123/'Summary ERRs'!$H$99),"")</f>
      </c>
      <c r="T124" s="325">
        <f>IF($B$26=2,(T123/'Summary ERRs'!$H$99),"")</f>
      </c>
      <c r="U124" s="327">
        <f>IF($B$26=2,(U123/'Summary ERRs'!$H$99),"")</f>
      </c>
      <c r="V124" s="18"/>
    </row>
    <row r="125" spans="2:22" ht="13.5" thickBot="1">
      <c r="B125" s="1"/>
      <c r="C125" s="1"/>
      <c r="D125" s="1"/>
      <c r="E125" s="1"/>
      <c r="F125" s="1"/>
      <c r="G125" s="1"/>
      <c r="H125" s="1"/>
      <c r="I125" s="1"/>
      <c r="J125" s="1"/>
      <c r="K125" s="1"/>
      <c r="L125" s="1"/>
      <c r="M125" s="1"/>
      <c r="N125" s="1"/>
      <c r="O125" s="1"/>
      <c r="P125" s="1"/>
      <c r="Q125" s="1"/>
      <c r="R125" s="1"/>
      <c r="S125" s="1"/>
      <c r="T125" s="1"/>
      <c r="U125" s="1"/>
      <c r="V125" s="18"/>
    </row>
    <row r="126" spans="1:22" ht="12.75">
      <c r="A126" s="200" t="s">
        <v>796</v>
      </c>
      <c r="B126" s="71"/>
      <c r="C126" s="71"/>
      <c r="D126" s="71"/>
      <c r="E126" s="71"/>
      <c r="F126" s="71"/>
      <c r="G126" s="71"/>
      <c r="H126" s="341"/>
      <c r="I126" s="341"/>
      <c r="J126" s="341"/>
      <c r="K126" s="341"/>
      <c r="L126" s="341"/>
      <c r="M126" s="71"/>
      <c r="N126" s="71"/>
      <c r="O126" s="71"/>
      <c r="P126" s="71"/>
      <c r="Q126" s="71"/>
      <c r="R126" s="71"/>
      <c r="S126" s="71"/>
      <c r="T126" s="71"/>
      <c r="U126" s="71"/>
      <c r="V126" s="18"/>
    </row>
    <row r="127" spans="2:22" ht="12.75">
      <c r="B127" s="1"/>
      <c r="C127" s="1"/>
      <c r="D127" s="1"/>
      <c r="E127" s="1"/>
      <c r="F127" s="1"/>
      <c r="G127" s="1"/>
      <c r="H127" s="1"/>
      <c r="I127" s="1"/>
      <c r="J127" s="1"/>
      <c r="K127" s="1"/>
      <c r="L127" s="1"/>
      <c r="M127" s="1"/>
      <c r="N127" s="1"/>
      <c r="O127" s="1"/>
      <c r="P127" s="1"/>
      <c r="Q127" s="1"/>
      <c r="R127" s="1"/>
      <c r="S127" s="1"/>
      <c r="T127" s="1"/>
      <c r="U127" s="1"/>
      <c r="V127" s="18"/>
    </row>
    <row r="128" spans="1:22" ht="13.5" thickBot="1">
      <c r="A128" s="9" t="s">
        <v>14</v>
      </c>
      <c r="J128" s="260"/>
      <c r="K128" s="1"/>
      <c r="L128" s="1"/>
      <c r="M128" s="1"/>
      <c r="N128" s="1"/>
      <c r="O128" s="1"/>
      <c r="P128" s="1"/>
      <c r="Q128" s="1"/>
      <c r="R128" s="1"/>
      <c r="S128" s="1"/>
      <c r="T128" s="1"/>
      <c r="U128" s="1"/>
      <c r="V128" s="1"/>
    </row>
    <row r="129" spans="1:22" ht="13.5" thickBot="1">
      <c r="A129" s="85"/>
      <c r="B129" s="1062" t="s">
        <v>738</v>
      </c>
      <c r="C129" s="1062"/>
      <c r="D129" s="1062"/>
      <c r="E129" s="1062"/>
      <c r="F129" s="1063"/>
      <c r="J129" s="14"/>
      <c r="K129" s="18"/>
      <c r="L129" s="18"/>
      <c r="M129" s="18"/>
      <c r="N129" s="18"/>
      <c r="O129" s="18"/>
      <c r="P129" s="18"/>
      <c r="Q129" s="18"/>
      <c r="R129" s="18"/>
      <c r="S129" s="18"/>
      <c r="T129" s="18"/>
      <c r="U129" s="18"/>
      <c r="V129" s="18"/>
    </row>
    <row r="130" spans="1:22" ht="12.75">
      <c r="A130" s="146" t="s">
        <v>573</v>
      </c>
      <c r="B130" s="12" t="s">
        <v>566</v>
      </c>
      <c r="C130" s="62" t="s">
        <v>567</v>
      </c>
      <c r="D130" s="62" t="s">
        <v>568</v>
      </c>
      <c r="E130" s="62" t="s">
        <v>569</v>
      </c>
      <c r="F130" s="64" t="s">
        <v>570</v>
      </c>
      <c r="J130" s="14"/>
      <c r="K130" s="18"/>
      <c r="L130" s="18"/>
      <c r="M130" s="18"/>
      <c r="N130" s="18"/>
      <c r="O130" s="18"/>
      <c r="P130" s="18"/>
      <c r="Q130" s="18"/>
      <c r="R130" s="18"/>
      <c r="S130" s="18"/>
      <c r="T130" s="18"/>
      <c r="U130" s="18"/>
      <c r="V130" s="18"/>
    </row>
    <row r="131" spans="1:22" ht="12.75">
      <c r="A131" s="87" t="s">
        <v>591</v>
      </c>
      <c r="B131" s="107">
        <f>IF($B$104=2,(10*'Farm Model Assumptions'!D90),('Farm Model Assumptions'!D90*'Farm Model Assumptions'!B39))</f>
        <v>540.54</v>
      </c>
      <c r="C131" s="117">
        <f>IF($B$104=2,(10*'Farm Model Assumptions'!E90),('Farm Model Assumptions'!E90*'Farm Model Assumptions'!C39))</f>
        <v>611.4499999999999</v>
      </c>
      <c r="D131" s="117">
        <f>IF($B$104=2,(10*'Farm Model Assumptions'!F90),('Farm Model Assumptions'!F90*'Farm Model Assumptions'!D39))</f>
        <v>684.53</v>
      </c>
      <c r="E131" s="117">
        <f>IF($B$104=2,(10*'Farm Model Assumptions'!G90),('Farm Model Assumptions'!G90*'Farm Model Assumptions'!E39))</f>
        <v>759.7800000000001</v>
      </c>
      <c r="F131" s="123">
        <f>IF($B$104=2,(10*'Farm Model Assumptions'!H90),('Farm Model Assumptions'!H90*'Farm Model Assumptions'!F39))</f>
        <v>772.8000000000001</v>
      </c>
      <c r="M131" s="21"/>
      <c r="N131" s="21"/>
      <c r="O131" s="21"/>
      <c r="P131" s="21"/>
      <c r="Q131" s="21"/>
      <c r="R131" s="21"/>
      <c r="S131" s="21"/>
      <c r="T131" s="21"/>
      <c r="U131" s="21"/>
      <c r="V131" s="21"/>
    </row>
    <row r="132" spans="1:22" ht="12.75">
      <c r="A132" s="87" t="s">
        <v>556</v>
      </c>
      <c r="B132" s="107">
        <f>IF($B$104=2,0,('Farm Model Assumptions'!D91*'Farm Model Assumptions'!B40))</f>
        <v>0</v>
      </c>
      <c r="C132" s="117">
        <f>IF($B$104=2,0,('Farm Model Assumptions'!E91*'Farm Model Assumptions'!C40))</f>
        <v>0</v>
      </c>
      <c r="D132" s="117">
        <f>IF($B$104=2,0,('Farm Model Assumptions'!F91*'Farm Model Assumptions'!D40))</f>
        <v>0</v>
      </c>
      <c r="E132" s="117">
        <f>IF($B$104=2,0,('Farm Model Assumptions'!G91*'Farm Model Assumptions'!E40))</f>
        <v>0</v>
      </c>
      <c r="F132" s="123">
        <f>IF($B$104=2,0,('Farm Model Assumptions'!H91*'Farm Model Assumptions'!F40))</f>
        <v>0</v>
      </c>
      <c r="J132" s="14"/>
      <c r="K132" s="18"/>
      <c r="L132" s="18"/>
      <c r="M132" s="18"/>
      <c r="N132" s="18"/>
      <c r="O132" s="18"/>
      <c r="P132" s="18"/>
      <c r="Q132" s="18"/>
      <c r="R132" s="18"/>
      <c r="S132" s="18"/>
      <c r="T132" s="18"/>
      <c r="U132" s="18"/>
      <c r="V132" s="18"/>
    </row>
    <row r="133" spans="1:22" ht="12.75">
      <c r="A133" s="87" t="s">
        <v>592</v>
      </c>
      <c r="B133" s="107">
        <f>IF($B$104=2,0,('Farm Model Assumptions'!D92*'Farm Model Assumptions'!B41))</f>
        <v>48.64</v>
      </c>
      <c r="C133" s="117">
        <f>IF($B$104=2,0,('Farm Model Assumptions'!E92*'Farm Model Assumptions'!C41))</f>
        <v>53.76</v>
      </c>
      <c r="D133" s="117">
        <f>IF($B$104=2,0,('Farm Model Assumptions'!F92*'Farm Model Assumptions'!D41))</f>
        <v>57.6</v>
      </c>
      <c r="E133" s="117">
        <f>IF($B$104=2,0,('Farm Model Assumptions'!G92*'Farm Model Assumptions'!E41))</f>
        <v>61.44</v>
      </c>
      <c r="F133" s="123">
        <f>IF($B$104=2,0,('Farm Model Assumptions'!H92*'Farm Model Assumptions'!F41))</f>
        <v>64</v>
      </c>
      <c r="J133" s="261"/>
      <c r="K133" s="262"/>
      <c r="L133" s="262"/>
      <c r="M133" s="262"/>
      <c r="N133" s="262"/>
      <c r="O133" s="262"/>
      <c r="P133" s="262"/>
      <c r="Q133" s="262"/>
      <c r="R133" s="262"/>
      <c r="S133" s="262"/>
      <c r="T133" s="262"/>
      <c r="U133" s="262"/>
      <c r="V133" s="262"/>
    </row>
    <row r="134" spans="1:6" ht="12.75">
      <c r="A134" s="87" t="s">
        <v>593</v>
      </c>
      <c r="B134" s="107">
        <f>IF($B$104=2,0,('Farm Model Assumptions'!D93*'Farm Model Assumptions'!B42))</f>
        <v>56</v>
      </c>
      <c r="C134" s="117">
        <f>IF($B$104=2,0,('Farm Model Assumptions'!E93*'Farm Model Assumptions'!C42))</f>
        <v>47.25000000000001</v>
      </c>
      <c r="D134" s="117">
        <f>IF($B$104=2,0,('Farm Model Assumptions'!F93*'Farm Model Assumptions'!D42))</f>
        <v>35.00000000000001</v>
      </c>
      <c r="E134" s="117">
        <f>IF($B$104=2,0,('Farm Model Assumptions'!G93*'Farm Model Assumptions'!E42))</f>
        <v>17.500000000000007</v>
      </c>
      <c r="F134" s="123">
        <f>IF($B$104=2,0,('Farm Model Assumptions'!H93*'Farm Model Assumptions'!F42))</f>
        <v>0</v>
      </c>
    </row>
    <row r="135" spans="1:6" ht="12.75">
      <c r="A135" s="87" t="s">
        <v>594</v>
      </c>
      <c r="B135" s="107">
        <f>IF($B$104=2,0,('Farm Model Assumptions'!D94*'Farm Model Assumptions'!B43))</f>
        <v>10.206257480698735</v>
      </c>
      <c r="C135" s="117">
        <f>IF($B$104=2,0,('Farm Model Assumptions'!E94*'Farm Model Assumptions'!C43))</f>
        <v>12.57232058963568</v>
      </c>
      <c r="D135" s="117">
        <f>IF($B$104=2,0,('Farm Model Assumptions'!F94*'Farm Model Assumptions'!D43))</f>
        <v>15.579438152300789</v>
      </c>
      <c r="E135" s="117">
        <f>IF($B$104=2,0,('Farm Model Assumptions'!G94*'Farm Model Assumptions'!E43))</f>
        <v>18.468928235854268</v>
      </c>
      <c r="F135" s="123">
        <f>IF($B$104=2,0,('Farm Model Assumptions'!H94*'Farm Model Assumptions'!F43))</f>
        <v>21.599999999999998</v>
      </c>
    </row>
    <row r="136" spans="1:6" ht="12.75">
      <c r="A136" s="87" t="s">
        <v>557</v>
      </c>
      <c r="B136" s="107">
        <f>IF($B$104=2,0,('Farm Model Assumptions'!D95*'Farm Model Assumptions'!B44))</f>
        <v>112.5</v>
      </c>
      <c r="C136" s="117">
        <f>IF($B$104=2,0,('Farm Model Assumptions'!E95*'Farm Model Assumptions'!C44))</f>
        <v>175.5</v>
      </c>
      <c r="D136" s="117">
        <f>IF($B$104=2,0,('Farm Model Assumptions'!F95*'Farm Model Assumptions'!D44))</f>
        <v>243</v>
      </c>
      <c r="E136" s="117">
        <f>IF($B$104=2,0,('Farm Model Assumptions'!G95*'Farm Model Assumptions'!E44))</f>
        <v>315</v>
      </c>
      <c r="F136" s="123">
        <f>IF($B$104=2,0,('Farm Model Assumptions'!H95*'Farm Model Assumptions'!F44))</f>
        <v>405</v>
      </c>
    </row>
    <row r="137" spans="1:6" ht="12.75">
      <c r="A137" s="87" t="s">
        <v>558</v>
      </c>
      <c r="B137" s="107">
        <f>IF($B$104=2,0,('Farm Model Assumptions'!D96*'Farm Model Assumptions'!B45))</f>
        <v>72</v>
      </c>
      <c r="C137" s="117">
        <f>IF($B$104=2,0,('Farm Model Assumptions'!E96*'Farm Model Assumptions'!C45))</f>
        <v>66</v>
      </c>
      <c r="D137" s="117">
        <f>IF($B$104=2,0,('Farm Model Assumptions'!F96*'Farm Model Assumptions'!D45))</f>
        <v>51.99999999999999</v>
      </c>
      <c r="E137" s="117">
        <f>IF($B$104=2,0,('Farm Model Assumptions'!G96*'Farm Model Assumptions'!E45))</f>
        <v>29.99999999999999</v>
      </c>
      <c r="F137" s="123">
        <f>IF($B$104=2,0,('Farm Model Assumptions'!H96*'Farm Model Assumptions'!F45))</f>
        <v>0</v>
      </c>
    </row>
    <row r="138" spans="1:6" ht="12.75">
      <c r="A138" s="87" t="s">
        <v>595</v>
      </c>
      <c r="B138" s="107">
        <f>IF($B$104=2,0,('Farm Model Assumptions'!D97*'Farm Model Assumptions'!B46))</f>
        <v>5.3999999999999995</v>
      </c>
      <c r="C138" s="117">
        <f>IF($B$104=2,0,('Farm Model Assumptions'!E97*'Farm Model Assumptions'!C46))</f>
        <v>9.975</v>
      </c>
      <c r="D138" s="117">
        <f>IF($B$104=2,0,('Farm Model Assumptions'!F97*'Farm Model Assumptions'!D46))</f>
        <v>15</v>
      </c>
      <c r="E138" s="117">
        <f>IF($B$104=2,0,('Farm Model Assumptions'!G97*'Farm Model Assumptions'!E46))</f>
        <v>21.45</v>
      </c>
      <c r="F138" s="123">
        <f>IF($B$104=2,0,('Farm Model Assumptions'!H97*'Farm Model Assumptions'!F46))</f>
        <v>28.799999999999997</v>
      </c>
    </row>
    <row r="139" spans="1:6" ht="12.75">
      <c r="A139" s="87" t="s">
        <v>596</v>
      </c>
      <c r="B139" s="107">
        <f>IF($B$104=2,0,('Farm Model Assumptions'!D98*'Farm Model Assumptions'!B47))</f>
        <v>0</v>
      </c>
      <c r="C139" s="117">
        <f>IF($B$104=2,0,('Farm Model Assumptions'!E98*'Farm Model Assumptions'!C47))</f>
        <v>0</v>
      </c>
      <c r="D139" s="117">
        <f>IF($B$104=2,0,('Farm Model Assumptions'!F98*'Farm Model Assumptions'!D47))</f>
        <v>0</v>
      </c>
      <c r="E139" s="117">
        <f>IF($B$104=2,0,('Farm Model Assumptions'!G98*'Farm Model Assumptions'!E47))</f>
        <v>0</v>
      </c>
      <c r="F139" s="123">
        <f>IF($B$104=2,0,('Farm Model Assumptions'!H98*'Farm Model Assumptions'!F47))</f>
        <v>0</v>
      </c>
    </row>
    <row r="140" spans="1:6" ht="12.75">
      <c r="A140" s="87" t="s">
        <v>597</v>
      </c>
      <c r="B140" s="107">
        <f>IF($B$104=2,0,('Farm Model Assumptions'!B47*'Farm Model Assumptions'!D99))</f>
        <v>3.75</v>
      </c>
      <c r="C140" s="107">
        <f>IF($B$104=2,0,('Farm Model Assumptions'!C47*'Farm Model Assumptions'!E99))</f>
        <v>3.7500000000000004</v>
      </c>
      <c r="D140" s="107">
        <f>IF($B$104=2,0,('Farm Model Assumptions'!D47*'Farm Model Assumptions'!F99))</f>
        <v>3.1250000000000004</v>
      </c>
      <c r="E140" s="107">
        <f>IF($B$104=2,0,('Farm Model Assumptions'!E47*'Farm Model Assumptions'!G99))</f>
        <v>1.5625000000000004</v>
      </c>
      <c r="F140" s="123">
        <f>IF($B$104=2,0,('Farm Model Assumptions'!F47*'Farm Model Assumptions'!H99))</f>
        <v>0</v>
      </c>
    </row>
    <row r="141" spans="1:6" ht="13.5" thickBot="1">
      <c r="A141" s="87" t="s">
        <v>652</v>
      </c>
      <c r="B141" s="107">
        <f>IF($B$104=2,0,(0.04*20*'Farm Model Assumptions'!H24/1000))</f>
        <v>0</v>
      </c>
      <c r="C141" s="107">
        <f>IF($B$104=2,0,(0.04*20*'Farm Model Assumptions'!I24/1000))</f>
        <v>0</v>
      </c>
      <c r="D141" s="107">
        <f>IF($B$104=2,0,(0.04*20*'Farm Model Assumptions'!J24/1000))</f>
        <v>0</v>
      </c>
      <c r="E141" s="107">
        <f>IF($B$104=2,0,(0.04*20*'Farm Model Assumptions'!K24/1000))</f>
        <v>0</v>
      </c>
      <c r="F141" s="123">
        <f>IF($B$104=2,0,(0.04*20*'Farm Model Assumptions'!K24/1000))</f>
        <v>0</v>
      </c>
    </row>
    <row r="142" spans="1:6" ht="13.5" thickBot="1">
      <c r="A142" s="84" t="s">
        <v>725</v>
      </c>
      <c r="B142" s="109">
        <f>SUM(B131:B141)</f>
        <v>849.0362574806986</v>
      </c>
      <c r="C142" s="185">
        <f>SUM(C131:C141)</f>
        <v>980.2573205896356</v>
      </c>
      <c r="D142" s="185">
        <f>SUM(D131:D141)</f>
        <v>1105.8344381523007</v>
      </c>
      <c r="E142" s="185">
        <f>SUM(E131:E141)</f>
        <v>1225.2014282358543</v>
      </c>
      <c r="F142" s="127">
        <f>SUM(F131:F141)</f>
        <v>1292.2</v>
      </c>
    </row>
    <row r="144" spans="1:6" ht="13.5" thickBot="1">
      <c r="A144" s="9" t="s">
        <v>15</v>
      </c>
      <c r="B144" s="257"/>
      <c r="C144" s="257"/>
      <c r="D144" s="257"/>
      <c r="E144" s="257"/>
      <c r="F144" s="257"/>
    </row>
    <row r="145" spans="1:6" ht="13.5" thickBot="1">
      <c r="A145" s="85"/>
      <c r="B145" s="1062" t="s">
        <v>739</v>
      </c>
      <c r="C145" s="1062"/>
      <c r="D145" s="1062"/>
      <c r="E145" s="1062"/>
      <c r="F145" s="1063"/>
    </row>
    <row r="146" spans="1:6" ht="12.75">
      <c r="A146" s="146" t="s">
        <v>573</v>
      </c>
      <c r="B146" s="12" t="s">
        <v>566</v>
      </c>
      <c r="C146" s="62" t="s">
        <v>567</v>
      </c>
      <c r="D146" s="62" t="s">
        <v>568</v>
      </c>
      <c r="E146" s="62" t="s">
        <v>569</v>
      </c>
      <c r="F146" s="64" t="s">
        <v>570</v>
      </c>
    </row>
    <row r="147" spans="1:6" ht="12.75">
      <c r="A147" s="87" t="s">
        <v>591</v>
      </c>
      <c r="B147" s="107">
        <f>IF($B$104=2,(10*'Farm Model Assumptions'!$C90),('Farm Model Assumptions'!C90*'Farm Model Assumptions'!B39))</f>
        <v>301.158</v>
      </c>
      <c r="C147" s="107">
        <f>IF($B$104=2,(10*'Farm Model Assumptions'!$C90),('Farm Model Assumptions'!$C90*'Farm Model Assumptions'!C39))</f>
        <v>306.5985</v>
      </c>
      <c r="D147" s="117">
        <f>IF($B$104=2,(10*'Farm Model Assumptions'!$C90),('Farm Model Assumptions'!$C90*'Farm Model Assumptions'!D39))</f>
        <v>312.039</v>
      </c>
      <c r="E147" s="117">
        <f>IF($B$104=2,(10*'Farm Model Assumptions'!$C90),('Farm Model Assumptions'!$C90*'Farm Model Assumptions'!E39))</f>
        <v>317.47950000000003</v>
      </c>
      <c r="F147" s="123">
        <f>IF($B$104=2,(10*'Farm Model Assumptions'!$C90),('Farm Model Assumptions'!$C90*'Farm Model Assumptions'!F39))</f>
        <v>322.92</v>
      </c>
    </row>
    <row r="148" spans="1:6" ht="12.75">
      <c r="A148" s="87" t="s">
        <v>556</v>
      </c>
      <c r="B148" s="107">
        <f>IF($B$104=2,0,('Farm Model Assumptions'!C91*'Farm Model Assumptions'!B40))</f>
        <v>0</v>
      </c>
      <c r="C148" s="107">
        <f>IF($B$104=2,0,('Farm Model Assumptions'!$C91*'Farm Model Assumptions'!C40))</f>
        <v>0</v>
      </c>
      <c r="D148" s="117">
        <f>IF($B$104=2,0,('Farm Model Assumptions'!$C91*'Farm Model Assumptions'!D40))</f>
        <v>0</v>
      </c>
      <c r="E148" s="117">
        <f>IF($B$104=2,0,('Farm Model Assumptions'!$C91*'Farm Model Assumptions'!E40))</f>
        <v>0</v>
      </c>
      <c r="F148" s="123">
        <f>IF($B$104=2,0,('Farm Model Assumptions'!$C91*'Farm Model Assumptions'!F40))</f>
        <v>0</v>
      </c>
    </row>
    <row r="149" spans="1:6" ht="12.75">
      <c r="A149" s="87" t="s">
        <v>592</v>
      </c>
      <c r="B149" s="107">
        <f>IF($B$104=2,0,('Farm Model Assumptions'!C92*'Farm Model Assumptions'!B41))</f>
        <v>15.44</v>
      </c>
      <c r="C149" s="107">
        <f>IF($B$104=2,0,('Farm Model Assumptions'!$C92*'Farm Model Assumptions'!C41))</f>
        <v>15.44</v>
      </c>
      <c r="D149" s="117">
        <f>IF($B$104=2,0,('Farm Model Assumptions'!$C92*'Farm Model Assumptions'!D41))</f>
        <v>15.44</v>
      </c>
      <c r="E149" s="117">
        <f>IF($B$104=2,0,('Farm Model Assumptions'!$C92*'Farm Model Assumptions'!E41))</f>
        <v>15.44</v>
      </c>
      <c r="F149" s="123">
        <f>IF($B$104=2,0,('Farm Model Assumptions'!$C92*'Farm Model Assumptions'!F41))</f>
        <v>15.44</v>
      </c>
    </row>
    <row r="150" spans="1:6" ht="12.75">
      <c r="A150" s="87" t="s">
        <v>593</v>
      </c>
      <c r="B150" s="107">
        <f>IF($B$104=2,0,('Farm Model Assumptions'!C93*'Farm Model Assumptions'!B42))</f>
        <v>22.700000000000003</v>
      </c>
      <c r="C150" s="107">
        <f>IF($B$104=2,0,('Farm Model Assumptions'!$C93*'Farm Model Assumptions'!C42))</f>
        <v>17.025000000000002</v>
      </c>
      <c r="D150" s="117">
        <f>IF($B$104=2,0,('Farm Model Assumptions'!$C93*'Farm Model Assumptions'!D42))</f>
        <v>11.350000000000001</v>
      </c>
      <c r="E150" s="117">
        <f>IF($B$104=2,0,('Farm Model Assumptions'!$C93*'Farm Model Assumptions'!E42))</f>
        <v>5.675000000000002</v>
      </c>
      <c r="F150" s="123">
        <f>IF($B$104=2,0,('Farm Model Assumptions'!$C93*'Farm Model Assumptions'!F42))</f>
        <v>0</v>
      </c>
    </row>
    <row r="151" spans="1:6" ht="12.75">
      <c r="A151" s="87" t="s">
        <v>594</v>
      </c>
      <c r="B151" s="107">
        <f>IF($B$104=2,0,('Farm Model Assumptions'!C94*'Farm Model Assumptions'!B43))</f>
        <v>3.8472806519040152</v>
      </c>
      <c r="C151" s="107">
        <f>IF($B$104=2,0,('Farm Model Assumptions'!$C94*'Farm Model Assumptions'!C43))</f>
        <v>4.332960488928011</v>
      </c>
      <c r="D151" s="117">
        <f>IF($B$104=2,0,('Farm Model Assumptions'!$C94*'Farm Model Assumptions'!D43))</f>
        <v>4.818640325952007</v>
      </c>
      <c r="E151" s="117">
        <f>IF($B$104=2,0,('Farm Model Assumptions'!$C94*'Farm Model Assumptions'!E43))</f>
        <v>5.304320162976003</v>
      </c>
      <c r="F151" s="123">
        <f>IF($B$104=2,0,('Farm Model Assumptions'!$C94*'Farm Model Assumptions'!F43))</f>
        <v>5.79</v>
      </c>
    </row>
    <row r="152" spans="1:6" ht="12.75">
      <c r="A152" s="87" t="s">
        <v>557</v>
      </c>
      <c r="B152" s="107">
        <f>IF($B$104=2,0,('Farm Model Assumptions'!C95*'Farm Model Assumptions'!B44))</f>
        <v>28.56</v>
      </c>
      <c r="C152" s="107">
        <f>IF($B$104=2,0,('Farm Model Assumptions'!$C95*'Farm Model Assumptions'!C44))</f>
        <v>42.839999999999996</v>
      </c>
      <c r="D152" s="117">
        <f>IF($B$104=2,0,('Farm Model Assumptions'!$C95*'Farm Model Assumptions'!D44))</f>
        <v>57.12</v>
      </c>
      <c r="E152" s="117">
        <f>IF($B$104=2,0,('Farm Model Assumptions'!$C95*'Farm Model Assumptions'!E44))</f>
        <v>71.39999999999999</v>
      </c>
      <c r="F152" s="123">
        <f>IF($B$104=2,0,('Farm Model Assumptions'!$C95*'Farm Model Assumptions'!F44))</f>
        <v>85.67999999999999</v>
      </c>
    </row>
    <row r="153" spans="1:6" ht="12.75">
      <c r="A153" s="87" t="s">
        <v>558</v>
      </c>
      <c r="B153" s="107">
        <f>IF($B$104=2,0,('Farm Model Assumptions'!C96*'Farm Model Assumptions'!B45))</f>
        <v>38.38</v>
      </c>
      <c r="C153" s="107">
        <f>IF($B$104=2,0,('Farm Model Assumptions'!$C96*'Farm Model Assumptions'!C45))</f>
        <v>28.785</v>
      </c>
      <c r="D153" s="117">
        <f>IF($B$104=2,0,('Farm Model Assumptions'!$C96*'Farm Model Assumptions'!D45))</f>
        <v>19.189999999999998</v>
      </c>
      <c r="E153" s="117">
        <f>IF($B$104=2,0,('Farm Model Assumptions'!$C96*'Farm Model Assumptions'!E45))</f>
        <v>9.594999999999997</v>
      </c>
      <c r="F153" s="123">
        <f>IF($B$104=2,0,('Farm Model Assumptions'!$C96*'Farm Model Assumptions'!F45))</f>
        <v>0</v>
      </c>
    </row>
    <row r="154" spans="1:6" ht="12.75">
      <c r="A154" s="87" t="s">
        <v>595</v>
      </c>
      <c r="B154" s="107">
        <f>IF($B$104=2,0,('Farm Model Assumptions'!C97*'Farm Model Assumptions'!B46))</f>
        <v>4.4325</v>
      </c>
      <c r="C154" s="107">
        <f>IF($B$104=2,0,('Farm Model Assumptions'!$C97*'Farm Model Assumptions'!C46))</f>
        <v>7.756875</v>
      </c>
      <c r="D154" s="117">
        <f>IF($B$104=2,0,('Farm Model Assumptions'!$C97*'Farm Model Assumptions'!D46))</f>
        <v>11.081249999999999</v>
      </c>
      <c r="E154" s="117">
        <f>IF($B$104=2,0,('Farm Model Assumptions'!$C97*'Farm Model Assumptions'!E46))</f>
        <v>14.405625</v>
      </c>
      <c r="F154" s="123">
        <f>IF($B$104=2,0,('Farm Model Assumptions'!$C97*'Farm Model Assumptions'!F46))</f>
        <v>17.73</v>
      </c>
    </row>
    <row r="155" spans="1:6" ht="12.75">
      <c r="A155" s="87" t="s">
        <v>596</v>
      </c>
      <c r="B155" s="107">
        <f>IF($B$104=2,0,('Farm Model Assumptions'!C98*'Farm Model Assumptions'!B47))</f>
        <v>4.3875</v>
      </c>
      <c r="C155" s="107">
        <f>IF($B$104=2,0,('Farm Model Assumptions'!$C98*'Farm Model Assumptions'!C47))</f>
        <v>3.2906250000000004</v>
      </c>
      <c r="D155" s="117">
        <f>IF($B$104=2,0,('Farm Model Assumptions'!$C98*'Farm Model Assumptions'!D47))</f>
        <v>2.1937500000000005</v>
      </c>
      <c r="E155" s="117">
        <f>IF($B$104=2,0,('Farm Model Assumptions'!$C98*'Farm Model Assumptions'!E47))</f>
        <v>1.0968750000000003</v>
      </c>
      <c r="F155" s="123">
        <f>IF($B$104=2,0,('Farm Model Assumptions'!$C98*'Farm Model Assumptions'!F47))</f>
        <v>0</v>
      </c>
    </row>
    <row r="156" spans="1:6" ht="12.75">
      <c r="A156" s="87" t="s">
        <v>597</v>
      </c>
      <c r="B156" s="107">
        <f>IF($B$104=2,0,('Farm Model Assumptions'!B47*'Farm Model Assumptions'!C99))</f>
        <v>1.2125000000000001</v>
      </c>
      <c r="C156" s="107">
        <f>IF($B$104=2,0,('Farm Model Assumptions'!$C47*'Farm Model Assumptions'!C99))</f>
        <v>0.9093750000000002</v>
      </c>
      <c r="D156" s="107">
        <f>IF($B$104=2,0,('Farm Model Assumptions'!$C47*'Farm Model Assumptions'!D99))</f>
        <v>2.8125000000000004</v>
      </c>
      <c r="E156" s="107">
        <f>IF($B$104=2,0,('Farm Model Assumptions'!$C47*'Farm Model Assumptions'!E99))</f>
        <v>3.7500000000000004</v>
      </c>
      <c r="F156" s="123">
        <f>IF($B$104=2,0,('Farm Model Assumptions'!$C47*'Farm Model Assumptions'!F99))</f>
        <v>4.687500000000001</v>
      </c>
    </row>
    <row r="157" spans="1:6" ht="13.5" thickBot="1">
      <c r="A157" s="87" t="s">
        <v>652</v>
      </c>
      <c r="B157" s="107">
        <f>IF($B$104=2,0,(0.04*'Farm Model Assumptions'!H25*20/1000))</f>
        <v>0</v>
      </c>
      <c r="C157" s="107">
        <f>IF($B$104=2,0,(0.04*'Farm Model Assumptions'!I25*20/1000))</f>
        <v>0</v>
      </c>
      <c r="D157" s="107">
        <f>IF($B$104=2,0,(0.04*'Farm Model Assumptions'!J25*20/1000))</f>
        <v>0</v>
      </c>
      <c r="E157" s="107">
        <f>IF($B$104=2,0,(0.04*'Farm Model Assumptions'!K25*20/1000))</f>
        <v>0</v>
      </c>
      <c r="F157" s="123">
        <f>IF($B$104=2,0,(0.04*'Farm Model Assumptions'!K25*20/1000))</f>
        <v>0</v>
      </c>
    </row>
    <row r="158" spans="1:6" ht="13.5" thickBot="1">
      <c r="A158" s="84" t="s">
        <v>794</v>
      </c>
      <c r="B158" s="109">
        <f>SUM(B147:B157)</f>
        <v>420.117780651904</v>
      </c>
      <c r="C158" s="185">
        <f>SUM(C147:C157)</f>
        <v>426.97833548892794</v>
      </c>
      <c r="D158" s="185">
        <f>SUM(D147:D157)</f>
        <v>436.04514032595205</v>
      </c>
      <c r="E158" s="185">
        <f>SUM(E147:E157)</f>
        <v>444.146320162976</v>
      </c>
      <c r="F158" s="127">
        <f>SUM(F147:F157)</f>
        <v>452.24750000000006</v>
      </c>
    </row>
    <row r="159" spans="1:6" ht="13.5" thickBot="1">
      <c r="A159" s="84" t="s">
        <v>795</v>
      </c>
      <c r="B159" s="109">
        <f>B158*1000</f>
        <v>420117.780651904</v>
      </c>
      <c r="C159" s="185">
        <f>C158*1000</f>
        <v>426978.33548892796</v>
      </c>
      <c r="D159" s="185">
        <f>D158*1000</f>
        <v>436045.14032595203</v>
      </c>
      <c r="E159" s="185">
        <f>E158*1000</f>
        <v>444146.320162976</v>
      </c>
      <c r="F159" s="127">
        <f>F158*1000</f>
        <v>452247.50000000006</v>
      </c>
    </row>
    <row r="161" ht="13.5" thickBot="1">
      <c r="A161" s="9" t="s">
        <v>16</v>
      </c>
    </row>
    <row r="162" spans="1:6" ht="13.5" thickBot="1">
      <c r="A162" s="85"/>
      <c r="B162" s="1062" t="s">
        <v>19</v>
      </c>
      <c r="C162" s="1062"/>
      <c r="D162" s="1062"/>
      <c r="E162" s="1062"/>
      <c r="F162" s="1063"/>
    </row>
    <row r="163" spans="1:6" ht="12.75">
      <c r="A163" s="146" t="s">
        <v>573</v>
      </c>
      <c r="B163" s="12" t="s">
        <v>566</v>
      </c>
      <c r="C163" s="62" t="s">
        <v>567</v>
      </c>
      <c r="D163" s="62" t="s">
        <v>568</v>
      </c>
      <c r="E163" s="62" t="s">
        <v>569</v>
      </c>
      <c r="F163" s="64" t="s">
        <v>570</v>
      </c>
    </row>
    <row r="164" spans="1:6" ht="12.75">
      <c r="A164" s="87" t="s">
        <v>591</v>
      </c>
      <c r="B164" s="107">
        <f>B131-B147</f>
        <v>239.38199999999995</v>
      </c>
      <c r="C164" s="107">
        <f>C131-C147</f>
        <v>304.85149999999993</v>
      </c>
      <c r="D164" s="117">
        <f>D131-D147</f>
        <v>372.491</v>
      </c>
      <c r="E164" s="117">
        <f>E131-E147</f>
        <v>442.30050000000006</v>
      </c>
      <c r="F164" s="123">
        <f>F131-F147</f>
        <v>449.88000000000005</v>
      </c>
    </row>
    <row r="165" spans="1:6" ht="12.75">
      <c r="A165" s="87" t="s">
        <v>556</v>
      </c>
      <c r="B165" s="107">
        <f aca="true" t="shared" si="32" ref="B165:C174">B132-B148</f>
        <v>0</v>
      </c>
      <c r="C165" s="107">
        <f t="shared" si="32"/>
        <v>0</v>
      </c>
      <c r="D165" s="117">
        <f aca="true" t="shared" si="33" ref="D165:F174">D132-D148</f>
        <v>0</v>
      </c>
      <c r="E165" s="117">
        <f t="shared" si="33"/>
        <v>0</v>
      </c>
      <c r="F165" s="123">
        <f t="shared" si="33"/>
        <v>0</v>
      </c>
    </row>
    <row r="166" spans="1:6" ht="12.75">
      <c r="A166" s="87" t="s">
        <v>592</v>
      </c>
      <c r="B166" s="107">
        <f t="shared" si="32"/>
        <v>33.2</v>
      </c>
      <c r="C166" s="107">
        <f t="shared" si="32"/>
        <v>38.32</v>
      </c>
      <c r="D166" s="117">
        <f t="shared" si="33"/>
        <v>42.160000000000004</v>
      </c>
      <c r="E166" s="117">
        <f t="shared" si="33"/>
        <v>46</v>
      </c>
      <c r="F166" s="123">
        <f t="shared" si="33"/>
        <v>48.56</v>
      </c>
    </row>
    <row r="167" spans="1:6" ht="12.75">
      <c r="A167" s="87" t="s">
        <v>593</v>
      </c>
      <c r="B167" s="107">
        <f t="shared" si="32"/>
        <v>33.3</v>
      </c>
      <c r="C167" s="107">
        <f t="shared" si="32"/>
        <v>30.225000000000005</v>
      </c>
      <c r="D167" s="117">
        <f t="shared" si="33"/>
        <v>23.650000000000006</v>
      </c>
      <c r="E167" s="117">
        <f t="shared" si="33"/>
        <v>11.825000000000006</v>
      </c>
      <c r="F167" s="123">
        <f t="shared" si="33"/>
        <v>0</v>
      </c>
    </row>
    <row r="168" spans="1:6" ht="12.75">
      <c r="A168" s="87" t="s">
        <v>594</v>
      </c>
      <c r="B168" s="107">
        <f t="shared" si="32"/>
        <v>6.35897682879472</v>
      </c>
      <c r="C168" s="107">
        <f t="shared" si="32"/>
        <v>8.23936010070767</v>
      </c>
      <c r="D168" s="117">
        <f t="shared" si="33"/>
        <v>10.760797826348782</v>
      </c>
      <c r="E168" s="117">
        <f t="shared" si="33"/>
        <v>13.164608072878265</v>
      </c>
      <c r="F168" s="123">
        <f t="shared" si="33"/>
        <v>15.809999999999999</v>
      </c>
    </row>
    <row r="169" spans="1:6" ht="12.75">
      <c r="A169" s="87" t="s">
        <v>557</v>
      </c>
      <c r="B169" s="107">
        <f t="shared" si="32"/>
        <v>83.94</v>
      </c>
      <c r="C169" s="107">
        <f t="shared" si="32"/>
        <v>132.66</v>
      </c>
      <c r="D169" s="117">
        <f t="shared" si="33"/>
        <v>185.88</v>
      </c>
      <c r="E169" s="117">
        <f t="shared" si="33"/>
        <v>243.60000000000002</v>
      </c>
      <c r="F169" s="123">
        <f t="shared" si="33"/>
        <v>319.32</v>
      </c>
    </row>
    <row r="170" spans="1:6" ht="12.75">
      <c r="A170" s="87" t="s">
        <v>558</v>
      </c>
      <c r="B170" s="107">
        <f t="shared" si="32"/>
        <v>33.62</v>
      </c>
      <c r="C170" s="107">
        <f t="shared" si="32"/>
        <v>37.215</v>
      </c>
      <c r="D170" s="117">
        <f t="shared" si="33"/>
        <v>32.809999999999995</v>
      </c>
      <c r="E170" s="117">
        <f t="shared" si="33"/>
        <v>20.404999999999994</v>
      </c>
      <c r="F170" s="123">
        <f t="shared" si="33"/>
        <v>0</v>
      </c>
    </row>
    <row r="171" spans="1:6" ht="12.75">
      <c r="A171" s="87" t="s">
        <v>595</v>
      </c>
      <c r="B171" s="107">
        <f t="shared" si="32"/>
        <v>0.9674999999999994</v>
      </c>
      <c r="C171" s="107">
        <f t="shared" si="32"/>
        <v>2.2181249999999997</v>
      </c>
      <c r="D171" s="117">
        <f t="shared" si="33"/>
        <v>3.918750000000001</v>
      </c>
      <c r="E171" s="117">
        <f t="shared" si="33"/>
        <v>7.044374999999999</v>
      </c>
      <c r="F171" s="123">
        <f t="shared" si="33"/>
        <v>11.069999999999997</v>
      </c>
    </row>
    <row r="172" spans="1:6" ht="12.75">
      <c r="A172" s="87" t="s">
        <v>596</v>
      </c>
      <c r="B172" s="107">
        <f t="shared" si="32"/>
        <v>-4.3875</v>
      </c>
      <c r="C172" s="107">
        <f t="shared" si="32"/>
        <v>-3.2906250000000004</v>
      </c>
      <c r="D172" s="117">
        <f t="shared" si="33"/>
        <v>-2.1937500000000005</v>
      </c>
      <c r="E172" s="117">
        <f t="shared" si="33"/>
        <v>-1.0968750000000003</v>
      </c>
      <c r="F172" s="123">
        <f t="shared" si="33"/>
        <v>0</v>
      </c>
    </row>
    <row r="173" spans="1:6" ht="12.75">
      <c r="A173" s="87" t="s">
        <v>597</v>
      </c>
      <c r="B173" s="107">
        <f t="shared" si="32"/>
        <v>2.5374999999999996</v>
      </c>
      <c r="C173" s="107">
        <f t="shared" si="32"/>
        <v>2.840625</v>
      </c>
      <c r="D173" s="107">
        <f t="shared" si="33"/>
        <v>0.3125</v>
      </c>
      <c r="E173" s="107">
        <f t="shared" si="33"/>
        <v>-2.1875</v>
      </c>
      <c r="F173" s="123">
        <f t="shared" si="33"/>
        <v>-4.687500000000001</v>
      </c>
    </row>
    <row r="174" spans="1:6" ht="13.5" thickBot="1">
      <c r="A174" s="87" t="s">
        <v>652</v>
      </c>
      <c r="B174" s="107">
        <f t="shared" si="32"/>
        <v>0</v>
      </c>
      <c r="C174" s="107">
        <f t="shared" si="32"/>
        <v>0</v>
      </c>
      <c r="D174" s="107">
        <f t="shared" si="33"/>
        <v>0</v>
      </c>
      <c r="E174" s="107">
        <f t="shared" si="33"/>
        <v>0</v>
      </c>
      <c r="F174" s="123">
        <f t="shared" si="33"/>
        <v>0</v>
      </c>
    </row>
    <row r="175" spans="1:6" ht="13.5" thickBot="1">
      <c r="A175" s="84" t="s">
        <v>793</v>
      </c>
      <c r="B175" s="109">
        <f>SUM(B164:B174)</f>
        <v>428.91847682879467</v>
      </c>
      <c r="C175" s="185">
        <f>SUM(C164:C174)</f>
        <v>553.2789851007077</v>
      </c>
      <c r="D175" s="185">
        <f>SUM(D164:D174)</f>
        <v>669.7892978263488</v>
      </c>
      <c r="E175" s="185">
        <f>SUM(E164:E174)</f>
        <v>781.0551080728783</v>
      </c>
      <c r="F175" s="127">
        <f>SUM(F164:F174)</f>
        <v>839.9525</v>
      </c>
    </row>
    <row r="176" spans="2:6" ht="12.75">
      <c r="B176" s="241"/>
      <c r="C176" s="241"/>
      <c r="D176" s="241"/>
      <c r="E176" s="241"/>
      <c r="F176" s="241"/>
    </row>
  </sheetData>
  <mergeCells count="4">
    <mergeCell ref="B129:F129"/>
    <mergeCell ref="B145:F145"/>
    <mergeCell ref="B162:F162"/>
    <mergeCell ref="F95:G95"/>
  </mergeCells>
  <printOptions/>
  <pageMargins left="0.75" right="0.75" top="1" bottom="1" header="0.5" footer="0.5"/>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sheetPr codeName="Sheet7"/>
  <dimension ref="A1:IV172"/>
  <sheetViews>
    <sheetView workbookViewId="0" topLeftCell="A1">
      <selection activeCell="A2" sqref="A2:IV2"/>
    </sheetView>
  </sheetViews>
  <sheetFormatPr defaultColWidth="9.140625" defaultRowHeight="12.75"/>
  <cols>
    <col min="1" max="1" width="37.28125" style="0" customWidth="1"/>
    <col min="2" max="2" width="13.421875" style="0" bestFit="1" customWidth="1"/>
    <col min="3" max="3" width="13.8515625" style="0" customWidth="1"/>
    <col min="4" max="4" width="14.00390625" style="0" customWidth="1"/>
    <col min="5" max="5" width="15.28125" style="0" customWidth="1"/>
    <col min="6" max="6" width="12.8515625" style="0" customWidth="1"/>
    <col min="7" max="7" width="11.00390625" style="0" customWidth="1"/>
    <col min="8" max="9" width="11.140625" style="0" bestFit="1" customWidth="1"/>
    <col min="10" max="10" width="10.421875" style="0" customWidth="1"/>
    <col min="11" max="11" width="11.28125" style="0" customWidth="1"/>
    <col min="12" max="21" width="10.8515625" style="0" customWidth="1"/>
    <col min="22" max="22" width="15.57421875" style="0" customWidth="1"/>
    <col min="24" max="24" width="11.8515625" style="0" bestFit="1" customWidth="1"/>
  </cols>
  <sheetData>
    <row r="1" spans="1:9" ht="12.75">
      <c r="A1" s="1085">
        <f>IF('ERR &amp; Sensitivity Analysis'!$I$10="N","Note: Current calculations are based on user input and are not the original MCC estimates.",IF('ERR &amp; Sensitivity Analysis'!$I$11="N","Note: Current calculations are based on user input and are not the original MCC estimates.",0))</f>
        <v>0</v>
      </c>
      <c r="B1" s="1085"/>
      <c r="C1" s="1085"/>
      <c r="D1" s="1085"/>
      <c r="E1" s="1085"/>
      <c r="F1" s="1085"/>
      <c r="G1" s="1085"/>
      <c r="H1" s="1085"/>
      <c r="I1" s="1085"/>
    </row>
    <row r="2" spans="1:7" s="268" customFormat="1" ht="23.25">
      <c r="A2" s="924" t="s">
        <v>511</v>
      </c>
      <c r="C2" s="925"/>
      <c r="G2" s="1005"/>
    </row>
    <row r="3" spans="1:7" s="268" customFormat="1" ht="23.25">
      <c r="A3" s="924"/>
      <c r="C3" s="925"/>
      <c r="G3" s="1005"/>
    </row>
    <row r="4" spans="1:8" ht="13.5" thickBot="1">
      <c r="A4" s="9" t="s">
        <v>753</v>
      </c>
      <c r="B4" s="266"/>
      <c r="C4" s="267"/>
      <c r="D4" s="267"/>
      <c r="E4" s="266"/>
      <c r="F4" s="266"/>
      <c r="G4" s="267"/>
      <c r="H4" s="267"/>
    </row>
    <row r="5" spans="1:8" ht="25.5">
      <c r="A5" s="285"/>
      <c r="B5" s="288" t="s">
        <v>545</v>
      </c>
      <c r="C5" s="289" t="s">
        <v>710</v>
      </c>
      <c r="D5" s="290" t="s">
        <v>711</v>
      </c>
      <c r="E5" s="291" t="s">
        <v>712</v>
      </c>
      <c r="F5" s="292" t="s">
        <v>713</v>
      </c>
      <c r="G5" s="289" t="s">
        <v>714</v>
      </c>
      <c r="H5" s="293" t="s">
        <v>549</v>
      </c>
    </row>
    <row r="6" spans="1:8" ht="12.75">
      <c r="A6" s="286" t="s">
        <v>715</v>
      </c>
      <c r="B6" s="271">
        <v>1</v>
      </c>
      <c r="C6" s="272">
        <v>2868000</v>
      </c>
      <c r="D6" s="274">
        <f>B6*C6</f>
        <v>2868000</v>
      </c>
      <c r="E6" s="276">
        <v>0</v>
      </c>
      <c r="F6" s="276">
        <v>5</v>
      </c>
      <c r="G6" s="274">
        <f>D6/F6</f>
        <v>573600</v>
      </c>
      <c r="H6" s="282">
        <f>G6*B6</f>
        <v>573600</v>
      </c>
    </row>
    <row r="7" spans="1:8" ht="12.75">
      <c r="A7" s="287" t="s">
        <v>716</v>
      </c>
      <c r="B7" s="269">
        <v>1</v>
      </c>
      <c r="C7" s="273">
        <v>130000</v>
      </c>
      <c r="D7" s="275">
        <f>B7*C7</f>
        <v>130000</v>
      </c>
      <c r="E7" s="277">
        <v>0</v>
      </c>
      <c r="F7" s="277">
        <v>5</v>
      </c>
      <c r="G7" s="275">
        <v>8000</v>
      </c>
      <c r="H7" s="283">
        <f>G7*B7</f>
        <v>8000</v>
      </c>
    </row>
    <row r="8" spans="1:8" ht="13.5" thickBot="1">
      <c r="A8" s="287" t="s">
        <v>4</v>
      </c>
      <c r="B8" s="269">
        <v>1</v>
      </c>
      <c r="C8" s="273">
        <v>50000</v>
      </c>
      <c r="D8" s="275">
        <f>B8*C8</f>
        <v>50000</v>
      </c>
      <c r="E8" s="277">
        <v>0</v>
      </c>
      <c r="F8" s="277">
        <v>5</v>
      </c>
      <c r="G8" s="275">
        <v>6000</v>
      </c>
      <c r="H8" s="283">
        <f>G8*B8</f>
        <v>6000</v>
      </c>
    </row>
    <row r="9" spans="1:8" ht="13.5" thickBot="1">
      <c r="A9" s="84" t="s">
        <v>717</v>
      </c>
      <c r="B9" s="284"/>
      <c r="C9" s="279"/>
      <c r="D9" s="279">
        <f>SUM(D6:D8)</f>
        <v>3048000</v>
      </c>
      <c r="E9" s="280"/>
      <c r="F9" s="280"/>
      <c r="G9" s="279"/>
      <c r="H9" s="281">
        <f>SUM(H6:H8)</f>
        <v>587600</v>
      </c>
    </row>
    <row r="11" spans="1:6" ht="13.5" thickBot="1">
      <c r="A11" s="9" t="s">
        <v>756</v>
      </c>
      <c r="B11" s="268"/>
      <c r="C11" s="68"/>
      <c r="D11" s="268"/>
      <c r="F11" s="9" t="s">
        <v>763</v>
      </c>
    </row>
    <row r="12" spans="1:9" ht="12.75">
      <c r="A12" s="285" t="s">
        <v>758</v>
      </c>
      <c r="B12" s="300"/>
      <c r="C12" s="300"/>
      <c r="D12" s="301">
        <v>0.25</v>
      </c>
      <c r="F12" s="299" t="s">
        <v>719</v>
      </c>
      <c r="G12" s="312"/>
      <c r="H12" s="300"/>
      <c r="I12" s="310">
        <v>2500</v>
      </c>
    </row>
    <row r="13" spans="1:9" ht="12.75">
      <c r="A13" s="287" t="s">
        <v>718</v>
      </c>
      <c r="B13" s="278"/>
      <c r="C13" s="278"/>
      <c r="D13" s="303">
        <v>5</v>
      </c>
      <c r="F13" s="302" t="s">
        <v>720</v>
      </c>
      <c r="G13" s="313"/>
      <c r="H13" s="278"/>
      <c r="I13" s="283">
        <v>15000</v>
      </c>
    </row>
    <row r="14" spans="1:9" ht="12.75">
      <c r="A14" s="287" t="s">
        <v>761</v>
      </c>
      <c r="B14" s="278"/>
      <c r="C14" s="278"/>
      <c r="D14" s="304">
        <v>0.9</v>
      </c>
      <c r="F14" s="302" t="s">
        <v>721</v>
      </c>
      <c r="G14" s="313"/>
      <c r="H14" s="278"/>
      <c r="I14" s="283">
        <v>0</v>
      </c>
    </row>
    <row r="15" spans="1:9" ht="13.5" thickBot="1">
      <c r="A15" s="287" t="s">
        <v>759</v>
      </c>
      <c r="B15" s="278"/>
      <c r="C15" s="278"/>
      <c r="D15" s="305">
        <f>D14*D9</f>
        <v>2743200</v>
      </c>
      <c r="F15" s="306" t="s">
        <v>722</v>
      </c>
      <c r="G15" s="314"/>
      <c r="H15" s="307"/>
      <c r="I15" s="311">
        <f>D16/10</f>
        <v>102004.99762018086</v>
      </c>
    </row>
    <row r="16" spans="1:4" ht="12.75">
      <c r="A16" s="287" t="s">
        <v>762</v>
      </c>
      <c r="B16" s="278"/>
      <c r="C16" s="278"/>
      <c r="D16" s="305">
        <f>ABS(PMT(D12,D13,D15,0))</f>
        <v>1020049.9762018087</v>
      </c>
    </row>
    <row r="17" spans="1:4" ht="12.75">
      <c r="A17" s="287" t="s">
        <v>760</v>
      </c>
      <c r="B17" s="278"/>
      <c r="C17" s="278"/>
      <c r="D17" s="305">
        <f>(D16*D13)-D15</f>
        <v>2357049.881009043</v>
      </c>
    </row>
    <row r="18" spans="1:4" ht="12.75">
      <c r="A18" s="287" t="s">
        <v>896</v>
      </c>
      <c r="B18" s="278"/>
      <c r="C18" s="278"/>
      <c r="D18" s="305">
        <f>D17/D13</f>
        <v>471409.97620180866</v>
      </c>
    </row>
    <row r="19" spans="1:4" ht="13.5" thickBot="1">
      <c r="A19" s="309" t="s">
        <v>3</v>
      </c>
      <c r="B19" s="307"/>
      <c r="C19" s="307"/>
      <c r="D19" s="308">
        <f>D18/10</f>
        <v>47140.99762018087</v>
      </c>
    </row>
    <row r="20" spans="1:4" ht="12.75">
      <c r="A20" s="268"/>
      <c r="B20" s="268"/>
      <c r="C20" s="268"/>
      <c r="D20" s="268"/>
    </row>
    <row r="21" spans="1:6" ht="13.5" thickBot="1">
      <c r="A21" s="9" t="s">
        <v>755</v>
      </c>
      <c r="F21" s="9" t="s">
        <v>754</v>
      </c>
    </row>
    <row r="22" spans="1:9" ht="12.75">
      <c r="A22" s="47" t="s">
        <v>704</v>
      </c>
      <c r="B22" s="71"/>
      <c r="C22" s="71"/>
      <c r="D22" s="297">
        <v>0.45</v>
      </c>
      <c r="F22" s="47" t="s">
        <v>705</v>
      </c>
      <c r="G22" s="83"/>
      <c r="H22" s="71"/>
      <c r="I22" s="294">
        <v>63500</v>
      </c>
    </row>
    <row r="23" spans="1:9" ht="13.5" thickBot="1">
      <c r="A23" s="88" t="s">
        <v>757</v>
      </c>
      <c r="B23" s="72"/>
      <c r="C23" s="72"/>
      <c r="D23" s="298">
        <v>0.17</v>
      </c>
      <c r="F23" s="87" t="s">
        <v>706</v>
      </c>
      <c r="G23" s="79"/>
      <c r="H23" s="21"/>
      <c r="I23" s="295">
        <v>6350</v>
      </c>
    </row>
    <row r="24" spans="6:9" ht="13.5" thickBot="1">
      <c r="F24" s="76" t="s">
        <v>707</v>
      </c>
      <c r="G24" s="77"/>
      <c r="H24" s="72"/>
      <c r="I24" s="296">
        <v>59000</v>
      </c>
    </row>
    <row r="25" ht="13.5" thickBot="1"/>
    <row r="26" spans="1:4" ht="13.5" thickBot="1">
      <c r="A26" s="84" t="s">
        <v>740</v>
      </c>
      <c r="B26" s="340"/>
      <c r="C26" s="63"/>
      <c r="D26" s="195">
        <v>317</v>
      </c>
    </row>
    <row r="27" spans="9:12" ht="13.5" thickBot="1">
      <c r="I27" s="14"/>
      <c r="J27" s="114"/>
      <c r="K27" s="114"/>
      <c r="L27" s="14"/>
    </row>
    <row r="28" spans="1:4" ht="13.5" thickBot="1">
      <c r="A28" s="151" t="s">
        <v>767</v>
      </c>
      <c r="B28" s="355">
        <v>1</v>
      </c>
      <c r="C28" t="s">
        <v>768</v>
      </c>
      <c r="D28" s="1"/>
    </row>
    <row r="29" ht="13.5" thickBot="1">
      <c r="D29" s="1"/>
    </row>
    <row r="30" spans="1:9" ht="13.5" thickBot="1">
      <c r="A30" s="9" t="s">
        <v>303</v>
      </c>
      <c r="E30" s="151" t="s">
        <v>634</v>
      </c>
      <c r="F30" s="1048">
        <v>5</v>
      </c>
      <c r="H30" s="151" t="s">
        <v>305</v>
      </c>
      <c r="I30" s="507">
        <f>IF(F30=5,'Alatona Beneficiaries'!C10,IF(Land_Financing!F30=10,'Alatona Beneficiaries'!C12,IF(Land_Financing!F30=30,'Alatona Beneficiaries'!C13,IF(Land_Financing!F30=60,'Alatona Beneficiaries'!C14,""))))</f>
        <v>12.8</v>
      </c>
    </row>
    <row r="31" ht="13.5" thickBot="1"/>
    <row r="32" spans="1:21" ht="13.5" thickBot="1">
      <c r="A32" s="329"/>
      <c r="B32" s="112" t="s">
        <v>566</v>
      </c>
      <c r="C32" s="113" t="s">
        <v>567</v>
      </c>
      <c r="D32" s="113" t="s">
        <v>568</v>
      </c>
      <c r="E32" s="113" t="s">
        <v>569</v>
      </c>
      <c r="F32" s="113" t="s">
        <v>570</v>
      </c>
      <c r="G32" s="113" t="s">
        <v>695</v>
      </c>
      <c r="H32" s="113" t="s">
        <v>696</v>
      </c>
      <c r="I32" s="113" t="s">
        <v>697</v>
      </c>
      <c r="J32" s="113" t="s">
        <v>698</v>
      </c>
      <c r="K32" s="113" t="s">
        <v>699</v>
      </c>
      <c r="L32" s="113" t="s">
        <v>727</v>
      </c>
      <c r="M32" s="113" t="s">
        <v>728</v>
      </c>
      <c r="N32" s="113" t="s">
        <v>729</v>
      </c>
      <c r="O32" s="113" t="s">
        <v>730</v>
      </c>
      <c r="P32" s="113" t="s">
        <v>731</v>
      </c>
      <c r="Q32" s="113" t="s">
        <v>742</v>
      </c>
      <c r="R32" s="113" t="s">
        <v>743</v>
      </c>
      <c r="S32" s="113" t="s">
        <v>744</v>
      </c>
      <c r="T32" s="113" t="s">
        <v>745</v>
      </c>
      <c r="U32" s="328" t="s">
        <v>746</v>
      </c>
    </row>
    <row r="33" spans="1:24" ht="12.75">
      <c r="A33" s="87" t="s">
        <v>703</v>
      </c>
      <c r="B33" s="317" t="s">
        <v>472</v>
      </c>
      <c r="C33" s="316" t="s">
        <v>472</v>
      </c>
      <c r="D33" s="316" t="s">
        <v>472</v>
      </c>
      <c r="E33" s="316" t="s">
        <v>472</v>
      </c>
      <c r="F33" s="316" t="s">
        <v>472</v>
      </c>
      <c r="G33" s="316">
        <f aca="true" t="shared" si="0" ref="G33:U36">F33</f>
      </c>
      <c r="H33" s="316">
        <f t="shared" si="0"/>
      </c>
      <c r="I33" s="316">
        <f t="shared" si="0"/>
      </c>
      <c r="J33" s="316">
        <f t="shared" si="0"/>
      </c>
      <c r="K33" s="316">
        <f t="shared" si="0"/>
      </c>
      <c r="L33" s="316">
        <f t="shared" si="0"/>
      </c>
      <c r="M33" s="316">
        <f t="shared" si="0"/>
      </c>
      <c r="N33" s="316">
        <f t="shared" si="0"/>
      </c>
      <c r="O33" s="316">
        <f t="shared" si="0"/>
      </c>
      <c r="P33" s="316">
        <f t="shared" si="0"/>
      </c>
      <c r="Q33" s="316">
        <f>P33</f>
      </c>
      <c r="R33" s="316">
        <f>Q33</f>
      </c>
      <c r="S33" s="316">
        <f>R33</f>
      </c>
      <c r="T33" s="316">
        <f>S33</f>
      </c>
      <c r="U33" s="318">
        <f>T33</f>
      </c>
      <c r="V33" s="257"/>
      <c r="X33" s="257"/>
    </row>
    <row r="34" spans="1:24" ht="12.75">
      <c r="A34" s="320" t="s">
        <v>700</v>
      </c>
      <c r="B34" s="319" t="s">
        <v>472</v>
      </c>
      <c r="C34" s="315" t="s">
        <v>472</v>
      </c>
      <c r="D34" s="315" t="s">
        <v>472</v>
      </c>
      <c r="E34" s="315" t="s">
        <v>472</v>
      </c>
      <c r="F34" s="315" t="s">
        <v>472</v>
      </c>
      <c r="G34" s="315">
        <f>F34</f>
      </c>
      <c r="H34" s="315">
        <f t="shared" si="0"/>
      </c>
      <c r="I34" s="315">
        <f t="shared" si="0"/>
      </c>
      <c r="J34" s="315">
        <f t="shared" si="0"/>
      </c>
      <c r="K34" s="315">
        <f t="shared" si="0"/>
      </c>
      <c r="L34" s="315">
        <f t="shared" si="0"/>
      </c>
      <c r="M34" s="315">
        <f t="shared" si="0"/>
      </c>
      <c r="N34" s="315">
        <f t="shared" si="0"/>
      </c>
      <c r="O34" s="315">
        <f t="shared" si="0"/>
      </c>
      <c r="P34" s="315">
        <f t="shared" si="0"/>
      </c>
      <c r="Q34" s="316">
        <f t="shared" si="0"/>
      </c>
      <c r="R34" s="316">
        <f t="shared" si="0"/>
      </c>
      <c r="S34" s="316">
        <f t="shared" si="0"/>
      </c>
      <c r="T34" s="316">
        <f t="shared" si="0"/>
      </c>
      <c r="U34" s="318">
        <f t="shared" si="0"/>
      </c>
      <c r="V34" s="258"/>
      <c r="X34" s="258"/>
    </row>
    <row r="35" spans="1:24" ht="12.75">
      <c r="A35" s="320" t="s">
        <v>701</v>
      </c>
      <c r="B35" s="319" t="s">
        <v>472</v>
      </c>
      <c r="C35" s="315" t="s">
        <v>472</v>
      </c>
      <c r="D35" s="315" t="s">
        <v>472</v>
      </c>
      <c r="E35" s="315" t="s">
        <v>472</v>
      </c>
      <c r="F35" s="315" t="s">
        <v>472</v>
      </c>
      <c r="G35" s="315">
        <f aca="true" t="shared" si="1" ref="G35:Q36">F35</f>
      </c>
      <c r="H35" s="315">
        <f t="shared" si="1"/>
      </c>
      <c r="I35" s="315">
        <f t="shared" si="1"/>
      </c>
      <c r="J35" s="315">
        <f t="shared" si="1"/>
      </c>
      <c r="K35" s="315">
        <f t="shared" si="1"/>
      </c>
      <c r="L35" s="315">
        <f t="shared" si="1"/>
      </c>
      <c r="M35" s="315">
        <f t="shared" si="1"/>
      </c>
      <c r="N35" s="315">
        <f t="shared" si="1"/>
      </c>
      <c r="O35" s="315">
        <f t="shared" si="1"/>
      </c>
      <c r="P35" s="315">
        <f t="shared" si="1"/>
      </c>
      <c r="Q35" s="316">
        <f t="shared" si="1"/>
      </c>
      <c r="R35" s="316">
        <f t="shared" si="0"/>
      </c>
      <c r="S35" s="316">
        <f t="shared" si="0"/>
      </c>
      <c r="T35" s="316">
        <f t="shared" si="0"/>
      </c>
      <c r="U35" s="318">
        <f t="shared" si="0"/>
      </c>
      <c r="V35" s="258"/>
      <c r="X35" s="258"/>
    </row>
    <row r="36" spans="1:24" ht="12.75">
      <c r="A36" s="320" t="s">
        <v>702</v>
      </c>
      <c r="B36" s="319">
        <f>IF($B$28=2,(1/(1+($D$23*$D$22)))*(B33-B34-B35),"")</f>
      </c>
      <c r="C36" s="315">
        <f>IF($B$28=2,(1/(1+($D$23*$D$22)))*(C33-C34-C35),"")</f>
      </c>
      <c r="D36" s="315">
        <f>IF($B$28=2,(1/(1+($D$23*$D$22)))*(D33-D34-D35),"")</f>
      </c>
      <c r="E36" s="315">
        <f>IF($B$28=2,(1/(1+($D$23*$D$22)))*(E33-E34-E35),"")</f>
      </c>
      <c r="F36" s="315">
        <f>IF($B$28=2,(1/(1+($D$23*$D$22)))*(F33-F34-F35),"")</f>
      </c>
      <c r="G36" s="315">
        <f t="shared" si="1"/>
      </c>
      <c r="H36" s="315">
        <f t="shared" si="1"/>
      </c>
      <c r="I36" s="315">
        <f t="shared" si="1"/>
      </c>
      <c r="J36" s="315">
        <f t="shared" si="1"/>
      </c>
      <c r="K36" s="315">
        <f t="shared" si="1"/>
      </c>
      <c r="L36" s="315">
        <f t="shared" si="1"/>
      </c>
      <c r="M36" s="315">
        <f t="shared" si="1"/>
      </c>
      <c r="N36" s="315">
        <f t="shared" si="1"/>
      </c>
      <c r="O36" s="315">
        <f t="shared" si="1"/>
      </c>
      <c r="P36" s="315">
        <f t="shared" si="1"/>
      </c>
      <c r="Q36" s="316">
        <f t="shared" si="1"/>
      </c>
      <c r="R36" s="316">
        <f t="shared" si="0"/>
      </c>
      <c r="S36" s="316">
        <f t="shared" si="0"/>
      </c>
      <c r="T36" s="316">
        <f t="shared" si="0"/>
      </c>
      <c r="U36" s="318">
        <f t="shared" si="0"/>
      </c>
      <c r="V36" s="258"/>
      <c r="X36" s="258"/>
    </row>
    <row r="37" spans="1:24" ht="12.75">
      <c r="A37" s="320" t="s">
        <v>709</v>
      </c>
      <c r="B37" s="319">
        <f>IF($B$28=2,($D$22*B36)*$D$23,"")</f>
      </c>
      <c r="C37" s="315">
        <f aca="true" t="shared" si="2" ref="C37:U37">IF($B$28=2,($D$22*C36)*$D$23,"")</f>
      </c>
      <c r="D37" s="315"/>
      <c r="E37" s="315">
        <f t="shared" si="2"/>
      </c>
      <c r="F37" s="315">
        <f t="shared" si="2"/>
      </c>
      <c r="G37" s="315">
        <f t="shared" si="2"/>
      </c>
      <c r="H37" s="315">
        <f t="shared" si="2"/>
      </c>
      <c r="I37" s="315">
        <f t="shared" si="2"/>
      </c>
      <c r="J37" s="315">
        <f t="shared" si="2"/>
      </c>
      <c r="K37" s="315">
        <f t="shared" si="2"/>
      </c>
      <c r="L37" s="315">
        <f t="shared" si="2"/>
      </c>
      <c r="M37" s="315">
        <f t="shared" si="2"/>
      </c>
      <c r="N37" s="315">
        <f t="shared" si="2"/>
      </c>
      <c r="O37" s="315">
        <f t="shared" si="2"/>
      </c>
      <c r="P37" s="315">
        <f t="shared" si="2"/>
      </c>
      <c r="Q37" s="316">
        <f t="shared" si="2"/>
      </c>
      <c r="R37" s="316">
        <f t="shared" si="2"/>
      </c>
      <c r="S37" s="316">
        <f t="shared" si="2"/>
      </c>
      <c r="T37" s="316">
        <f t="shared" si="2"/>
      </c>
      <c r="U37" s="318">
        <f t="shared" si="2"/>
      </c>
      <c r="V37" s="258"/>
      <c r="X37" s="258"/>
    </row>
    <row r="38" spans="1:24" ht="12.75">
      <c r="A38" s="87" t="s">
        <v>694</v>
      </c>
      <c r="B38" s="317">
        <f>IF($B$28=2,SUM(B39:B43),"")</f>
      </c>
      <c r="C38" s="316">
        <f aca="true" t="shared" si="3" ref="C38:U38">IF($B$28=2,SUM(C39:C43),"")</f>
      </c>
      <c r="D38" s="316">
        <f t="shared" si="3"/>
      </c>
      <c r="E38" s="316">
        <f t="shared" si="3"/>
      </c>
      <c r="F38" s="316">
        <f t="shared" si="3"/>
      </c>
      <c r="G38" s="316">
        <f t="shared" si="3"/>
      </c>
      <c r="H38" s="316">
        <f t="shared" si="3"/>
      </c>
      <c r="I38" s="316">
        <f t="shared" si="3"/>
      </c>
      <c r="J38" s="316">
        <f t="shared" si="3"/>
      </c>
      <c r="K38" s="316">
        <f t="shared" si="3"/>
      </c>
      <c r="L38" s="316">
        <f t="shared" si="3"/>
      </c>
      <c r="M38" s="316">
        <f t="shared" si="3"/>
      </c>
      <c r="N38" s="316">
        <f t="shared" si="3"/>
      </c>
      <c r="O38" s="316">
        <f t="shared" si="3"/>
      </c>
      <c r="P38" s="316">
        <f t="shared" si="3"/>
      </c>
      <c r="Q38" s="316">
        <f t="shared" si="3"/>
      </c>
      <c r="R38" s="316">
        <f t="shared" si="3"/>
      </c>
      <c r="S38" s="316">
        <f t="shared" si="3"/>
      </c>
      <c r="T38" s="316">
        <f t="shared" si="3"/>
      </c>
      <c r="U38" s="318">
        <f t="shared" si="3"/>
      </c>
      <c r="V38" s="257"/>
      <c r="X38" s="257"/>
    </row>
    <row r="39" spans="1:24" ht="12.75">
      <c r="A39" s="320" t="s">
        <v>724</v>
      </c>
      <c r="B39" s="319">
        <f>IF($B$28=2,(1-D14)*D9,"")</f>
      </c>
      <c r="C39" s="315">
        <f>IF($B$28=2,0,"")</f>
      </c>
      <c r="D39" s="315">
        <f aca="true" t="shared" si="4" ref="D39:U41">IF($B$28=2,0,"")</f>
      </c>
      <c r="E39" s="315">
        <f t="shared" si="4"/>
      </c>
      <c r="F39" s="315">
        <f t="shared" si="4"/>
      </c>
      <c r="G39" s="315">
        <f>IF($B$28=2,50000,"")</f>
      </c>
      <c r="H39" s="315">
        <f t="shared" si="4"/>
      </c>
      <c r="I39" s="315">
        <f t="shared" si="4"/>
      </c>
      <c r="J39" s="315">
        <f t="shared" si="4"/>
      </c>
      <c r="K39" s="315">
        <f t="shared" si="4"/>
      </c>
      <c r="L39" s="315">
        <f t="shared" si="4"/>
      </c>
      <c r="M39" s="315">
        <f>IF($B$28=2,50000,"")</f>
      </c>
      <c r="N39" s="315">
        <f t="shared" si="4"/>
      </c>
      <c r="O39" s="315">
        <f t="shared" si="4"/>
      </c>
      <c r="P39" s="315">
        <f t="shared" si="4"/>
      </c>
      <c r="Q39" s="316">
        <f t="shared" si="4"/>
      </c>
      <c r="R39" s="316">
        <f t="shared" si="4"/>
      </c>
      <c r="S39" s="316">
        <f>IF($B$28=2,50000,"")</f>
      </c>
      <c r="T39" s="316">
        <f t="shared" si="4"/>
      </c>
      <c r="U39" s="318">
        <f t="shared" si="4"/>
      </c>
      <c r="V39" s="258"/>
      <c r="X39" s="258"/>
    </row>
    <row r="40" spans="1:24" ht="12.75">
      <c r="A40" s="320" t="s">
        <v>722</v>
      </c>
      <c r="B40" s="319" t="s">
        <v>472</v>
      </c>
      <c r="C40" s="315" t="s">
        <v>472</v>
      </c>
      <c r="D40" s="315" t="s">
        <v>472</v>
      </c>
      <c r="E40" s="315" t="s">
        <v>472</v>
      </c>
      <c r="F40" s="315" t="s">
        <v>472</v>
      </c>
      <c r="G40" s="315">
        <f>IF($B$28=2,0,"")</f>
      </c>
      <c r="H40" s="315">
        <f t="shared" si="4"/>
      </c>
      <c r="I40" s="315">
        <f t="shared" si="4"/>
      </c>
      <c r="J40" s="315">
        <f t="shared" si="4"/>
      </c>
      <c r="K40" s="315">
        <f t="shared" si="4"/>
      </c>
      <c r="L40" s="315">
        <f t="shared" si="4"/>
      </c>
      <c r="M40" s="315">
        <f t="shared" si="4"/>
      </c>
      <c r="N40" s="315">
        <f t="shared" si="4"/>
      </c>
      <c r="O40" s="315">
        <f t="shared" si="4"/>
      </c>
      <c r="P40" s="315">
        <f t="shared" si="4"/>
      </c>
      <c r="Q40" s="316">
        <f t="shared" si="4"/>
      </c>
      <c r="R40" s="316">
        <f t="shared" si="4"/>
      </c>
      <c r="S40" s="316">
        <f t="shared" si="4"/>
      </c>
      <c r="T40" s="316">
        <f t="shared" si="4"/>
      </c>
      <c r="U40" s="318">
        <f t="shared" si="4"/>
      </c>
      <c r="V40" s="258"/>
      <c r="X40" s="258"/>
    </row>
    <row r="41" spans="1:24" ht="12.75">
      <c r="A41" s="320" t="s">
        <v>771</v>
      </c>
      <c r="B41" s="319" t="s">
        <v>472</v>
      </c>
      <c r="C41" s="315" t="s">
        <v>472</v>
      </c>
      <c r="D41" s="315" t="s">
        <v>472</v>
      </c>
      <c r="E41" s="315" t="s">
        <v>472</v>
      </c>
      <c r="F41" s="315" t="s">
        <v>472</v>
      </c>
      <c r="G41" s="315">
        <f>IF($B$28=2,0,"")</f>
      </c>
      <c r="H41" s="315">
        <f t="shared" si="4"/>
      </c>
      <c r="I41" s="315">
        <f t="shared" si="4"/>
      </c>
      <c r="J41" s="315">
        <f t="shared" si="4"/>
      </c>
      <c r="K41" s="315">
        <f t="shared" si="4"/>
      </c>
      <c r="L41" s="315">
        <f t="shared" si="4"/>
      </c>
      <c r="M41" s="315">
        <f t="shared" si="4"/>
      </c>
      <c r="N41" s="315">
        <f t="shared" si="4"/>
      </c>
      <c r="O41" s="315">
        <f t="shared" si="4"/>
      </c>
      <c r="P41" s="315">
        <f t="shared" si="4"/>
      </c>
      <c r="Q41" s="316">
        <f t="shared" si="4"/>
      </c>
      <c r="R41" s="316">
        <f t="shared" si="4"/>
      </c>
      <c r="S41" s="316">
        <f t="shared" si="4"/>
      </c>
      <c r="T41" s="316">
        <f t="shared" si="4"/>
      </c>
      <c r="U41" s="318">
        <f t="shared" si="4"/>
      </c>
      <c r="V41" s="258"/>
      <c r="X41" s="258"/>
    </row>
    <row r="42" spans="1:24" ht="12.75">
      <c r="A42" s="320" t="s">
        <v>719</v>
      </c>
      <c r="B42" s="319" t="s">
        <v>472</v>
      </c>
      <c r="C42" s="315" t="s">
        <v>472</v>
      </c>
      <c r="D42" s="315" t="s">
        <v>472</v>
      </c>
      <c r="E42" s="315" t="s">
        <v>472</v>
      </c>
      <c r="F42" s="315" t="s">
        <v>472</v>
      </c>
      <c r="G42" s="315">
        <f>IF($B$28=2,F42,"")</f>
      </c>
      <c r="H42" s="315">
        <f aca="true" t="shared" si="5" ref="H42:U43">IF($B$28=2,G42,"")</f>
      </c>
      <c r="I42" s="315">
        <f t="shared" si="5"/>
      </c>
      <c r="J42" s="315">
        <f t="shared" si="5"/>
      </c>
      <c r="K42" s="315">
        <f t="shared" si="5"/>
      </c>
      <c r="L42" s="315">
        <f t="shared" si="5"/>
      </c>
      <c r="M42" s="315">
        <f t="shared" si="5"/>
      </c>
      <c r="N42" s="315">
        <f t="shared" si="5"/>
      </c>
      <c r="O42" s="315">
        <f t="shared" si="5"/>
      </c>
      <c r="P42" s="315">
        <f t="shared" si="5"/>
      </c>
      <c r="Q42" s="316">
        <f t="shared" si="5"/>
      </c>
      <c r="R42" s="316">
        <f t="shared" si="5"/>
      </c>
      <c r="S42" s="316">
        <f t="shared" si="5"/>
      </c>
      <c r="T42" s="316">
        <f t="shared" si="5"/>
      </c>
      <c r="U42" s="318">
        <f t="shared" si="5"/>
      </c>
      <c r="V42" s="258"/>
      <c r="X42" s="258"/>
    </row>
    <row r="43" spans="1:24" ht="13.5" thickBot="1">
      <c r="A43" s="320" t="s">
        <v>723</v>
      </c>
      <c r="B43" s="319" t="s">
        <v>472</v>
      </c>
      <c r="C43" s="315" t="s">
        <v>472</v>
      </c>
      <c r="D43" s="315" t="s">
        <v>472</v>
      </c>
      <c r="E43" s="315" t="s">
        <v>472</v>
      </c>
      <c r="F43" s="315" t="s">
        <v>472</v>
      </c>
      <c r="G43" s="315">
        <f>IF($B$28=2,F43,"")</f>
      </c>
      <c r="H43" s="315">
        <f t="shared" si="5"/>
      </c>
      <c r="I43" s="315">
        <f t="shared" si="5"/>
      </c>
      <c r="J43" s="315">
        <f t="shared" si="5"/>
      </c>
      <c r="K43" s="315">
        <f t="shared" si="5"/>
      </c>
      <c r="L43" s="315">
        <f t="shared" si="5"/>
      </c>
      <c r="M43" s="315">
        <f t="shared" si="5"/>
      </c>
      <c r="N43" s="315">
        <f t="shared" si="5"/>
      </c>
      <c r="O43" s="315">
        <f t="shared" si="5"/>
      </c>
      <c r="P43" s="315">
        <f t="shared" si="5"/>
      </c>
      <c r="Q43" s="316">
        <f t="shared" si="5"/>
      </c>
      <c r="R43" s="316">
        <f t="shared" si="5"/>
      </c>
      <c r="S43" s="316">
        <f t="shared" si="5"/>
      </c>
      <c r="T43" s="316">
        <f t="shared" si="5"/>
      </c>
      <c r="U43" s="318">
        <f t="shared" si="5"/>
      </c>
      <c r="V43" s="258"/>
      <c r="X43" s="258"/>
    </row>
    <row r="44" spans="1:24" ht="12.75">
      <c r="A44" s="321" t="s">
        <v>765</v>
      </c>
      <c r="B44" s="322">
        <f>IF($B$28=1,(B155*1000*($F$30/5)),IF($B$28=2,(B33+B38),"Error"))</f>
        <v>2078651.40325952</v>
      </c>
      <c r="C44" s="323">
        <f>IF($B$28=1,(C155*1000*($F$30/5)),IF($B$28=2,(C33+C38),"Error"))</f>
        <v>2118438.5524446405</v>
      </c>
      <c r="D44" s="323">
        <f>IF($B$28=1,(D155*1000*($F$30/5)),IF($B$28=2,(D33+D38),"Error"))</f>
        <v>2158225.7016297597</v>
      </c>
      <c r="E44" s="323">
        <f>IF($B$28=1,(E155*1000*($F$30/5)),IF($B$28=2,(E33+E38),"Error"))</f>
        <v>2198012.8508148794</v>
      </c>
      <c r="F44" s="323">
        <f>IF($B$28=1,(F155*1000*($F$30/5)),IF($B$28=2,(F33+F38),"Error"))</f>
        <v>2237800</v>
      </c>
      <c r="G44" s="323">
        <f>IF(B28=1,F44,IF(B28=2,G38+G33))</f>
        <v>2237800</v>
      </c>
      <c r="H44" s="323">
        <f aca="true" t="shared" si="6" ref="H44:P44">G44</f>
        <v>2237800</v>
      </c>
      <c r="I44" s="323">
        <f t="shared" si="6"/>
        <v>2237800</v>
      </c>
      <c r="J44" s="323">
        <f t="shared" si="6"/>
        <v>2237800</v>
      </c>
      <c r="K44" s="323">
        <f t="shared" si="6"/>
        <v>2237800</v>
      </c>
      <c r="L44" s="323">
        <f t="shared" si="6"/>
        <v>2237800</v>
      </c>
      <c r="M44" s="323">
        <f t="shared" si="6"/>
        <v>2237800</v>
      </c>
      <c r="N44" s="323">
        <f t="shared" si="6"/>
        <v>2237800</v>
      </c>
      <c r="O44" s="323">
        <f t="shared" si="6"/>
        <v>2237800</v>
      </c>
      <c r="P44" s="323">
        <f t="shared" si="6"/>
        <v>2237800</v>
      </c>
      <c r="Q44" s="323">
        <f>P44</f>
        <v>2237800</v>
      </c>
      <c r="R44" s="323">
        <f>Q44</f>
        <v>2237800</v>
      </c>
      <c r="S44" s="323">
        <f>R44</f>
        <v>2237800</v>
      </c>
      <c r="T44" s="323">
        <f>S44</f>
        <v>2237800</v>
      </c>
      <c r="U44" s="324">
        <f>T44</f>
        <v>2237800</v>
      </c>
      <c r="V44" s="257"/>
      <c r="X44" s="257"/>
    </row>
    <row r="45" spans="1:24" ht="13.5" thickBot="1">
      <c r="A45" s="98" t="s">
        <v>736</v>
      </c>
      <c r="B45" s="325">
        <f>B44/$F$30</f>
        <v>415730.280651904</v>
      </c>
      <c r="C45" s="326">
        <f aca="true" t="shared" si="7" ref="C45:U45">C44/$F$30</f>
        <v>423687.71048892813</v>
      </c>
      <c r="D45" s="326">
        <f t="shared" si="7"/>
        <v>431645.140325952</v>
      </c>
      <c r="E45" s="326">
        <f t="shared" si="7"/>
        <v>439602.57016297587</v>
      </c>
      <c r="F45" s="326">
        <f t="shared" si="7"/>
        <v>447560</v>
      </c>
      <c r="G45" s="326">
        <f t="shared" si="7"/>
        <v>447560</v>
      </c>
      <c r="H45" s="326">
        <f t="shared" si="7"/>
        <v>447560</v>
      </c>
      <c r="I45" s="326">
        <f t="shared" si="7"/>
        <v>447560</v>
      </c>
      <c r="J45" s="326">
        <f t="shared" si="7"/>
        <v>447560</v>
      </c>
      <c r="K45" s="326">
        <f t="shared" si="7"/>
        <v>447560</v>
      </c>
      <c r="L45" s="326">
        <f t="shared" si="7"/>
        <v>447560</v>
      </c>
      <c r="M45" s="326">
        <f t="shared" si="7"/>
        <v>447560</v>
      </c>
      <c r="N45" s="326">
        <f t="shared" si="7"/>
        <v>447560</v>
      </c>
      <c r="O45" s="326">
        <f t="shared" si="7"/>
        <v>447560</v>
      </c>
      <c r="P45" s="326">
        <f t="shared" si="7"/>
        <v>447560</v>
      </c>
      <c r="Q45" s="326">
        <f t="shared" si="7"/>
        <v>447560</v>
      </c>
      <c r="R45" s="326">
        <f t="shared" si="7"/>
        <v>447560</v>
      </c>
      <c r="S45" s="326">
        <f t="shared" si="7"/>
        <v>447560</v>
      </c>
      <c r="T45" s="326">
        <f t="shared" si="7"/>
        <v>447560</v>
      </c>
      <c r="U45" s="327">
        <f t="shared" si="7"/>
        <v>447560</v>
      </c>
      <c r="V45" s="257"/>
      <c r="X45" s="257"/>
    </row>
    <row r="46" spans="1:24" ht="13.5" thickBot="1">
      <c r="A46" s="192"/>
      <c r="B46" s="215"/>
      <c r="C46" s="215"/>
      <c r="D46" s="215"/>
      <c r="E46" s="215"/>
      <c r="F46" s="215"/>
      <c r="G46" s="215"/>
      <c r="H46" s="215"/>
      <c r="I46" s="215"/>
      <c r="J46" s="215"/>
      <c r="K46" s="215"/>
      <c r="L46" s="215"/>
      <c r="M46" s="215"/>
      <c r="N46" s="215"/>
      <c r="O46" s="215"/>
      <c r="P46" s="215"/>
      <c r="Q46" s="215"/>
      <c r="R46" s="215"/>
      <c r="S46" s="215"/>
      <c r="T46" s="215"/>
      <c r="U46" s="215"/>
      <c r="V46" s="257"/>
      <c r="X46" s="257"/>
    </row>
    <row r="47" spans="1:24" ht="12.75">
      <c r="A47" s="172" t="s">
        <v>769</v>
      </c>
      <c r="B47" s="332">
        <f>F45</f>
        <v>447560</v>
      </c>
      <c r="C47" s="215"/>
      <c r="D47" s="193" t="s">
        <v>741</v>
      </c>
      <c r="E47" s="71"/>
      <c r="F47" s="71"/>
      <c r="G47" s="71"/>
      <c r="H47" s="83"/>
      <c r="I47" s="338">
        <f>IF($B$28=2,F36/F33,"")</f>
      </c>
      <c r="J47" s="215"/>
      <c r="K47" s="215"/>
      <c r="L47" s="215"/>
      <c r="M47" s="215"/>
      <c r="N47" s="215"/>
      <c r="O47" s="215"/>
      <c r="P47" s="215"/>
      <c r="Q47" s="215"/>
      <c r="R47" s="215"/>
      <c r="S47" s="215"/>
      <c r="T47" s="215"/>
      <c r="U47" s="215"/>
      <c r="V47" s="257"/>
      <c r="X47" s="257"/>
    </row>
    <row r="48" spans="1:24" ht="13.5" thickBot="1">
      <c r="A48" s="173" t="s">
        <v>770</v>
      </c>
      <c r="B48" s="333">
        <f>AVERAGE(B45:U45)</f>
        <v>443581.28508148796</v>
      </c>
      <c r="C48" s="215"/>
      <c r="D48" s="194" t="s">
        <v>708</v>
      </c>
      <c r="E48" s="72"/>
      <c r="F48" s="72"/>
      <c r="G48" s="72"/>
      <c r="H48" s="77"/>
      <c r="I48" s="339">
        <f>IF(B28=2,F34/F33,"")</f>
      </c>
      <c r="J48" s="215"/>
      <c r="K48" s="215"/>
      <c r="L48" s="215"/>
      <c r="M48" s="215"/>
      <c r="N48" s="215"/>
      <c r="O48" s="215"/>
      <c r="P48" s="215"/>
      <c r="Q48" s="215"/>
      <c r="R48" s="215"/>
      <c r="S48" s="215"/>
      <c r="T48" s="215"/>
      <c r="U48" s="215"/>
      <c r="V48" s="257"/>
      <c r="X48" s="257"/>
    </row>
    <row r="49" ht="13.5" thickBot="1">
      <c r="A49" s="222"/>
    </row>
    <row r="50" spans="1:24" ht="12.75">
      <c r="A50" s="330" t="s">
        <v>725</v>
      </c>
      <c r="B50" s="322">
        <f>IF($B$53=1,(0.8*B141*1000*($F$30/5)),B141*1000*($F$30/5))</f>
        <v>4245181.287403493</v>
      </c>
      <c r="C50" s="323">
        <f>IF($B$53=1,(0.8*C141*1000*($F$30/5)),C141*1000*($F$30/5))</f>
        <v>4901286.602948178</v>
      </c>
      <c r="D50" s="323">
        <f>IF($B$53=1,(0.8*D141*1000*($F$30/5)),D141*1000*($F$30/5))</f>
        <v>5529172.190761504</v>
      </c>
      <c r="E50" s="323">
        <f>IF($B$53=1,(0.8*E141*1000*($F$30/5)),E141*1000*($F$30/5))</f>
        <v>6126007.141179271</v>
      </c>
      <c r="F50" s="323">
        <f>IF($B$53=1,(0.8*F141*1000*($F$30/5)),F141*1000*($F$30/5))</f>
        <v>6461000</v>
      </c>
      <c r="G50" s="323">
        <f aca="true" t="shared" si="8" ref="G50:P50">F50</f>
        <v>6461000</v>
      </c>
      <c r="H50" s="323">
        <f t="shared" si="8"/>
        <v>6461000</v>
      </c>
      <c r="I50" s="323">
        <f t="shared" si="8"/>
        <v>6461000</v>
      </c>
      <c r="J50" s="323">
        <f t="shared" si="8"/>
        <v>6461000</v>
      </c>
      <c r="K50" s="323">
        <f t="shared" si="8"/>
        <v>6461000</v>
      </c>
      <c r="L50" s="323">
        <f t="shared" si="8"/>
        <v>6461000</v>
      </c>
      <c r="M50" s="323">
        <f t="shared" si="8"/>
        <v>6461000</v>
      </c>
      <c r="N50" s="323">
        <f t="shared" si="8"/>
        <v>6461000</v>
      </c>
      <c r="O50" s="323">
        <f t="shared" si="8"/>
        <v>6461000</v>
      </c>
      <c r="P50" s="323">
        <f t="shared" si="8"/>
        <v>6461000</v>
      </c>
      <c r="Q50" s="323">
        <f>P50</f>
        <v>6461000</v>
      </c>
      <c r="R50" s="323">
        <f>Q50</f>
        <v>6461000</v>
      </c>
      <c r="S50" s="323">
        <f>R50</f>
        <v>6461000</v>
      </c>
      <c r="T50" s="323">
        <f>S50</f>
        <v>6461000</v>
      </c>
      <c r="U50" s="324">
        <f>T50</f>
        <v>6461000</v>
      </c>
      <c r="V50" s="257"/>
      <c r="X50" s="257"/>
    </row>
    <row r="51" spans="1:24" ht="13.5" thickBot="1">
      <c r="A51" s="331" t="s">
        <v>766</v>
      </c>
      <c r="B51" s="325">
        <f>B50/$F$30</f>
        <v>849036.2574806986</v>
      </c>
      <c r="C51" s="326">
        <f aca="true" t="shared" si="9" ref="C51:U51">C50/$F$30</f>
        <v>980257.3205896355</v>
      </c>
      <c r="D51" s="326">
        <f t="shared" si="9"/>
        <v>1105834.4381523007</v>
      </c>
      <c r="E51" s="326">
        <f t="shared" si="9"/>
        <v>1225201.4282358543</v>
      </c>
      <c r="F51" s="326">
        <f t="shared" si="9"/>
        <v>1292200</v>
      </c>
      <c r="G51" s="326">
        <f t="shared" si="9"/>
        <v>1292200</v>
      </c>
      <c r="H51" s="326">
        <f t="shared" si="9"/>
        <v>1292200</v>
      </c>
      <c r="I51" s="326">
        <f t="shared" si="9"/>
        <v>1292200</v>
      </c>
      <c r="J51" s="326">
        <f t="shared" si="9"/>
        <v>1292200</v>
      </c>
      <c r="K51" s="326">
        <f t="shared" si="9"/>
        <v>1292200</v>
      </c>
      <c r="L51" s="326">
        <f t="shared" si="9"/>
        <v>1292200</v>
      </c>
      <c r="M51" s="326">
        <f t="shared" si="9"/>
        <v>1292200</v>
      </c>
      <c r="N51" s="326">
        <f t="shared" si="9"/>
        <v>1292200</v>
      </c>
      <c r="O51" s="326">
        <f t="shared" si="9"/>
        <v>1292200</v>
      </c>
      <c r="P51" s="326">
        <f t="shared" si="9"/>
        <v>1292200</v>
      </c>
      <c r="Q51" s="326">
        <f t="shared" si="9"/>
        <v>1292200</v>
      </c>
      <c r="R51" s="326">
        <f t="shared" si="9"/>
        <v>1292200</v>
      </c>
      <c r="S51" s="326">
        <f t="shared" si="9"/>
        <v>1292200</v>
      </c>
      <c r="T51" s="326">
        <f t="shared" si="9"/>
        <v>1292200</v>
      </c>
      <c r="U51" s="327">
        <f t="shared" si="9"/>
        <v>1292200</v>
      </c>
      <c r="V51" s="257"/>
      <c r="X51" s="257"/>
    </row>
    <row r="52" ht="13.5" thickBot="1"/>
    <row r="53" spans="1:5" ht="13.5" thickBot="1">
      <c r="A53" s="84" t="s">
        <v>51</v>
      </c>
      <c r="B53" s="1046">
        <v>0</v>
      </c>
      <c r="D53" s="1"/>
      <c r="E53" s="1"/>
    </row>
    <row r="54" ht="13.5" thickBot="1"/>
    <row r="55" spans="1:24" ht="12.75">
      <c r="A55" s="330" t="s">
        <v>726</v>
      </c>
      <c r="B55" s="322">
        <f>B50-B44</f>
        <v>2166529.8841439732</v>
      </c>
      <c r="C55" s="323">
        <f aca="true" t="shared" si="10" ref="C55:U56">C50-C44</f>
        <v>2782848.050503537</v>
      </c>
      <c r="D55" s="323">
        <f t="shared" si="10"/>
        <v>3370946.489131744</v>
      </c>
      <c r="E55" s="323">
        <f t="shared" si="10"/>
        <v>3927994.2903643916</v>
      </c>
      <c r="F55" s="323">
        <f>F50-F44</f>
        <v>4223200</v>
      </c>
      <c r="G55" s="323">
        <f t="shared" si="10"/>
        <v>4223200</v>
      </c>
      <c r="H55" s="323">
        <f t="shared" si="10"/>
        <v>4223200</v>
      </c>
      <c r="I55" s="323">
        <f t="shared" si="10"/>
        <v>4223200</v>
      </c>
      <c r="J55" s="323">
        <f t="shared" si="10"/>
        <v>4223200</v>
      </c>
      <c r="K55" s="323">
        <f t="shared" si="10"/>
        <v>4223200</v>
      </c>
      <c r="L55" s="323">
        <f t="shared" si="10"/>
        <v>4223200</v>
      </c>
      <c r="M55" s="323">
        <f t="shared" si="10"/>
        <v>4223200</v>
      </c>
      <c r="N55" s="323">
        <f t="shared" si="10"/>
        <v>4223200</v>
      </c>
      <c r="O55" s="323">
        <f t="shared" si="10"/>
        <v>4223200</v>
      </c>
      <c r="P55" s="323">
        <f t="shared" si="10"/>
        <v>4223200</v>
      </c>
      <c r="Q55" s="323">
        <f t="shared" si="10"/>
        <v>4223200</v>
      </c>
      <c r="R55" s="323">
        <f t="shared" si="10"/>
        <v>4223200</v>
      </c>
      <c r="S55" s="323">
        <f t="shared" si="10"/>
        <v>4223200</v>
      </c>
      <c r="T55" s="323">
        <f t="shared" si="10"/>
        <v>4223200</v>
      </c>
      <c r="U55" s="324">
        <f t="shared" si="10"/>
        <v>4223200</v>
      </c>
      <c r="V55" s="257"/>
      <c r="X55" s="257"/>
    </row>
    <row r="56" spans="1:24" ht="13.5" thickBot="1">
      <c r="A56" s="331" t="s">
        <v>737</v>
      </c>
      <c r="B56" s="325">
        <f>B51-B45</f>
        <v>433305.97682879464</v>
      </c>
      <c r="C56" s="326">
        <f t="shared" si="10"/>
        <v>556569.6101007074</v>
      </c>
      <c r="D56" s="326">
        <f t="shared" si="10"/>
        <v>674189.2978263487</v>
      </c>
      <c r="E56" s="326">
        <f t="shared" si="10"/>
        <v>785598.8580728783</v>
      </c>
      <c r="F56" s="326">
        <f t="shared" si="10"/>
        <v>844640</v>
      </c>
      <c r="G56" s="326">
        <f t="shared" si="10"/>
        <v>844640</v>
      </c>
      <c r="H56" s="326">
        <f t="shared" si="10"/>
        <v>844640</v>
      </c>
      <c r="I56" s="326">
        <f t="shared" si="10"/>
        <v>844640</v>
      </c>
      <c r="J56" s="326">
        <f t="shared" si="10"/>
        <v>844640</v>
      </c>
      <c r="K56" s="326">
        <f t="shared" si="10"/>
        <v>844640</v>
      </c>
      <c r="L56" s="326">
        <f t="shared" si="10"/>
        <v>844640</v>
      </c>
      <c r="M56" s="326">
        <f t="shared" si="10"/>
        <v>844640</v>
      </c>
      <c r="N56" s="326">
        <f t="shared" si="10"/>
        <v>844640</v>
      </c>
      <c r="O56" s="326">
        <f t="shared" si="10"/>
        <v>844640</v>
      </c>
      <c r="P56" s="326">
        <f t="shared" si="10"/>
        <v>844640</v>
      </c>
      <c r="Q56" s="326">
        <f t="shared" si="10"/>
        <v>844640</v>
      </c>
      <c r="R56" s="326">
        <f t="shared" si="10"/>
        <v>844640</v>
      </c>
      <c r="S56" s="326">
        <f t="shared" si="10"/>
        <v>844640</v>
      </c>
      <c r="T56" s="326">
        <f t="shared" si="10"/>
        <v>844640</v>
      </c>
      <c r="U56" s="327">
        <f t="shared" si="10"/>
        <v>844640</v>
      </c>
      <c r="V56" s="257"/>
      <c r="X56" s="257"/>
    </row>
    <row r="57" spans="1:24" ht="13.5" thickBot="1">
      <c r="A57" s="78"/>
      <c r="B57" s="215"/>
      <c r="C57" s="215"/>
      <c r="D57" s="215"/>
      <c r="E57" s="215"/>
      <c r="F57" s="215"/>
      <c r="G57" s="215"/>
      <c r="H57" s="215"/>
      <c r="I57" s="215"/>
      <c r="J57" s="215"/>
      <c r="K57" s="215"/>
      <c r="L57" s="215"/>
      <c r="M57" s="215"/>
      <c r="N57" s="215"/>
      <c r="O57" s="215"/>
      <c r="P57" s="215"/>
      <c r="Q57" s="215"/>
      <c r="R57" s="215"/>
      <c r="S57" s="215"/>
      <c r="T57" s="215"/>
      <c r="U57" s="215"/>
      <c r="V57" s="257"/>
      <c r="X57" s="257"/>
    </row>
    <row r="58" spans="1:24" ht="25.5">
      <c r="A58" s="361" t="s">
        <v>799</v>
      </c>
      <c r="B58" s="362" t="s">
        <v>472</v>
      </c>
      <c r="C58" s="362" t="s">
        <v>472</v>
      </c>
      <c r="D58" s="362" t="s">
        <v>472</v>
      </c>
      <c r="E58" s="362" t="s">
        <v>472</v>
      </c>
      <c r="F58" s="362" t="s">
        <v>472</v>
      </c>
      <c r="G58" s="362" t="s">
        <v>472</v>
      </c>
      <c r="H58" s="362" t="s">
        <v>472</v>
      </c>
      <c r="I58" s="362" t="s">
        <v>472</v>
      </c>
      <c r="J58" s="362" t="s">
        <v>472</v>
      </c>
      <c r="K58" s="362" t="s">
        <v>472</v>
      </c>
      <c r="L58" s="362" t="s">
        <v>472</v>
      </c>
      <c r="M58" s="362" t="s">
        <v>472</v>
      </c>
      <c r="N58" s="362" t="s">
        <v>472</v>
      </c>
      <c r="O58" s="362" t="s">
        <v>472</v>
      </c>
      <c r="P58" s="362" t="s">
        <v>472</v>
      </c>
      <c r="Q58" s="362" t="s">
        <v>472</v>
      </c>
      <c r="R58" s="362" t="s">
        <v>472</v>
      </c>
      <c r="S58" s="362" t="s">
        <v>472</v>
      </c>
      <c r="T58" s="362" t="s">
        <v>472</v>
      </c>
      <c r="U58" s="363" t="s">
        <v>472</v>
      </c>
      <c r="V58" s="257"/>
      <c r="X58" s="257"/>
    </row>
    <row r="59" spans="1:24" ht="26.25" thickBot="1">
      <c r="A59" s="364" t="s">
        <v>800</v>
      </c>
      <c r="B59" s="365" t="s">
        <v>472</v>
      </c>
      <c r="C59" s="366">
        <f>IF($B$28=2,0,"")</f>
      </c>
      <c r="D59" s="366">
        <f>C59</f>
      </c>
      <c r="E59" s="366">
        <f>D59</f>
      </c>
      <c r="F59" s="366">
        <f>E59</f>
      </c>
      <c r="G59" s="366" t="s">
        <v>472</v>
      </c>
      <c r="H59" s="366" t="s">
        <v>472</v>
      </c>
      <c r="I59" s="366" t="s">
        <v>472</v>
      </c>
      <c r="J59" s="366" t="s">
        <v>472</v>
      </c>
      <c r="K59" s="366" t="s">
        <v>472</v>
      </c>
      <c r="L59" s="366" t="s">
        <v>472</v>
      </c>
      <c r="M59" s="366" t="s">
        <v>472</v>
      </c>
      <c r="N59" s="366" t="s">
        <v>472</v>
      </c>
      <c r="O59" s="366" t="s">
        <v>472</v>
      </c>
      <c r="P59" s="366" t="s">
        <v>472</v>
      </c>
      <c r="Q59" s="366" t="s">
        <v>472</v>
      </c>
      <c r="R59" s="366" t="s">
        <v>472</v>
      </c>
      <c r="S59" s="366" t="s">
        <v>472</v>
      </c>
      <c r="T59" s="366" t="s">
        <v>472</v>
      </c>
      <c r="U59" s="367" t="s">
        <v>472</v>
      </c>
      <c r="V59" s="257"/>
      <c r="X59" s="257"/>
    </row>
    <row r="60" spans="1:24" ht="25.5">
      <c r="A60" s="359" t="s">
        <v>802</v>
      </c>
      <c r="B60" s="322">
        <f>IF($B$28=2,B59+B58,"")</f>
      </c>
      <c r="C60" s="323">
        <f aca="true" t="shared" si="11" ref="C60:U60">IF($B$28=2,C59+C58,"")</f>
      </c>
      <c r="D60" s="323">
        <f t="shared" si="11"/>
      </c>
      <c r="E60" s="323">
        <f t="shared" si="11"/>
      </c>
      <c r="F60" s="323">
        <f t="shared" si="11"/>
      </c>
      <c r="G60" s="323">
        <f t="shared" si="11"/>
      </c>
      <c r="H60" s="323">
        <f t="shared" si="11"/>
      </c>
      <c r="I60" s="323">
        <f t="shared" si="11"/>
      </c>
      <c r="J60" s="323">
        <f t="shared" si="11"/>
      </c>
      <c r="K60" s="323">
        <f t="shared" si="11"/>
      </c>
      <c r="L60" s="323">
        <f t="shared" si="11"/>
      </c>
      <c r="M60" s="323">
        <f t="shared" si="11"/>
      </c>
      <c r="N60" s="323">
        <f t="shared" si="11"/>
      </c>
      <c r="O60" s="323">
        <f t="shared" si="11"/>
      </c>
      <c r="P60" s="323">
        <f t="shared" si="11"/>
      </c>
      <c r="Q60" s="323">
        <f t="shared" si="11"/>
      </c>
      <c r="R60" s="323">
        <f t="shared" si="11"/>
      </c>
      <c r="S60" s="323">
        <f t="shared" si="11"/>
      </c>
      <c r="T60" s="323">
        <f t="shared" si="11"/>
      </c>
      <c r="U60" s="324">
        <f t="shared" si="11"/>
      </c>
      <c r="V60" s="257"/>
      <c r="X60" s="257"/>
    </row>
    <row r="61" spans="1:24" ht="13.5" thickBot="1">
      <c r="A61" s="360" t="s">
        <v>801</v>
      </c>
      <c r="B61" s="325" t="s">
        <v>472</v>
      </c>
      <c r="C61" s="326" t="s">
        <v>472</v>
      </c>
      <c r="D61" s="326" t="s">
        <v>472</v>
      </c>
      <c r="E61" s="326" t="s">
        <v>472</v>
      </c>
      <c r="F61" s="326" t="s">
        <v>472</v>
      </c>
      <c r="G61" s="326" t="s">
        <v>472</v>
      </c>
      <c r="H61" s="326" t="s">
        <v>472</v>
      </c>
      <c r="I61" s="326" t="s">
        <v>472</v>
      </c>
      <c r="J61" s="326" t="s">
        <v>472</v>
      </c>
      <c r="K61" s="326" t="s">
        <v>472</v>
      </c>
      <c r="L61" s="326" t="s">
        <v>472</v>
      </c>
      <c r="M61" s="326" t="s">
        <v>472</v>
      </c>
      <c r="N61" s="326" t="s">
        <v>472</v>
      </c>
      <c r="O61" s="326" t="s">
        <v>472</v>
      </c>
      <c r="P61" s="326" t="s">
        <v>472</v>
      </c>
      <c r="Q61" s="326" t="s">
        <v>472</v>
      </c>
      <c r="R61" s="326" t="s">
        <v>472</v>
      </c>
      <c r="S61" s="326" t="s">
        <v>472</v>
      </c>
      <c r="T61" s="326" t="s">
        <v>472</v>
      </c>
      <c r="U61" s="327" t="s">
        <v>472</v>
      </c>
      <c r="V61" s="257"/>
      <c r="X61" s="257"/>
    </row>
    <row r="62" spans="1:24" ht="12.75">
      <c r="A62" s="358"/>
      <c r="B62" s="215"/>
      <c r="C62" s="215"/>
      <c r="D62" s="215"/>
      <c r="E62" s="215"/>
      <c r="F62" s="215"/>
      <c r="G62" s="215"/>
      <c r="H62" s="215"/>
      <c r="I62" s="215"/>
      <c r="J62" s="215"/>
      <c r="K62" s="215"/>
      <c r="L62" s="215"/>
      <c r="M62" s="215"/>
      <c r="N62" s="215"/>
      <c r="O62" s="215"/>
      <c r="P62" s="215"/>
      <c r="Q62" s="215"/>
      <c r="R62" s="215"/>
      <c r="S62" s="215"/>
      <c r="T62" s="215"/>
      <c r="U62" s="215"/>
      <c r="V62" s="257"/>
      <c r="X62" s="257"/>
    </row>
    <row r="63" spans="1:21" s="21" customFormat="1" ht="13.5" thickBot="1">
      <c r="A63"/>
      <c r="B63"/>
      <c r="C63"/>
      <c r="D63"/>
      <c r="E63"/>
      <c r="F63"/>
      <c r="G63"/>
      <c r="H63" s="49"/>
      <c r="I63" s="49"/>
      <c r="J63" s="49"/>
      <c r="K63" s="49"/>
      <c r="L63" s="49"/>
      <c r="M63"/>
      <c r="N63"/>
      <c r="O63"/>
      <c r="P63"/>
      <c r="Q63"/>
      <c r="R63"/>
      <c r="S63"/>
      <c r="T63"/>
      <c r="U63"/>
    </row>
    <row r="64" spans="1:21" s="21" customFormat="1" ht="12.75">
      <c r="A64" s="71"/>
      <c r="B64" s="71"/>
      <c r="C64" s="71"/>
      <c r="D64" s="71"/>
      <c r="E64" s="71"/>
      <c r="F64" s="71"/>
      <c r="G64" s="71"/>
      <c r="H64" s="341"/>
      <c r="I64" s="341"/>
      <c r="J64" s="341"/>
      <c r="K64" s="341"/>
      <c r="L64" s="341"/>
      <c r="M64" s="71"/>
      <c r="N64" s="71"/>
      <c r="O64" s="71"/>
      <c r="P64" s="71"/>
      <c r="Q64" s="71"/>
      <c r="R64" s="71"/>
      <c r="S64" s="71"/>
      <c r="T64" s="71"/>
      <c r="U64" s="71"/>
    </row>
    <row r="65" spans="1:12" s="21" customFormat="1" ht="12.75">
      <c r="A65" s="68" t="s">
        <v>772</v>
      </c>
      <c r="H65" s="342"/>
      <c r="I65" s="342"/>
      <c r="J65" s="342"/>
      <c r="K65" s="342"/>
      <c r="L65" s="342"/>
    </row>
    <row r="66" spans="1:21" s="21" customFormat="1" ht="12.75">
      <c r="A66"/>
      <c r="B66"/>
      <c r="C66"/>
      <c r="F66"/>
      <c r="G66"/>
      <c r="H66" s="49"/>
      <c r="I66" s="49"/>
      <c r="J66" s="49"/>
      <c r="K66" s="49"/>
      <c r="L66" s="49"/>
      <c r="M66"/>
      <c r="N66"/>
      <c r="O66"/>
      <c r="P66"/>
      <c r="Q66"/>
      <c r="R66"/>
      <c r="S66"/>
      <c r="T66"/>
      <c r="U66"/>
    </row>
    <row r="67" spans="1:21" s="21" customFormat="1" ht="13.5" thickBot="1">
      <c r="A67"/>
      <c r="B67" s="368" t="s">
        <v>807</v>
      </c>
      <c r="C67" s="368" t="s">
        <v>808</v>
      </c>
      <c r="F67"/>
      <c r="G67"/>
      <c r="H67" s="49"/>
      <c r="I67" s="49"/>
      <c r="J67" s="49"/>
      <c r="K67" s="49"/>
      <c r="L67" s="49"/>
      <c r="M67"/>
      <c r="N67"/>
      <c r="O67"/>
      <c r="P67"/>
      <c r="Q67"/>
      <c r="R67"/>
      <c r="S67"/>
      <c r="T67"/>
      <c r="U67"/>
    </row>
    <row r="68" spans="1:22" s="21" customFormat="1" ht="12.75">
      <c r="A68" s="147" t="s">
        <v>786</v>
      </c>
      <c r="B68" s="375">
        <v>79554410.65560032</v>
      </c>
      <c r="C68" s="372">
        <f>B68/'Summary ERRs'!H99</f>
        <v>152989.25126076984</v>
      </c>
      <c r="F68" s="257"/>
      <c r="G68" s="257"/>
      <c r="H68" s="257"/>
      <c r="I68" s="257"/>
      <c r="J68" s="257"/>
      <c r="K68" s="257"/>
      <c r="L68" s="257"/>
      <c r="M68" s="257"/>
      <c r="N68" s="257"/>
      <c r="O68" s="257"/>
      <c r="P68" s="257"/>
      <c r="Q68" s="257"/>
      <c r="R68" s="257"/>
      <c r="S68" s="257"/>
      <c r="T68" s="257"/>
      <c r="U68" s="257"/>
      <c r="V68" s="317"/>
    </row>
    <row r="69" spans="1:22" s="21" customFormat="1" ht="13.5" thickBot="1">
      <c r="A69" s="148" t="s">
        <v>787</v>
      </c>
      <c r="B69" s="376">
        <f>B68/F30</f>
        <v>15910882.131120065</v>
      </c>
      <c r="C69" s="377">
        <f>B69/'Summary ERRs'!H99</f>
        <v>30597.85025215397</v>
      </c>
      <c r="D69" s="257"/>
      <c r="E69" s="257"/>
      <c r="F69" s="257"/>
      <c r="G69" s="257"/>
      <c r="H69" s="257"/>
      <c r="I69" s="257"/>
      <c r="J69" s="257"/>
      <c r="K69" s="257"/>
      <c r="L69" s="257"/>
      <c r="M69" s="257"/>
      <c r="N69" s="257"/>
      <c r="O69" s="257"/>
      <c r="P69" s="257"/>
      <c r="Q69" s="257"/>
      <c r="R69" s="257"/>
      <c r="S69" s="257"/>
      <c r="T69" s="257"/>
      <c r="U69" s="257"/>
      <c r="V69" s="317"/>
    </row>
    <row r="70" spans="1:22" s="21" customFormat="1" ht="12.75">
      <c r="A70" s="257" t="s">
        <v>797</v>
      </c>
      <c r="B70" s="215"/>
      <c r="C70" s="257"/>
      <c r="D70" s="257"/>
      <c r="E70" s="257"/>
      <c r="F70" s="257"/>
      <c r="G70" s="257"/>
      <c r="H70" s="257"/>
      <c r="I70" s="257"/>
      <c r="J70" s="257"/>
      <c r="K70" s="257"/>
      <c r="L70" s="257"/>
      <c r="M70" s="257"/>
      <c r="N70" s="257"/>
      <c r="O70" s="257"/>
      <c r="P70" s="257"/>
      <c r="Q70" s="257"/>
      <c r="R70" s="257"/>
      <c r="S70" s="257"/>
      <c r="T70" s="257"/>
      <c r="U70" s="257"/>
      <c r="V70" s="317"/>
    </row>
    <row r="71" spans="1:22" s="21" customFormat="1" ht="12.75">
      <c r="A71" s="357" t="s">
        <v>798</v>
      </c>
      <c r="B71" s="465" t="s">
        <v>473</v>
      </c>
      <c r="C71" s="257"/>
      <c r="D71" s="257"/>
      <c r="E71" s="257"/>
      <c r="F71" s="257"/>
      <c r="G71" s="257"/>
      <c r="H71" s="257"/>
      <c r="I71" s="257"/>
      <c r="J71" s="257"/>
      <c r="K71" s="257"/>
      <c r="L71" s="257"/>
      <c r="M71" s="257"/>
      <c r="N71" s="257"/>
      <c r="O71" s="257"/>
      <c r="P71" s="257"/>
      <c r="Q71" s="257"/>
      <c r="R71" s="257"/>
      <c r="S71" s="257"/>
      <c r="T71" s="257"/>
      <c r="U71" s="257"/>
      <c r="V71" s="317"/>
    </row>
    <row r="72" spans="1:22" s="21" customFormat="1" ht="13.5" thickBot="1">
      <c r="A72"/>
      <c r="B72" s="257"/>
      <c r="C72" s="257"/>
      <c r="D72" s="257"/>
      <c r="E72" s="257"/>
      <c r="F72" s="257"/>
      <c r="G72" s="257"/>
      <c r="H72" s="257"/>
      <c r="I72" s="257"/>
      <c r="J72" s="257"/>
      <c r="K72" s="257"/>
      <c r="L72" s="257"/>
      <c r="M72" s="257"/>
      <c r="N72" s="257"/>
      <c r="O72" s="257"/>
      <c r="P72" s="257"/>
      <c r="Q72" s="257"/>
      <c r="R72" s="257"/>
      <c r="S72" s="257"/>
      <c r="T72" s="257"/>
      <c r="U72" s="257"/>
      <c r="V72" s="317"/>
    </row>
    <row r="73" spans="1:22" s="21" customFormat="1" ht="13.5" thickBot="1">
      <c r="A73" s="84" t="s">
        <v>775</v>
      </c>
      <c r="B73" s="334">
        <f>B44+B68</f>
        <v>81633062.05885984</v>
      </c>
      <c r="C73" s="335">
        <f aca="true" t="shared" si="12" ref="C73:U73">C44+C68</f>
        <v>2271427.8037054106</v>
      </c>
      <c r="D73" s="335">
        <f>D44+D68</f>
        <v>2158225.7016297597</v>
      </c>
      <c r="E73" s="335">
        <f>E44+E68</f>
        <v>2198012.8508148794</v>
      </c>
      <c r="F73" s="335">
        <f t="shared" si="12"/>
        <v>2237800</v>
      </c>
      <c r="G73" s="335">
        <f t="shared" si="12"/>
        <v>2237800</v>
      </c>
      <c r="H73" s="335">
        <f t="shared" si="12"/>
        <v>2237800</v>
      </c>
      <c r="I73" s="335">
        <f t="shared" si="12"/>
        <v>2237800</v>
      </c>
      <c r="J73" s="335">
        <f t="shared" si="12"/>
        <v>2237800</v>
      </c>
      <c r="K73" s="335">
        <f t="shared" si="12"/>
        <v>2237800</v>
      </c>
      <c r="L73" s="335">
        <f t="shared" si="12"/>
        <v>2237800</v>
      </c>
      <c r="M73" s="335">
        <f t="shared" si="12"/>
        <v>2237800</v>
      </c>
      <c r="N73" s="335">
        <f t="shared" si="12"/>
        <v>2237800</v>
      </c>
      <c r="O73" s="335">
        <f t="shared" si="12"/>
        <v>2237800</v>
      </c>
      <c r="P73" s="335">
        <f t="shared" si="12"/>
        <v>2237800</v>
      </c>
      <c r="Q73" s="335">
        <f t="shared" si="12"/>
        <v>2237800</v>
      </c>
      <c r="R73" s="335">
        <f t="shared" si="12"/>
        <v>2237800</v>
      </c>
      <c r="S73" s="335">
        <f t="shared" si="12"/>
        <v>2237800</v>
      </c>
      <c r="T73" s="335">
        <f t="shared" si="12"/>
        <v>2237800</v>
      </c>
      <c r="U73" s="349">
        <f t="shared" si="12"/>
        <v>2237800</v>
      </c>
      <c r="V73" s="317"/>
    </row>
    <row r="74" spans="1:22" s="21" customFormat="1" ht="13.5" thickBot="1">
      <c r="A74"/>
      <c r="B74" s="259"/>
      <c r="C74" s="259"/>
      <c r="D74" s="259"/>
      <c r="E74" s="259"/>
      <c r="F74" s="259"/>
      <c r="G74" s="259"/>
      <c r="H74" s="259"/>
      <c r="I74" s="259"/>
      <c r="J74" s="259"/>
      <c r="K74" s="259"/>
      <c r="L74" s="259"/>
      <c r="M74" s="259"/>
      <c r="N74" s="259"/>
      <c r="O74" s="259"/>
      <c r="P74" s="259"/>
      <c r="Q74" s="259"/>
      <c r="R74" s="259"/>
      <c r="S74" s="259"/>
      <c r="T74" s="259"/>
      <c r="U74" s="259"/>
      <c r="V74" s="70"/>
    </row>
    <row r="75" spans="1:22" s="21" customFormat="1" ht="13.5" thickBot="1">
      <c r="A75" s="84" t="s">
        <v>776</v>
      </c>
      <c r="B75" s="334">
        <f>B50-B73</f>
        <v>-77387880.77145635</v>
      </c>
      <c r="C75" s="335">
        <f aca="true" t="shared" si="13" ref="C75:U75">C50-C73</f>
        <v>2629858.799242767</v>
      </c>
      <c r="D75" s="335">
        <f t="shared" si="13"/>
        <v>3370946.489131744</v>
      </c>
      <c r="E75" s="335">
        <f t="shared" si="13"/>
        <v>3927994.2903643916</v>
      </c>
      <c r="F75" s="335">
        <f t="shared" si="13"/>
        <v>4223200</v>
      </c>
      <c r="G75" s="335">
        <f t="shared" si="13"/>
        <v>4223200</v>
      </c>
      <c r="H75" s="335">
        <f t="shared" si="13"/>
        <v>4223200</v>
      </c>
      <c r="I75" s="335">
        <f t="shared" si="13"/>
        <v>4223200</v>
      </c>
      <c r="J75" s="335">
        <f t="shared" si="13"/>
        <v>4223200</v>
      </c>
      <c r="K75" s="335">
        <f t="shared" si="13"/>
        <v>4223200</v>
      </c>
      <c r="L75" s="335">
        <f t="shared" si="13"/>
        <v>4223200</v>
      </c>
      <c r="M75" s="335">
        <f t="shared" si="13"/>
        <v>4223200</v>
      </c>
      <c r="N75" s="335">
        <f t="shared" si="13"/>
        <v>4223200</v>
      </c>
      <c r="O75" s="335">
        <f t="shared" si="13"/>
        <v>4223200</v>
      </c>
      <c r="P75" s="335">
        <f t="shared" si="13"/>
        <v>4223200</v>
      </c>
      <c r="Q75" s="335">
        <f t="shared" si="13"/>
        <v>4223200</v>
      </c>
      <c r="R75" s="335">
        <f t="shared" si="13"/>
        <v>4223200</v>
      </c>
      <c r="S75" s="335">
        <f t="shared" si="13"/>
        <v>4223200</v>
      </c>
      <c r="T75" s="335">
        <f t="shared" si="13"/>
        <v>4223200</v>
      </c>
      <c r="U75" s="349">
        <f t="shared" si="13"/>
        <v>4223200</v>
      </c>
      <c r="V75" s="317"/>
    </row>
    <row r="76" spans="1:21" s="21" customFormat="1" ht="13.5" thickBot="1">
      <c r="A76"/>
      <c r="B76"/>
      <c r="C76"/>
      <c r="D76"/>
      <c r="E76"/>
      <c r="F76"/>
      <c r="G76"/>
      <c r="H76"/>
      <c r="I76"/>
      <c r="J76"/>
      <c r="K76"/>
      <c r="L76"/>
      <c r="M76"/>
      <c r="N76"/>
      <c r="O76"/>
      <c r="P76"/>
      <c r="Q76"/>
      <c r="R76"/>
      <c r="S76"/>
      <c r="T76"/>
      <c r="U76"/>
    </row>
    <row r="77" spans="1:20" s="21" customFormat="1" ht="12.75">
      <c r="A77" s="147" t="s">
        <v>781</v>
      </c>
      <c r="B77" s="344">
        <f>IRR(B75:K75,-10%)</f>
        <v>-0.1290987336751667</v>
      </c>
      <c r="C77"/>
      <c r="D77" s="193" t="s">
        <v>788</v>
      </c>
      <c r="E77" s="200"/>
      <c r="F77" s="347"/>
      <c r="G77" s="348">
        <f>((SUM('Summary ERRs'!B15:B39)-'Summary ERRs'!B18))*1.13*1000/'Farm Model Assumptions'!C17</f>
        <v>10623.640151067922</v>
      </c>
      <c r="H77" t="s">
        <v>304</v>
      </c>
      <c r="I77"/>
      <c r="J77"/>
      <c r="K77"/>
      <c r="L77"/>
      <c r="M77"/>
      <c r="N77"/>
      <c r="O77"/>
      <c r="P77"/>
      <c r="Q77"/>
      <c r="R77"/>
      <c r="S77"/>
      <c r="T77"/>
    </row>
    <row r="78" spans="1:20" s="21" customFormat="1" ht="12.75">
      <c r="A78" s="337" t="s">
        <v>782</v>
      </c>
      <c r="B78" s="345">
        <f>IRR(B75:P75)</f>
        <v>-0.03839988934999564</v>
      </c>
      <c r="C78"/>
      <c r="D78" s="351" t="s">
        <v>773</v>
      </c>
      <c r="E78" s="68"/>
      <c r="F78" s="353"/>
      <c r="G78" s="352">
        <f>SUM('Summary ERRs'!B16+'Summary ERRs'!B17)*1.15*1000/'Farm Model Assumptions'!C17</f>
        <v>7284.001005325065</v>
      </c>
      <c r="H78" t="s">
        <v>304</v>
      </c>
      <c r="I78"/>
      <c r="J78"/>
      <c r="K78" s="865"/>
      <c r="L78" s="378"/>
      <c r="M78" s="378"/>
      <c r="N78" s="866"/>
      <c r="O78" s="867"/>
      <c r="P78"/>
      <c r="Q78"/>
      <c r="R78"/>
      <c r="S78"/>
      <c r="T78"/>
    </row>
    <row r="79" spans="1:20" s="21" customFormat="1" ht="13.5" thickBot="1">
      <c r="A79" s="148" t="s">
        <v>783</v>
      </c>
      <c r="B79" s="346">
        <f>IRR(B75:U75,0)</f>
        <v>0.00014059908479192046</v>
      </c>
      <c r="C79"/>
      <c r="D79" s="194" t="s">
        <v>789</v>
      </c>
      <c r="E79" s="72"/>
      <c r="F79" s="77"/>
      <c r="G79" s="354">
        <f>B86</f>
        <v>3787680.522769034</v>
      </c>
      <c r="H79" t="s">
        <v>304</v>
      </c>
      <c r="I79"/>
      <c r="J79"/>
      <c r="K79"/>
      <c r="L79"/>
      <c r="M79"/>
      <c r="N79"/>
      <c r="O79"/>
      <c r="P79"/>
      <c r="Q79"/>
      <c r="R79"/>
      <c r="S79"/>
      <c r="T79"/>
    </row>
    <row r="80" spans="1:21" s="21" customFormat="1" ht="13.5" thickBot="1">
      <c r="A80"/>
      <c r="B80"/>
      <c r="C80"/>
      <c r="D80"/>
      <c r="E80"/>
      <c r="F80"/>
      <c r="G80" s="454"/>
      <c r="H80"/>
      <c r="I80"/>
      <c r="J80"/>
      <c r="K80"/>
      <c r="L80"/>
      <c r="M80"/>
      <c r="N80"/>
      <c r="O80"/>
      <c r="P80"/>
      <c r="Q80"/>
      <c r="R80"/>
      <c r="S80"/>
      <c r="T80"/>
      <c r="U80"/>
    </row>
    <row r="81" spans="8:256" s="71" customFormat="1" ht="12.75">
      <c r="H81" s="341"/>
      <c r="I81" s="341"/>
      <c r="J81" s="341"/>
      <c r="K81" s="341"/>
      <c r="L81" s="34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c r="HE81" s="21"/>
      <c r="HF81" s="21"/>
      <c r="HG81" s="21"/>
      <c r="HH81" s="21"/>
      <c r="HI81" s="21"/>
      <c r="HJ81" s="21"/>
      <c r="HK81" s="21"/>
      <c r="HL81" s="21"/>
      <c r="HM81" s="21"/>
      <c r="HN81" s="21"/>
      <c r="HO81" s="21"/>
      <c r="HP81" s="21"/>
      <c r="HQ81" s="21"/>
      <c r="HR81" s="21"/>
      <c r="HS81" s="21"/>
      <c r="HT81" s="21"/>
      <c r="HU81" s="21"/>
      <c r="HV81" s="21"/>
      <c r="HW81" s="21"/>
      <c r="HX81" s="21"/>
      <c r="HY81" s="21"/>
      <c r="HZ81" s="21"/>
      <c r="IA81" s="21"/>
      <c r="IB81" s="21"/>
      <c r="IC81" s="21"/>
      <c r="ID81" s="21"/>
      <c r="IE81" s="21"/>
      <c r="IF81" s="21"/>
      <c r="IG81" s="21"/>
      <c r="IH81" s="21"/>
      <c r="II81" s="21"/>
      <c r="IJ81" s="21"/>
      <c r="IK81" s="21"/>
      <c r="IL81" s="21"/>
      <c r="IM81" s="21"/>
      <c r="IN81" s="21"/>
      <c r="IO81" s="21"/>
      <c r="IP81" s="21"/>
      <c r="IQ81" s="21"/>
      <c r="IR81" s="21"/>
      <c r="IS81" s="21"/>
      <c r="IT81" s="21"/>
      <c r="IU81" s="21"/>
      <c r="IV81" s="21"/>
    </row>
    <row r="82" ht="12.75">
      <c r="A82" s="58" t="s">
        <v>13</v>
      </c>
    </row>
    <row r="83" ht="12.75">
      <c r="B83" s="264"/>
    </row>
    <row r="84" spans="2:3" ht="13.5" thickBot="1">
      <c r="B84" s="369" t="s">
        <v>807</v>
      </c>
      <c r="C84" s="368" t="s">
        <v>808</v>
      </c>
    </row>
    <row r="85" spans="1:22" ht="12.75">
      <c r="A85" s="193" t="s">
        <v>784</v>
      </c>
      <c r="B85" s="371">
        <f>G78*F30*'Summary ERRs'!H99</f>
        <v>18938402.61384517</v>
      </c>
      <c r="C85" s="372">
        <v>36420.005026625324</v>
      </c>
      <c r="D85" s="257"/>
      <c r="E85" s="257"/>
      <c r="F85" s="257"/>
      <c r="G85" s="257"/>
      <c r="H85" s="257"/>
      <c r="I85" s="257"/>
      <c r="J85" s="257"/>
      <c r="K85" s="257"/>
      <c r="L85" s="257"/>
      <c r="M85" s="257"/>
      <c r="N85" s="257"/>
      <c r="O85" s="257"/>
      <c r="P85" s="257"/>
      <c r="Q85" s="257"/>
      <c r="R85" s="257"/>
      <c r="S85" s="257"/>
      <c r="T85" s="257"/>
      <c r="U85" s="257"/>
      <c r="V85" s="257"/>
    </row>
    <row r="86" spans="1:20" ht="13.5" thickBot="1">
      <c r="A86" s="194" t="s">
        <v>785</v>
      </c>
      <c r="B86" s="460">
        <f>B85/F30</f>
        <v>3787680.522769034</v>
      </c>
      <c r="C86" s="377">
        <v>7284.001005325065</v>
      </c>
      <c r="D86" s="21"/>
      <c r="E86" s="350"/>
      <c r="F86" s="257"/>
      <c r="G86" s="257"/>
      <c r="H86" s="257"/>
      <c r="I86" s="257"/>
      <c r="J86" s="257"/>
      <c r="K86" s="257"/>
      <c r="L86" s="257"/>
      <c r="M86" s="257"/>
      <c r="N86" s="257"/>
      <c r="O86" s="257"/>
      <c r="P86" s="257"/>
      <c r="Q86" s="257"/>
      <c r="R86" s="257"/>
      <c r="S86" s="257"/>
      <c r="T86" s="257"/>
    </row>
    <row r="87" spans="2:22" ht="13.5" thickBot="1">
      <c r="B87" s="257"/>
      <c r="C87" s="257"/>
      <c r="D87" s="257"/>
      <c r="E87" s="257"/>
      <c r="F87" s="257"/>
      <c r="G87" s="257"/>
      <c r="H87" s="257"/>
      <c r="I87" s="257"/>
      <c r="J87" s="257"/>
      <c r="K87" s="257"/>
      <c r="L87" s="257"/>
      <c r="M87" s="257"/>
      <c r="N87" s="257"/>
      <c r="O87" s="257"/>
      <c r="P87" s="257"/>
      <c r="Q87" s="257"/>
      <c r="R87" s="257"/>
      <c r="S87" s="257"/>
      <c r="T87" s="257"/>
      <c r="U87" s="257"/>
      <c r="V87" s="257"/>
    </row>
    <row r="88" spans="1:22" ht="13.5" thickBot="1">
      <c r="A88" s="84" t="s">
        <v>774</v>
      </c>
      <c r="B88" s="334">
        <f>B85+B44</f>
        <v>21017054.01710469</v>
      </c>
      <c r="C88" s="335">
        <f aca="true" t="shared" si="14" ref="C88:U88">C85+C44</f>
        <v>2154858.557471266</v>
      </c>
      <c r="D88" s="335">
        <f t="shared" si="14"/>
        <v>2158225.7016297597</v>
      </c>
      <c r="E88" s="335">
        <f t="shared" si="14"/>
        <v>2198012.8508148794</v>
      </c>
      <c r="F88" s="335">
        <f t="shared" si="14"/>
        <v>2237800</v>
      </c>
      <c r="G88" s="335">
        <f t="shared" si="14"/>
        <v>2237800</v>
      </c>
      <c r="H88" s="335">
        <f t="shared" si="14"/>
        <v>2237800</v>
      </c>
      <c r="I88" s="335">
        <f t="shared" si="14"/>
        <v>2237800</v>
      </c>
      <c r="J88" s="335">
        <f t="shared" si="14"/>
        <v>2237800</v>
      </c>
      <c r="K88" s="335">
        <f t="shared" si="14"/>
        <v>2237800</v>
      </c>
      <c r="L88" s="335">
        <f t="shared" si="14"/>
        <v>2237800</v>
      </c>
      <c r="M88" s="335">
        <f t="shared" si="14"/>
        <v>2237800</v>
      </c>
      <c r="N88" s="335">
        <f t="shared" si="14"/>
        <v>2237800</v>
      </c>
      <c r="O88" s="335">
        <f t="shared" si="14"/>
        <v>2237800</v>
      </c>
      <c r="P88" s="335">
        <f t="shared" si="14"/>
        <v>2237800</v>
      </c>
      <c r="Q88" s="335">
        <f t="shared" si="14"/>
        <v>2237800</v>
      </c>
      <c r="R88" s="335">
        <f t="shared" si="14"/>
        <v>2237800</v>
      </c>
      <c r="S88" s="335">
        <f t="shared" si="14"/>
        <v>2237800</v>
      </c>
      <c r="T88" s="335">
        <f t="shared" si="14"/>
        <v>2237800</v>
      </c>
      <c r="U88" s="336">
        <f t="shared" si="14"/>
        <v>2237800</v>
      </c>
      <c r="V88" s="257"/>
    </row>
    <row r="89" spans="2:22" ht="13.5" thickBot="1">
      <c r="B89" s="259"/>
      <c r="C89" s="259"/>
      <c r="D89" s="259"/>
      <c r="E89" s="259"/>
      <c r="F89" s="259"/>
      <c r="G89" s="259"/>
      <c r="H89" s="259"/>
      <c r="I89" s="259"/>
      <c r="J89" s="259"/>
      <c r="K89" s="259"/>
      <c r="L89" s="259"/>
      <c r="M89" s="259"/>
      <c r="N89" s="259"/>
      <c r="O89" s="259"/>
      <c r="P89" s="259"/>
      <c r="Q89" s="259"/>
      <c r="R89" s="259"/>
      <c r="S89" s="259"/>
      <c r="T89" s="259"/>
      <c r="U89" s="259"/>
      <c r="V89" s="259"/>
    </row>
    <row r="90" spans="1:22" ht="13.5" thickBot="1">
      <c r="A90" s="84" t="s">
        <v>777</v>
      </c>
      <c r="B90" s="334">
        <f aca="true" t="shared" si="15" ref="B90:U90">B50-B88</f>
        <v>-16771872.729701195</v>
      </c>
      <c r="C90" s="335">
        <f t="shared" si="15"/>
        <v>2746428.0454769116</v>
      </c>
      <c r="D90" s="335">
        <f t="shared" si="15"/>
        <v>3370946.489131744</v>
      </c>
      <c r="E90" s="335">
        <f t="shared" si="15"/>
        <v>3927994.2903643916</v>
      </c>
      <c r="F90" s="335">
        <f t="shared" si="15"/>
        <v>4223200</v>
      </c>
      <c r="G90" s="335">
        <f t="shared" si="15"/>
        <v>4223200</v>
      </c>
      <c r="H90" s="335">
        <f t="shared" si="15"/>
        <v>4223200</v>
      </c>
      <c r="I90" s="335">
        <f t="shared" si="15"/>
        <v>4223200</v>
      </c>
      <c r="J90" s="335">
        <f t="shared" si="15"/>
        <v>4223200</v>
      </c>
      <c r="K90" s="335">
        <f t="shared" si="15"/>
        <v>4223200</v>
      </c>
      <c r="L90" s="335">
        <f t="shared" si="15"/>
        <v>4223200</v>
      </c>
      <c r="M90" s="335">
        <f t="shared" si="15"/>
        <v>4223200</v>
      </c>
      <c r="N90" s="335">
        <f t="shared" si="15"/>
        <v>4223200</v>
      </c>
      <c r="O90" s="335">
        <f t="shared" si="15"/>
        <v>4223200</v>
      </c>
      <c r="P90" s="335">
        <f t="shared" si="15"/>
        <v>4223200</v>
      </c>
      <c r="Q90" s="335">
        <f t="shared" si="15"/>
        <v>4223200</v>
      </c>
      <c r="R90" s="335">
        <f t="shared" si="15"/>
        <v>4223200</v>
      </c>
      <c r="S90" s="335">
        <f t="shared" si="15"/>
        <v>4223200</v>
      </c>
      <c r="T90" s="335">
        <f t="shared" si="15"/>
        <v>4223200</v>
      </c>
      <c r="U90" s="336">
        <f t="shared" si="15"/>
        <v>4223200</v>
      </c>
      <c r="V90" s="257"/>
    </row>
    <row r="91" ht="13.5" thickBot="1">
      <c r="B91" s="264"/>
    </row>
    <row r="92" spans="1:2" ht="12.75">
      <c r="A92" s="147" t="s">
        <v>778</v>
      </c>
      <c r="B92" s="344">
        <f>IRR(B90:K90,-10%)</f>
        <v>0.1692635129773448</v>
      </c>
    </row>
    <row r="93" spans="1:2" ht="12.75">
      <c r="A93" s="337" t="s">
        <v>779</v>
      </c>
      <c r="B93" s="345">
        <f>IRR(B90:P90)</f>
        <v>0.20964446262240005</v>
      </c>
    </row>
    <row r="94" spans="1:2" ht="13.5" thickBot="1">
      <c r="A94" s="148" t="s">
        <v>780</v>
      </c>
      <c r="B94" s="346">
        <f>IRR(B90:U90,0)</f>
        <v>0.22052590416566004</v>
      </c>
    </row>
    <row r="95" ht="13.5" thickBot="1">
      <c r="B95" s="264"/>
    </row>
    <row r="96" spans="8:256" s="71" customFormat="1" ht="13.5" thickBot="1">
      <c r="H96" s="341"/>
      <c r="I96" s="341"/>
      <c r="J96" s="341"/>
      <c r="K96" s="341"/>
      <c r="L96" s="34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21"/>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21"/>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c r="HE96" s="21"/>
      <c r="HF96" s="21"/>
      <c r="HG96" s="21"/>
      <c r="HH96" s="21"/>
      <c r="HI96" s="21"/>
      <c r="HJ96" s="21"/>
      <c r="HK96" s="21"/>
      <c r="HL96" s="21"/>
      <c r="HM96" s="21"/>
      <c r="HN96" s="21"/>
      <c r="HO96" s="21"/>
      <c r="HP96" s="21"/>
      <c r="HQ96" s="21"/>
      <c r="HR96" s="21"/>
      <c r="HS96" s="21"/>
      <c r="HT96" s="21"/>
      <c r="HU96" s="21"/>
      <c r="HV96" s="21"/>
      <c r="HW96" s="21"/>
      <c r="HX96" s="21"/>
      <c r="HY96" s="21"/>
      <c r="HZ96" s="21"/>
      <c r="IA96" s="21"/>
      <c r="IB96" s="21"/>
      <c r="IC96" s="21"/>
      <c r="ID96" s="21"/>
      <c r="IE96" s="21"/>
      <c r="IF96" s="21"/>
      <c r="IG96" s="21"/>
      <c r="IH96" s="21"/>
      <c r="II96" s="21"/>
      <c r="IJ96" s="21"/>
      <c r="IK96" s="21"/>
      <c r="IL96" s="21"/>
      <c r="IM96" s="21"/>
      <c r="IN96" s="21"/>
      <c r="IO96" s="21"/>
      <c r="IP96" s="21"/>
      <c r="IQ96" s="21"/>
      <c r="IR96" s="21"/>
      <c r="IS96" s="21"/>
      <c r="IT96" s="21"/>
      <c r="IU96" s="21"/>
      <c r="IV96" s="21"/>
    </row>
    <row r="97" spans="1:12" s="21" customFormat="1" ht="13.5" thickBot="1">
      <c r="A97" s="58" t="s">
        <v>20</v>
      </c>
      <c r="F97" s="1155" t="str">
        <f>A71</f>
        <v>Scenario In Use:</v>
      </c>
      <c r="G97" s="1155"/>
      <c r="H97" s="464" t="str">
        <f>B71</f>
        <v>Base Case</v>
      </c>
      <c r="J97" s="342"/>
      <c r="K97" s="151" t="s">
        <v>892</v>
      </c>
      <c r="L97" s="507" t="s">
        <v>55</v>
      </c>
    </row>
    <row r="98" spans="8:12" s="21" customFormat="1" ht="13.5" thickBot="1">
      <c r="H98" s="464">
        <f>IF(B53=1,"80% of Revenues","")</f>
      </c>
      <c r="I98" s="342"/>
      <c r="J98" s="342"/>
      <c r="K98" s="508">
        <v>1000</v>
      </c>
      <c r="L98" s="510">
        <f>1000/G78</f>
        <v>0.13728718588436997</v>
      </c>
    </row>
    <row r="99" spans="1:12" s="21" customFormat="1" ht="12.75">
      <c r="A99" s="147" t="s">
        <v>540</v>
      </c>
      <c r="B99" s="1043">
        <v>20</v>
      </c>
      <c r="C99" s="21" t="s">
        <v>57</v>
      </c>
      <c r="E99" s="193" t="s">
        <v>12</v>
      </c>
      <c r="F99" s="71"/>
      <c r="G99" s="71"/>
      <c r="H99" s="461"/>
      <c r="I99" s="1021">
        <v>0.46</v>
      </c>
      <c r="J99" s="342"/>
      <c r="K99" s="508">
        <v>2500</v>
      </c>
      <c r="L99" s="510">
        <f>2500/G78</f>
        <v>0.3432179647109249</v>
      </c>
    </row>
    <row r="100" spans="1:12" s="21" customFormat="1" ht="12.75">
      <c r="A100" s="337" t="s">
        <v>752</v>
      </c>
      <c r="B100" s="1044">
        <v>0</v>
      </c>
      <c r="E100" s="351" t="s">
        <v>10</v>
      </c>
      <c r="H100" s="462"/>
      <c r="I100" s="502">
        <f>I99*B86</f>
        <v>1742333.0404737557</v>
      </c>
      <c r="J100" s="342"/>
      <c r="K100" s="508">
        <v>4000</v>
      </c>
      <c r="L100" s="510">
        <f>4000/G78</f>
        <v>0.5491487435374799</v>
      </c>
    </row>
    <row r="101" spans="1:12" s="21" customFormat="1" ht="13.5" thickBot="1">
      <c r="A101" s="148" t="s">
        <v>790</v>
      </c>
      <c r="B101" s="1045">
        <v>2</v>
      </c>
      <c r="C101" s="21" t="s">
        <v>791</v>
      </c>
      <c r="E101" s="194" t="s">
        <v>11</v>
      </c>
      <c r="F101" s="72"/>
      <c r="G101" s="72"/>
      <c r="H101" s="463"/>
      <c r="I101" s="503">
        <f>I99*C86</f>
        <v>3350.6404624495303</v>
      </c>
      <c r="J101" s="342"/>
      <c r="K101" s="508">
        <v>5500</v>
      </c>
      <c r="L101" s="510">
        <f>5500/G78</f>
        <v>0.7550795223640349</v>
      </c>
    </row>
    <row r="102" spans="1:12" s="21" customFormat="1" ht="13.5" thickBot="1">
      <c r="A102" s="68"/>
      <c r="B102" s="270"/>
      <c r="E102" s="68"/>
      <c r="H102" s="342"/>
      <c r="I102" s="458"/>
      <c r="J102" s="342"/>
      <c r="K102" s="508">
        <v>7000</v>
      </c>
      <c r="L102" s="510">
        <f>7000/G78</f>
        <v>0.9610103011905898</v>
      </c>
    </row>
    <row r="103" spans="1:12" s="21" customFormat="1" ht="12.75">
      <c r="A103" s="147" t="s">
        <v>52</v>
      </c>
      <c r="B103" s="500">
        <f>603*'Summary ERRs'!H99*I30</f>
        <v>4013568</v>
      </c>
      <c r="D103" s="800"/>
      <c r="E103" s="58"/>
      <c r="F103" s="58"/>
      <c r="G103" s="22"/>
      <c r="H103" s="774"/>
      <c r="I103" s="775"/>
      <c r="J103" s="342"/>
      <c r="K103" s="508">
        <v>7200</v>
      </c>
      <c r="L103" s="510">
        <f>7200/G78</f>
        <v>0.9884677383674638</v>
      </c>
    </row>
    <row r="104" spans="1:12" s="21" customFormat="1" ht="12.75">
      <c r="A104" s="337" t="s">
        <v>61</v>
      </c>
      <c r="B104" s="785">
        <f>B103/'Summary ERRs'!H99</f>
        <v>7718.4</v>
      </c>
      <c r="E104" s="68"/>
      <c r="H104" s="342"/>
      <c r="I104" s="458"/>
      <c r="J104" s="342"/>
      <c r="K104" s="508">
        <v>8500</v>
      </c>
      <c r="L104" s="510">
        <f>8500/G78</f>
        <v>1.1669410800171447</v>
      </c>
    </row>
    <row r="105" spans="1:12" s="21" customFormat="1" ht="13.5" thickBot="1">
      <c r="A105" s="148" t="s">
        <v>341</v>
      </c>
      <c r="B105" s="501">
        <f>B104/I30</f>
        <v>602.9999999999999</v>
      </c>
      <c r="E105" s="68"/>
      <c r="H105" s="342"/>
      <c r="I105" s="458"/>
      <c r="J105" s="342"/>
      <c r="K105" s="509">
        <v>10000</v>
      </c>
      <c r="L105" s="511">
        <f>10000/G78</f>
        <v>1.3728718588436997</v>
      </c>
    </row>
    <row r="106" spans="1:12" s="21" customFormat="1" ht="13.5" thickBot="1">
      <c r="A106" s="68"/>
      <c r="B106" s="270"/>
      <c r="E106" s="68"/>
      <c r="H106" s="342"/>
      <c r="I106" s="458"/>
      <c r="J106" s="342"/>
      <c r="K106" s="783"/>
      <c r="L106" s="784"/>
    </row>
    <row r="107" spans="1:12" s="21" customFormat="1" ht="13.5" thickBot="1">
      <c r="A107" s="84" t="s">
        <v>17</v>
      </c>
      <c r="B107" s="1046">
        <v>1</v>
      </c>
      <c r="C107" s="68" t="s">
        <v>18</v>
      </c>
      <c r="E107" s="68"/>
      <c r="H107" s="342"/>
      <c r="I107" s="458"/>
      <c r="J107" s="342"/>
      <c r="K107" s="342"/>
      <c r="L107" s="342"/>
    </row>
    <row r="108" spans="8:12" s="21" customFormat="1" ht="13.5" thickBot="1">
      <c r="H108" s="342"/>
      <c r="I108" s="342"/>
      <c r="J108" s="342"/>
      <c r="K108" s="342"/>
      <c r="L108" s="342"/>
    </row>
    <row r="109" spans="1:26" ht="12.75">
      <c r="A109" s="147" t="s">
        <v>747</v>
      </c>
      <c r="B109" s="323">
        <f>IF($B$101=1,ABS(PMT($B$100,$B$99,($I$99*$B$85),0)),0)</f>
        <v>0</v>
      </c>
      <c r="C109" s="323">
        <f>IF($B$101&lt;=2,ABS(PMT($B$100,$B$99,($I$99*$B$85),0)),0)</f>
        <v>435583.260118439</v>
      </c>
      <c r="D109" s="323">
        <f>IF($B$101&lt;=3,ABS(PMT($B$100,$B$99,($I$99*$B$85),0)),0)</f>
        <v>435583.260118439</v>
      </c>
      <c r="E109" s="323">
        <f>IF($B$101&lt;=4,ABS(PMT($B$100,$B$99,($I$99*$B$85),0)),0)</f>
        <v>435583.260118439</v>
      </c>
      <c r="F109" s="323">
        <f>IF($B$101&lt;=5,ABS(PMT($B$100,$B$99,($I$99*$B$85),0)),0)</f>
        <v>435583.260118439</v>
      </c>
      <c r="G109" s="323">
        <f>IF($B$101=1,IF($B$99=5,0,F109),F109)</f>
        <v>435583.260118439</v>
      </c>
      <c r="H109" s="323">
        <f>IF($B$101=2,IF($B$99=5,0,G109),G109)</f>
        <v>435583.260118439</v>
      </c>
      <c r="I109" s="323">
        <f>IF($B$101=3,IF($B$99=5,0,H109),H109)</f>
        <v>435583.260118439</v>
      </c>
      <c r="J109" s="323">
        <f>IF($B$101=4,IF($B$99=5,0,I109),I109)</f>
        <v>435583.260118439</v>
      </c>
      <c r="K109" s="323">
        <f>IF($B$101=5,IF($B$99=5,0,J109),J109)</f>
        <v>435583.260118439</v>
      </c>
      <c r="L109" s="323">
        <f>IF($B$101=1,IF($B$99=10,0,K109),K109)</f>
        <v>435583.260118439</v>
      </c>
      <c r="M109" s="323">
        <f>IF($B$101=2,IF($B$99=10,0,L109),L109)</f>
        <v>435583.260118439</v>
      </c>
      <c r="N109" s="323">
        <f>IF($B$101=3,IF($B$99=10,0,M109),M109)</f>
        <v>435583.260118439</v>
      </c>
      <c r="O109" s="323">
        <f>IF($B$101=4,IF($B$99=10,0,N109),N109)</f>
        <v>435583.260118439</v>
      </c>
      <c r="P109" s="323">
        <f>IF($B$101=5,IF($B$99=10,0,O109),O109)</f>
        <v>435583.260118439</v>
      </c>
      <c r="Q109" s="323">
        <f>IF($B$101=1,IF($B$99=15,0,P109),P109)</f>
        <v>435583.260118439</v>
      </c>
      <c r="R109" s="323">
        <f>IF($B$101=2,IF($B$99=15,0,Q109),Q109)</f>
        <v>435583.260118439</v>
      </c>
      <c r="S109" s="323">
        <f>IF($B$101=3,IF($B$99=15,0,R109),R109)</f>
        <v>435583.260118439</v>
      </c>
      <c r="T109" s="323">
        <f>IF($B$101=4,IF($B$99=15,0,S109),S109)</f>
        <v>435583.260118439</v>
      </c>
      <c r="U109" s="323">
        <f>IF($B$101=5,IF($B$99=15,0,T109),T109)</f>
        <v>435583.260118439</v>
      </c>
      <c r="V109" s="323">
        <f>IF($B$101=1,IF($B$99=20,0,U109),U109)</f>
        <v>435583.260118439</v>
      </c>
      <c r="W109" s="323">
        <f>IF($B$101=2,IF($B$99=20,0,V109),V109)</f>
        <v>0</v>
      </c>
      <c r="X109" s="323">
        <f>IF($B$101=3,IF($B$99=20,0,W109),W109)</f>
        <v>0</v>
      </c>
      <c r="Y109" s="505">
        <f>IF($B$101=4,IF($B$99=20,0,X109),X109)</f>
        <v>0</v>
      </c>
      <c r="Z109" s="215"/>
    </row>
    <row r="110" spans="1:25" ht="13.5" thickBot="1">
      <c r="A110" s="148" t="s">
        <v>748</v>
      </c>
      <c r="B110" s="326">
        <f>B109/$F$30</f>
        <v>0</v>
      </c>
      <c r="C110" s="326">
        <f aca="true" t="shared" si="16" ref="C110:Y110">C109/$F$30</f>
        <v>87116.6520236878</v>
      </c>
      <c r="D110" s="326">
        <f t="shared" si="16"/>
        <v>87116.6520236878</v>
      </c>
      <c r="E110" s="326">
        <f t="shared" si="16"/>
        <v>87116.6520236878</v>
      </c>
      <c r="F110" s="326">
        <f t="shared" si="16"/>
        <v>87116.6520236878</v>
      </c>
      <c r="G110" s="326">
        <f t="shared" si="16"/>
        <v>87116.6520236878</v>
      </c>
      <c r="H110" s="326">
        <f t="shared" si="16"/>
        <v>87116.6520236878</v>
      </c>
      <c r="I110" s="326">
        <f t="shared" si="16"/>
        <v>87116.6520236878</v>
      </c>
      <c r="J110" s="326">
        <f t="shared" si="16"/>
        <v>87116.6520236878</v>
      </c>
      <c r="K110" s="326">
        <f t="shared" si="16"/>
        <v>87116.6520236878</v>
      </c>
      <c r="L110" s="326">
        <f t="shared" si="16"/>
        <v>87116.6520236878</v>
      </c>
      <c r="M110" s="326">
        <f t="shared" si="16"/>
        <v>87116.6520236878</v>
      </c>
      <c r="N110" s="326">
        <f t="shared" si="16"/>
        <v>87116.6520236878</v>
      </c>
      <c r="O110" s="326">
        <f t="shared" si="16"/>
        <v>87116.6520236878</v>
      </c>
      <c r="P110" s="326">
        <f t="shared" si="16"/>
        <v>87116.6520236878</v>
      </c>
      <c r="Q110" s="326">
        <f t="shared" si="16"/>
        <v>87116.6520236878</v>
      </c>
      <c r="R110" s="326">
        <f t="shared" si="16"/>
        <v>87116.6520236878</v>
      </c>
      <c r="S110" s="326">
        <f t="shared" si="16"/>
        <v>87116.6520236878</v>
      </c>
      <c r="T110" s="326">
        <f t="shared" si="16"/>
        <v>87116.6520236878</v>
      </c>
      <c r="U110" s="326">
        <f t="shared" si="16"/>
        <v>87116.6520236878</v>
      </c>
      <c r="V110" s="326">
        <f t="shared" si="16"/>
        <v>87116.6520236878</v>
      </c>
      <c r="W110" s="326">
        <f t="shared" si="16"/>
        <v>0</v>
      </c>
      <c r="X110" s="326">
        <f t="shared" si="16"/>
        <v>0</v>
      </c>
      <c r="Y110" s="506">
        <f t="shared" si="16"/>
        <v>0</v>
      </c>
    </row>
    <row r="111" spans="3:12" ht="13.5" thickBot="1">
      <c r="C111" s="264"/>
      <c r="D111" s="264"/>
      <c r="E111" s="264"/>
      <c r="F111" s="264"/>
      <c r="G111" s="264"/>
      <c r="H111" s="264"/>
      <c r="I111" s="264"/>
      <c r="J111" s="264"/>
      <c r="K111" s="264"/>
      <c r="L111" s="264"/>
    </row>
    <row r="112" spans="1:25" ht="13.5" thickBot="1">
      <c r="A112" s="84" t="s">
        <v>749</v>
      </c>
      <c r="B112" s="334">
        <f>B109+B44</f>
        <v>2078651.40325952</v>
      </c>
      <c r="C112" s="335">
        <f aca="true" t="shared" si="17" ref="C112:Y112">C109+C44</f>
        <v>2554021.8125630794</v>
      </c>
      <c r="D112" s="335">
        <f t="shared" si="17"/>
        <v>2593808.9617481986</v>
      </c>
      <c r="E112" s="335">
        <f t="shared" si="17"/>
        <v>2633596.1109333183</v>
      </c>
      <c r="F112" s="335">
        <f t="shared" si="17"/>
        <v>2673383.260118439</v>
      </c>
      <c r="G112" s="335">
        <f t="shared" si="17"/>
        <v>2673383.260118439</v>
      </c>
      <c r="H112" s="335">
        <f t="shared" si="17"/>
        <v>2673383.260118439</v>
      </c>
      <c r="I112" s="335">
        <f t="shared" si="17"/>
        <v>2673383.260118439</v>
      </c>
      <c r="J112" s="335">
        <f t="shared" si="17"/>
        <v>2673383.260118439</v>
      </c>
      <c r="K112" s="335">
        <f t="shared" si="17"/>
        <v>2673383.260118439</v>
      </c>
      <c r="L112" s="335">
        <f t="shared" si="17"/>
        <v>2673383.260118439</v>
      </c>
      <c r="M112" s="335">
        <f t="shared" si="17"/>
        <v>2673383.260118439</v>
      </c>
      <c r="N112" s="335">
        <f t="shared" si="17"/>
        <v>2673383.260118439</v>
      </c>
      <c r="O112" s="335">
        <f t="shared" si="17"/>
        <v>2673383.260118439</v>
      </c>
      <c r="P112" s="335">
        <f t="shared" si="17"/>
        <v>2673383.260118439</v>
      </c>
      <c r="Q112" s="335">
        <f t="shared" si="17"/>
        <v>2673383.260118439</v>
      </c>
      <c r="R112" s="335">
        <f t="shared" si="17"/>
        <v>2673383.260118439</v>
      </c>
      <c r="S112" s="335">
        <f t="shared" si="17"/>
        <v>2673383.260118439</v>
      </c>
      <c r="T112" s="335">
        <f t="shared" si="17"/>
        <v>2673383.260118439</v>
      </c>
      <c r="U112" s="335">
        <f t="shared" si="17"/>
        <v>2673383.260118439</v>
      </c>
      <c r="V112" s="335">
        <f t="shared" si="17"/>
        <v>435583.260118439</v>
      </c>
      <c r="W112" s="335">
        <f t="shared" si="17"/>
        <v>0</v>
      </c>
      <c r="X112" s="335">
        <v>175754.47721164196</v>
      </c>
      <c r="Y112" s="336">
        <f t="shared" si="17"/>
        <v>0</v>
      </c>
    </row>
    <row r="113" spans="3:12" ht="13.5" thickBot="1">
      <c r="C113" s="264"/>
      <c r="D113" s="264"/>
      <c r="E113" s="264"/>
      <c r="F113" s="264"/>
      <c r="G113" s="264"/>
      <c r="H113" s="264"/>
      <c r="I113" s="264"/>
      <c r="J113" s="264"/>
      <c r="K113" s="264"/>
      <c r="L113" s="264"/>
    </row>
    <row r="114" spans="1:25" ht="12.75">
      <c r="A114" s="147" t="s">
        <v>750</v>
      </c>
      <c r="B114" s="322">
        <f>B50-B112</f>
        <v>2166529.8841439732</v>
      </c>
      <c r="C114" s="322">
        <f aca="true" t="shared" si="18" ref="C114:T114">C50-C112</f>
        <v>2347264.790385098</v>
      </c>
      <c r="D114" s="322">
        <f t="shared" si="18"/>
        <v>2935363.229013305</v>
      </c>
      <c r="E114" s="322">
        <f t="shared" si="18"/>
        <v>3492411.030245953</v>
      </c>
      <c r="F114" s="322">
        <f t="shared" si="18"/>
        <v>3787616.739881561</v>
      </c>
      <c r="G114" s="322">
        <f t="shared" si="18"/>
        <v>3787616.739881561</v>
      </c>
      <c r="H114" s="322">
        <f t="shared" si="18"/>
        <v>3787616.739881561</v>
      </c>
      <c r="I114" s="322">
        <f t="shared" si="18"/>
        <v>3787616.739881561</v>
      </c>
      <c r="J114" s="322">
        <f t="shared" si="18"/>
        <v>3787616.739881561</v>
      </c>
      <c r="K114" s="322">
        <f t="shared" si="18"/>
        <v>3787616.739881561</v>
      </c>
      <c r="L114" s="322">
        <f t="shared" si="18"/>
        <v>3787616.739881561</v>
      </c>
      <c r="M114" s="322">
        <f t="shared" si="18"/>
        <v>3787616.739881561</v>
      </c>
      <c r="N114" s="322">
        <f t="shared" si="18"/>
        <v>3787616.739881561</v>
      </c>
      <c r="O114" s="322">
        <f t="shared" si="18"/>
        <v>3787616.739881561</v>
      </c>
      <c r="P114" s="322">
        <f t="shared" si="18"/>
        <v>3787616.739881561</v>
      </c>
      <c r="Q114" s="322">
        <f t="shared" si="18"/>
        <v>3787616.739881561</v>
      </c>
      <c r="R114" s="322">
        <f t="shared" si="18"/>
        <v>3787616.739881561</v>
      </c>
      <c r="S114" s="322">
        <f t="shared" si="18"/>
        <v>3787616.739881561</v>
      </c>
      <c r="T114" s="322">
        <f t="shared" si="18"/>
        <v>3787616.739881561</v>
      </c>
      <c r="U114" s="322">
        <f>U50-U112</f>
        <v>3787616.739881561</v>
      </c>
      <c r="V114" s="322">
        <f>V50-V112</f>
        <v>-435583.260118439</v>
      </c>
      <c r="W114" s="322">
        <f>W50-W112</f>
        <v>0</v>
      </c>
      <c r="X114" s="322">
        <v>331685.72176253743</v>
      </c>
      <c r="Y114" s="324">
        <f>Y50-Y112</f>
        <v>0</v>
      </c>
    </row>
    <row r="115" spans="1:25" ht="12.75">
      <c r="A115" s="337" t="s">
        <v>751</v>
      </c>
      <c r="B115" s="215">
        <f>B114/$F$30</f>
        <v>433305.97682879464</v>
      </c>
      <c r="C115" s="215">
        <f aca="true" t="shared" si="19" ref="C115:Y115">C114/$F$30</f>
        <v>469452.95807701966</v>
      </c>
      <c r="D115" s="215">
        <f t="shared" si="19"/>
        <v>587072.6458026611</v>
      </c>
      <c r="E115" s="215">
        <f t="shared" si="19"/>
        <v>698482.2060491906</v>
      </c>
      <c r="F115" s="215">
        <f t="shared" si="19"/>
        <v>757523.3479763123</v>
      </c>
      <c r="G115" s="215">
        <f t="shared" si="19"/>
        <v>757523.3479763123</v>
      </c>
      <c r="H115" s="215">
        <f t="shared" si="19"/>
        <v>757523.3479763123</v>
      </c>
      <c r="I115" s="215">
        <f t="shared" si="19"/>
        <v>757523.3479763123</v>
      </c>
      <c r="J115" s="215">
        <f t="shared" si="19"/>
        <v>757523.3479763123</v>
      </c>
      <c r="K115" s="215">
        <f t="shared" si="19"/>
        <v>757523.3479763123</v>
      </c>
      <c r="L115" s="215">
        <f t="shared" si="19"/>
        <v>757523.3479763123</v>
      </c>
      <c r="M115" s="215">
        <f t="shared" si="19"/>
        <v>757523.3479763123</v>
      </c>
      <c r="N115" s="215">
        <f t="shared" si="19"/>
        <v>757523.3479763123</v>
      </c>
      <c r="O115" s="215">
        <f t="shared" si="19"/>
        <v>757523.3479763123</v>
      </c>
      <c r="P115" s="215">
        <f t="shared" si="19"/>
        <v>757523.3479763123</v>
      </c>
      <c r="Q115" s="215">
        <f t="shared" si="19"/>
        <v>757523.3479763123</v>
      </c>
      <c r="R115" s="215">
        <f t="shared" si="19"/>
        <v>757523.3479763123</v>
      </c>
      <c r="S115" s="215">
        <f t="shared" si="19"/>
        <v>757523.3479763123</v>
      </c>
      <c r="T115" s="215">
        <f t="shared" si="19"/>
        <v>757523.3479763123</v>
      </c>
      <c r="U115" s="215">
        <f t="shared" si="19"/>
        <v>757523.3479763123</v>
      </c>
      <c r="V115" s="215">
        <f t="shared" si="19"/>
        <v>-87116.6520236878</v>
      </c>
      <c r="W115" s="215">
        <f t="shared" si="19"/>
        <v>0</v>
      </c>
      <c r="X115" s="215">
        <f t="shared" si="19"/>
        <v>66337.14435250749</v>
      </c>
      <c r="Y115" s="343">
        <f t="shared" si="19"/>
        <v>0</v>
      </c>
    </row>
    <row r="116" spans="1:25" ht="13.5" thickBot="1">
      <c r="A116" s="148" t="s">
        <v>792</v>
      </c>
      <c r="B116" s="325">
        <f>B115/'Summary ERRs'!$H$99</f>
        <v>833.2807246707589</v>
      </c>
      <c r="C116" s="325">
        <f>C115/'Summary ERRs'!$H$99</f>
        <v>902.7941501481147</v>
      </c>
      <c r="D116" s="325">
        <f>D115/'Summary ERRs'!$H$99</f>
        <v>1128.9858573128097</v>
      </c>
      <c r="E116" s="325">
        <f>E115/'Summary ERRs'!$H$99</f>
        <v>1343.2350116330588</v>
      </c>
      <c r="F116" s="325">
        <f>F115/'Summary ERRs'!$H$99</f>
        <v>1456.775669185216</v>
      </c>
      <c r="G116" s="325">
        <f>G115/'Summary ERRs'!$H$99</f>
        <v>1456.775669185216</v>
      </c>
      <c r="H116" s="325">
        <f>H115/'Summary ERRs'!$H$99</f>
        <v>1456.775669185216</v>
      </c>
      <c r="I116" s="325">
        <f>I115/'Summary ERRs'!$H$99</f>
        <v>1456.775669185216</v>
      </c>
      <c r="J116" s="325">
        <f>J115/'Summary ERRs'!$H$99</f>
        <v>1456.775669185216</v>
      </c>
      <c r="K116" s="325">
        <f>K115/'Summary ERRs'!$H$99</f>
        <v>1456.775669185216</v>
      </c>
      <c r="L116" s="325">
        <f>L115/'Summary ERRs'!$H$99</f>
        <v>1456.775669185216</v>
      </c>
      <c r="M116" s="325">
        <f>M115/'Summary ERRs'!$H$99</f>
        <v>1456.775669185216</v>
      </c>
      <c r="N116" s="325">
        <f>N115/'Summary ERRs'!$H$99</f>
        <v>1456.775669185216</v>
      </c>
      <c r="O116" s="325">
        <f>O115/'Summary ERRs'!$H$99</f>
        <v>1456.775669185216</v>
      </c>
      <c r="P116" s="325">
        <f>P115/'Summary ERRs'!$H$99</f>
        <v>1456.775669185216</v>
      </c>
      <c r="Q116" s="325">
        <f>Q115/'Summary ERRs'!$H$99</f>
        <v>1456.775669185216</v>
      </c>
      <c r="R116" s="325">
        <f>R115/'Summary ERRs'!$H$99</f>
        <v>1456.775669185216</v>
      </c>
      <c r="S116" s="325">
        <f>S115/'Summary ERRs'!$H$99</f>
        <v>1456.775669185216</v>
      </c>
      <c r="T116" s="325">
        <f>T115/'Summary ERRs'!$H$99</f>
        <v>1456.775669185216</v>
      </c>
      <c r="U116" s="325">
        <f>U115/'Summary ERRs'!$H$99</f>
        <v>1456.775669185216</v>
      </c>
      <c r="V116" s="325">
        <f>V115/'Summary ERRs'!$H$99</f>
        <v>-167.53202312247655</v>
      </c>
      <c r="W116" s="325">
        <f>W115/'Summary ERRs'!$H$99</f>
        <v>0</v>
      </c>
      <c r="X116" s="325">
        <f>X115/'Summary ERRs'!$H$99</f>
        <v>127.57143144712978</v>
      </c>
      <c r="Y116" s="327">
        <f>Y115/'Summary ERRs'!$H$99</f>
        <v>0</v>
      </c>
    </row>
    <row r="117" spans="2:22" ht="13.5" thickBot="1">
      <c r="B117" s="1"/>
      <c r="C117" s="1"/>
      <c r="D117" s="1"/>
      <c r="E117" s="1"/>
      <c r="F117" s="1"/>
      <c r="G117" s="1"/>
      <c r="H117" s="1"/>
      <c r="I117" s="1"/>
      <c r="J117" s="1"/>
      <c r="K117" s="1"/>
      <c r="L117" s="1"/>
      <c r="M117" s="1"/>
      <c r="N117" s="1"/>
      <c r="O117" s="1"/>
      <c r="P117" s="1"/>
      <c r="Q117" s="1"/>
      <c r="R117" s="1"/>
      <c r="S117" s="1"/>
      <c r="T117" s="1"/>
      <c r="U117" s="1"/>
      <c r="V117" s="18"/>
    </row>
    <row r="118" spans="1:25" ht="13.5" thickBot="1">
      <c r="A118" s="204" t="s">
        <v>56</v>
      </c>
      <c r="B118" s="483">
        <f>B104</f>
        <v>7718.4</v>
      </c>
      <c r="C118" s="334">
        <f>B118</f>
        <v>7718.4</v>
      </c>
      <c r="D118" s="334">
        <f aca="true" t="shared" si="20" ref="D118:Y118">C118</f>
        <v>7718.4</v>
      </c>
      <c r="E118" s="334">
        <f t="shared" si="20"/>
        <v>7718.4</v>
      </c>
      <c r="F118" s="334">
        <f t="shared" si="20"/>
        <v>7718.4</v>
      </c>
      <c r="G118" s="334">
        <f t="shared" si="20"/>
        <v>7718.4</v>
      </c>
      <c r="H118" s="334">
        <f t="shared" si="20"/>
        <v>7718.4</v>
      </c>
      <c r="I118" s="334">
        <f t="shared" si="20"/>
        <v>7718.4</v>
      </c>
      <c r="J118" s="334">
        <f t="shared" si="20"/>
        <v>7718.4</v>
      </c>
      <c r="K118" s="334">
        <f t="shared" si="20"/>
        <v>7718.4</v>
      </c>
      <c r="L118" s="334">
        <f t="shared" si="20"/>
        <v>7718.4</v>
      </c>
      <c r="M118" s="334">
        <f t="shared" si="20"/>
        <v>7718.4</v>
      </c>
      <c r="N118" s="334">
        <f t="shared" si="20"/>
        <v>7718.4</v>
      </c>
      <c r="O118" s="334">
        <f t="shared" si="20"/>
        <v>7718.4</v>
      </c>
      <c r="P118" s="334">
        <f t="shared" si="20"/>
        <v>7718.4</v>
      </c>
      <c r="Q118" s="334">
        <f t="shared" si="20"/>
        <v>7718.4</v>
      </c>
      <c r="R118" s="334">
        <f t="shared" si="20"/>
        <v>7718.4</v>
      </c>
      <c r="S118" s="334">
        <f t="shared" si="20"/>
        <v>7718.4</v>
      </c>
      <c r="T118" s="334">
        <f t="shared" si="20"/>
        <v>7718.4</v>
      </c>
      <c r="U118" s="334">
        <f t="shared" si="20"/>
        <v>7718.4</v>
      </c>
      <c r="V118" s="334">
        <f t="shared" si="20"/>
        <v>7718.4</v>
      </c>
      <c r="W118" s="334">
        <f t="shared" si="20"/>
        <v>7718.4</v>
      </c>
      <c r="X118" s="334">
        <f t="shared" si="20"/>
        <v>7718.4</v>
      </c>
      <c r="Y118" s="504">
        <f t="shared" si="20"/>
        <v>7718.4</v>
      </c>
    </row>
    <row r="119" spans="1:22" ht="13.5" thickBot="1">
      <c r="A119" s="58"/>
      <c r="B119" s="1"/>
      <c r="C119" s="1"/>
      <c r="D119" s="1"/>
      <c r="E119" s="1"/>
      <c r="F119" s="1"/>
      <c r="G119" s="1"/>
      <c r="H119" s="1"/>
      <c r="I119" s="1"/>
      <c r="J119" s="1"/>
      <c r="K119" s="1"/>
      <c r="L119" s="1"/>
      <c r="M119" s="1"/>
      <c r="N119" s="1"/>
      <c r="O119" s="1"/>
      <c r="P119" s="1"/>
      <c r="Q119" s="1"/>
      <c r="R119" s="1"/>
      <c r="S119" s="1"/>
      <c r="T119" s="1"/>
      <c r="U119" s="1"/>
      <c r="V119" s="18"/>
    </row>
    <row r="120" spans="1:25" ht="13.5" thickBot="1">
      <c r="A120" s="204" t="s">
        <v>54</v>
      </c>
      <c r="B120" s="483">
        <f aca="true" t="shared" si="21" ref="B120:U120">($F$30*B116)-B118</f>
        <v>-3551.996376646205</v>
      </c>
      <c r="C120" s="334">
        <f t="shared" si="21"/>
        <v>-3204.429249259426</v>
      </c>
      <c r="D120" s="334">
        <f t="shared" si="21"/>
        <v>-2073.4707134359514</v>
      </c>
      <c r="E120" s="334">
        <f t="shared" si="21"/>
        <v>-1002.2249418347055</v>
      </c>
      <c r="F120" s="334">
        <f t="shared" si="21"/>
        <v>-434.5216540739202</v>
      </c>
      <c r="G120" s="334">
        <f t="shared" si="21"/>
        <v>-434.5216540739202</v>
      </c>
      <c r="H120" s="334">
        <f t="shared" si="21"/>
        <v>-434.5216540739202</v>
      </c>
      <c r="I120" s="334">
        <f t="shared" si="21"/>
        <v>-434.5216540739202</v>
      </c>
      <c r="J120" s="334">
        <f t="shared" si="21"/>
        <v>-434.5216540739202</v>
      </c>
      <c r="K120" s="334">
        <f t="shared" si="21"/>
        <v>-434.5216540739202</v>
      </c>
      <c r="L120" s="334">
        <f t="shared" si="21"/>
        <v>-434.5216540739202</v>
      </c>
      <c r="M120" s="334">
        <f t="shared" si="21"/>
        <v>-434.5216540739202</v>
      </c>
      <c r="N120" s="334">
        <f t="shared" si="21"/>
        <v>-434.5216540739202</v>
      </c>
      <c r="O120" s="334">
        <f t="shared" si="21"/>
        <v>-434.5216540739202</v>
      </c>
      <c r="P120" s="334">
        <f t="shared" si="21"/>
        <v>-434.5216540739202</v>
      </c>
      <c r="Q120" s="334">
        <f t="shared" si="21"/>
        <v>-434.5216540739202</v>
      </c>
      <c r="R120" s="334">
        <f t="shared" si="21"/>
        <v>-434.5216540739202</v>
      </c>
      <c r="S120" s="334">
        <f t="shared" si="21"/>
        <v>-434.5216540739202</v>
      </c>
      <c r="T120" s="334">
        <f t="shared" si="21"/>
        <v>-434.5216540739202</v>
      </c>
      <c r="U120" s="334">
        <f t="shared" si="21"/>
        <v>-434.5216540739202</v>
      </c>
      <c r="V120" s="334"/>
      <c r="W120" s="334"/>
      <c r="X120" s="334"/>
      <c r="Y120" s="504"/>
    </row>
    <row r="121" spans="2:22" ht="13.5" thickBot="1">
      <c r="B121" s="1"/>
      <c r="C121" s="1"/>
      <c r="D121" s="1"/>
      <c r="E121" s="1"/>
      <c r="F121" s="1"/>
      <c r="G121" s="1"/>
      <c r="H121" s="1"/>
      <c r="I121" s="1"/>
      <c r="J121" s="1"/>
      <c r="K121" s="1"/>
      <c r="L121" s="1"/>
      <c r="M121" s="1"/>
      <c r="N121" s="1"/>
      <c r="O121" s="1"/>
      <c r="P121" s="1"/>
      <c r="Q121" s="1"/>
      <c r="R121" s="1"/>
      <c r="S121" s="1"/>
      <c r="T121" s="1"/>
      <c r="U121" s="1"/>
      <c r="V121" s="18"/>
    </row>
    <row r="122" spans="1:22" ht="12.75">
      <c r="A122" s="51" t="s">
        <v>306</v>
      </c>
      <c r="B122" s="374">
        <f>IF($B$101=1,($B$86*('Farm Model Assumptions'!$C$17/3)),0)</f>
        <v>0</v>
      </c>
      <c r="C122" s="374">
        <f>IF($B$101=2,($B$86*('Farm Model Assumptions'!$C$17/3)),0)</f>
        <v>20200710276.06666</v>
      </c>
      <c r="D122" s="374">
        <f>IF($B$101=3,($B$86*('Farm Model Assumptions'!$C$17/3)),0)</f>
        <v>0</v>
      </c>
      <c r="E122" s="374">
        <f>IF($B$101=4,($B$86*('Farm Model Assumptions'!$C$17/3)),0)</f>
        <v>0</v>
      </c>
      <c r="F122" s="374">
        <f>IF($B$101=5,($B$86*('Farm Model Assumptions'!$C$17/3)),0)</f>
        <v>0</v>
      </c>
      <c r="G122" s="374">
        <v>0</v>
      </c>
      <c r="H122" s="374">
        <f>G122</f>
        <v>0</v>
      </c>
      <c r="I122" s="374">
        <f aca="true" t="shared" si="22" ref="I122:U122">H122</f>
        <v>0</v>
      </c>
      <c r="J122" s="374">
        <f t="shared" si="22"/>
        <v>0</v>
      </c>
      <c r="K122" s="374">
        <f t="shared" si="22"/>
        <v>0</v>
      </c>
      <c r="L122" s="374">
        <f t="shared" si="22"/>
        <v>0</v>
      </c>
      <c r="M122" s="374">
        <f t="shared" si="22"/>
        <v>0</v>
      </c>
      <c r="N122" s="374">
        <f t="shared" si="22"/>
        <v>0</v>
      </c>
      <c r="O122" s="374">
        <f t="shared" si="22"/>
        <v>0</v>
      </c>
      <c r="P122" s="374">
        <f t="shared" si="22"/>
        <v>0</v>
      </c>
      <c r="Q122" s="374">
        <f t="shared" si="22"/>
        <v>0</v>
      </c>
      <c r="R122" s="374">
        <f t="shared" si="22"/>
        <v>0</v>
      </c>
      <c r="S122" s="374">
        <f t="shared" si="22"/>
        <v>0</v>
      </c>
      <c r="T122" s="374">
        <f t="shared" si="22"/>
        <v>0</v>
      </c>
      <c r="U122" s="370">
        <f t="shared" si="22"/>
        <v>0</v>
      </c>
      <c r="V122" s="18"/>
    </row>
    <row r="123" spans="1:22" ht="13.5" thickBot="1">
      <c r="A123" s="373" t="s">
        <v>804</v>
      </c>
      <c r="B123" s="317">
        <f aca="true" t="shared" si="23" ref="B123:U123">IF($B$28=2,(B122+B60),"")</f>
      </c>
      <c r="C123" s="317">
        <f t="shared" si="23"/>
      </c>
      <c r="D123" s="317">
        <f t="shared" si="23"/>
      </c>
      <c r="E123" s="317">
        <f t="shared" si="23"/>
      </c>
      <c r="F123" s="317">
        <f t="shared" si="23"/>
      </c>
      <c r="G123" s="317">
        <f t="shared" si="23"/>
      </c>
      <c r="H123" s="317">
        <f t="shared" si="23"/>
      </c>
      <c r="I123" s="317">
        <f t="shared" si="23"/>
      </c>
      <c r="J123" s="317">
        <f t="shared" si="23"/>
      </c>
      <c r="K123" s="317">
        <f t="shared" si="23"/>
      </c>
      <c r="L123" s="317">
        <f t="shared" si="23"/>
      </c>
      <c r="M123" s="317">
        <f t="shared" si="23"/>
      </c>
      <c r="N123" s="317">
        <f t="shared" si="23"/>
      </c>
      <c r="O123" s="317">
        <f t="shared" si="23"/>
      </c>
      <c r="P123" s="317">
        <f t="shared" si="23"/>
      </c>
      <c r="Q123" s="317">
        <f t="shared" si="23"/>
      </c>
      <c r="R123" s="317">
        <f t="shared" si="23"/>
      </c>
      <c r="S123" s="317">
        <f t="shared" si="23"/>
      </c>
      <c r="T123" s="317">
        <f t="shared" si="23"/>
      </c>
      <c r="U123" s="318">
        <f t="shared" si="23"/>
      </c>
      <c r="V123" s="18"/>
    </row>
    <row r="124" spans="1:22" ht="12.75">
      <c r="A124" s="193" t="s">
        <v>805</v>
      </c>
      <c r="B124" s="322">
        <f>IF($B$28=2,B123+B122,"")</f>
      </c>
      <c r="C124" s="322">
        <f aca="true" t="shared" si="24" ref="C124:U124">IF($B$28=2,C123+C122,"")</f>
      </c>
      <c r="D124" s="322">
        <f t="shared" si="24"/>
      </c>
      <c r="E124" s="322">
        <f t="shared" si="24"/>
      </c>
      <c r="F124" s="322">
        <f t="shared" si="24"/>
      </c>
      <c r="G124" s="322">
        <f t="shared" si="24"/>
      </c>
      <c r="H124" s="322">
        <f t="shared" si="24"/>
      </c>
      <c r="I124" s="322">
        <f t="shared" si="24"/>
      </c>
      <c r="J124" s="322">
        <f t="shared" si="24"/>
      </c>
      <c r="K124" s="322">
        <f t="shared" si="24"/>
      </c>
      <c r="L124" s="322">
        <f t="shared" si="24"/>
      </c>
      <c r="M124" s="322">
        <f t="shared" si="24"/>
      </c>
      <c r="N124" s="322">
        <f t="shared" si="24"/>
      </c>
      <c r="O124" s="322">
        <f t="shared" si="24"/>
      </c>
      <c r="P124" s="322">
        <f t="shared" si="24"/>
      </c>
      <c r="Q124" s="322">
        <f t="shared" si="24"/>
      </c>
      <c r="R124" s="322">
        <f t="shared" si="24"/>
      </c>
      <c r="S124" s="322">
        <f t="shared" si="24"/>
      </c>
      <c r="T124" s="322">
        <f t="shared" si="24"/>
      </c>
      <c r="U124" s="324">
        <f t="shared" si="24"/>
      </c>
      <c r="V124" s="18"/>
    </row>
    <row r="125" spans="1:22" ht="13.5" thickBot="1">
      <c r="A125" s="194" t="s">
        <v>806</v>
      </c>
      <c r="B125" s="325" t="s">
        <v>472</v>
      </c>
      <c r="C125" s="325" t="s">
        <v>472</v>
      </c>
      <c r="D125" s="325" t="s">
        <v>472</v>
      </c>
      <c r="E125" s="325" t="s">
        <v>472</v>
      </c>
      <c r="F125" s="325" t="s">
        <v>472</v>
      </c>
      <c r="G125" s="325" t="s">
        <v>472</v>
      </c>
      <c r="H125" s="325" t="s">
        <v>472</v>
      </c>
      <c r="I125" s="325" t="s">
        <v>472</v>
      </c>
      <c r="J125" s="325" t="s">
        <v>472</v>
      </c>
      <c r="K125" s="325" t="s">
        <v>472</v>
      </c>
      <c r="L125" s="325" t="s">
        <v>472</v>
      </c>
      <c r="M125" s="325" t="s">
        <v>472</v>
      </c>
      <c r="N125" s="325" t="s">
        <v>472</v>
      </c>
      <c r="O125" s="325" t="s">
        <v>472</v>
      </c>
      <c r="P125" s="325" t="s">
        <v>472</v>
      </c>
      <c r="Q125" s="325" t="s">
        <v>472</v>
      </c>
      <c r="R125" s="325" t="s">
        <v>472</v>
      </c>
      <c r="S125" s="325" t="s">
        <v>472</v>
      </c>
      <c r="T125" s="325" t="s">
        <v>472</v>
      </c>
      <c r="U125" s="327" t="s">
        <v>472</v>
      </c>
      <c r="V125" s="18"/>
    </row>
    <row r="126" spans="2:22" ht="13.5" thickBot="1">
      <c r="B126" s="1"/>
      <c r="C126" s="1"/>
      <c r="D126" s="1"/>
      <c r="E126" s="1"/>
      <c r="F126" s="1"/>
      <c r="G126" s="1"/>
      <c r="H126" s="1"/>
      <c r="I126" s="1"/>
      <c r="J126" s="1"/>
      <c r="K126" s="1"/>
      <c r="L126" s="1"/>
      <c r="M126" s="1"/>
      <c r="N126" s="1"/>
      <c r="O126" s="1"/>
      <c r="P126" s="1"/>
      <c r="Q126" s="1"/>
      <c r="R126" s="1"/>
      <c r="S126" s="1"/>
      <c r="T126" s="1"/>
      <c r="U126" s="1"/>
      <c r="V126" s="18"/>
    </row>
    <row r="127" spans="1:22" ht="12.75">
      <c r="A127" s="200" t="s">
        <v>796</v>
      </c>
      <c r="B127" s="71"/>
      <c r="C127" s="71"/>
      <c r="D127" s="71"/>
      <c r="E127" s="71"/>
      <c r="F127" s="71"/>
      <c r="G127" s="71"/>
      <c r="H127" s="341"/>
      <c r="I127" s="341"/>
      <c r="J127" s="341"/>
      <c r="K127" s="341"/>
      <c r="L127" s="341"/>
      <c r="M127" s="71"/>
      <c r="N127" s="71"/>
      <c r="O127" s="71"/>
      <c r="P127" s="71"/>
      <c r="Q127" s="71"/>
      <c r="R127" s="71"/>
      <c r="S127" s="71"/>
      <c r="T127" s="71"/>
      <c r="U127" s="71"/>
      <c r="V127" s="18"/>
    </row>
    <row r="128" spans="2:22" ht="12.75">
      <c r="B128" s="1"/>
      <c r="C128" s="1"/>
      <c r="D128" s="1"/>
      <c r="E128" s="1"/>
      <c r="F128" s="1"/>
      <c r="G128" s="1"/>
      <c r="H128" s="1"/>
      <c r="I128" s="1"/>
      <c r="J128" s="1"/>
      <c r="K128" s="1"/>
      <c r="L128" s="1"/>
      <c r="M128" s="1"/>
      <c r="N128" s="1"/>
      <c r="O128" s="1"/>
      <c r="P128" s="1"/>
      <c r="Q128" s="1"/>
      <c r="R128" s="1"/>
      <c r="S128" s="1"/>
      <c r="T128" s="1"/>
      <c r="U128" s="1"/>
      <c r="V128" s="18"/>
    </row>
    <row r="129" spans="1:22" ht="13.5" thickBot="1">
      <c r="A129" s="9" t="s">
        <v>14</v>
      </c>
      <c r="J129" s="260"/>
      <c r="K129" s="1"/>
      <c r="L129" s="1"/>
      <c r="M129" s="1"/>
      <c r="N129" s="1"/>
      <c r="O129" s="1"/>
      <c r="P129" s="1"/>
      <c r="Q129" s="1"/>
      <c r="R129" s="1"/>
      <c r="S129" s="1"/>
      <c r="T129" s="1"/>
      <c r="U129" s="1"/>
      <c r="V129" s="1"/>
    </row>
    <row r="130" spans="1:22" ht="13.5" thickBot="1">
      <c r="A130" s="85"/>
      <c r="B130" s="1062" t="s">
        <v>299</v>
      </c>
      <c r="C130" s="1062"/>
      <c r="D130" s="1062"/>
      <c r="E130" s="1062"/>
      <c r="F130" s="1063"/>
      <c r="J130" s="14"/>
      <c r="K130" s="18"/>
      <c r="L130" s="18"/>
      <c r="M130" s="18"/>
      <c r="N130" s="18"/>
      <c r="O130" s="18"/>
      <c r="P130" s="18"/>
      <c r="Q130" s="18"/>
      <c r="R130" s="18"/>
      <c r="S130" s="18"/>
      <c r="T130" s="18"/>
      <c r="U130" s="18"/>
      <c r="V130" s="18"/>
    </row>
    <row r="131" spans="1:22" ht="12.75">
      <c r="A131" s="146" t="s">
        <v>573</v>
      </c>
      <c r="B131" s="12" t="s">
        <v>566</v>
      </c>
      <c r="C131" s="62" t="s">
        <v>567</v>
      </c>
      <c r="D131" s="62" t="s">
        <v>568</v>
      </c>
      <c r="E131" s="62" t="s">
        <v>569</v>
      </c>
      <c r="F131" s="64" t="s">
        <v>570</v>
      </c>
      <c r="J131" s="14"/>
      <c r="K131" s="18"/>
      <c r="L131" s="18"/>
      <c r="M131" s="18"/>
      <c r="N131" s="18"/>
      <c r="O131" s="18"/>
      <c r="P131" s="18"/>
      <c r="Q131" s="18"/>
      <c r="R131" s="18"/>
      <c r="S131" s="18"/>
      <c r="T131" s="18"/>
      <c r="U131" s="18"/>
      <c r="V131" s="18"/>
    </row>
    <row r="132" spans="1:22" ht="12.75">
      <c r="A132" s="87" t="str">
        <f>'Farm Model Assumptions'!A57</f>
        <v>RS Paddy</v>
      </c>
      <c r="B132" s="107">
        <f>IF($B$107=1,'Farm Model Assumptions'!D90*'Farm Model Assumptions'!B39*'Farm Model Assumptions'!$A$10,IF($B$107=2,('Farm Model Assumptions'!D90*'Farm Model Assumptions'!$A$10),0))</f>
        <v>2702.7</v>
      </c>
      <c r="C132" s="117">
        <f>IF($B$107=1,'Farm Model Assumptions'!E90*'Farm Model Assumptions'!C39*'Farm Model Assumptions'!$A$10,IF($B$107=2,('Farm Model Assumptions'!E90*'Farm Model Assumptions'!$A$10),0))</f>
        <v>3057.2499999999995</v>
      </c>
      <c r="D132" s="117">
        <f>IF($B$107=1,'Farm Model Assumptions'!F90*'Farm Model Assumptions'!D39*'Farm Model Assumptions'!$A$10,IF($B$107=2,('Farm Model Assumptions'!F90*'Farm Model Assumptions'!$A$10),0))</f>
        <v>3422.6499999999996</v>
      </c>
      <c r="E132" s="117">
        <f>IF($B$107=1,'Farm Model Assumptions'!G90*'Farm Model Assumptions'!E39*'Farm Model Assumptions'!$A$10,IF($B$107=2,('Farm Model Assumptions'!G90*'Farm Model Assumptions'!$A$10),0))</f>
        <v>3798.9000000000005</v>
      </c>
      <c r="F132" s="123">
        <f>IF($B$107=1,'Farm Model Assumptions'!H90*'Farm Model Assumptions'!F39*'Farm Model Assumptions'!$A$10,IF($B$107=2,('Farm Model Assumptions'!H90*'Farm Model Assumptions'!$A$10),0))</f>
        <v>3864.0000000000005</v>
      </c>
      <c r="M132" s="21"/>
      <c r="N132" s="21"/>
      <c r="O132" s="21"/>
      <c r="P132" s="21"/>
      <c r="Q132" s="21"/>
      <c r="R132" s="21"/>
      <c r="S132" s="21"/>
      <c r="T132" s="21"/>
      <c r="U132" s="21"/>
      <c r="V132" s="21"/>
    </row>
    <row r="133" spans="1:22" ht="12.75">
      <c r="A133" s="87" t="str">
        <f>'Farm Model Assumptions'!A58</f>
        <v>DS Wheat</v>
      </c>
      <c r="B133" s="107">
        <f>IF($B$107=1,'Farm Model Assumptions'!D91*'Farm Model Assumptions'!B40*'Farm Model Assumptions'!$A$10,0)</f>
        <v>0</v>
      </c>
      <c r="C133" s="117">
        <f>IF($B$107=1,'Farm Model Assumptions'!E91*'Farm Model Assumptions'!C40*'Farm Model Assumptions'!$A$10,0)</f>
        <v>0</v>
      </c>
      <c r="D133" s="117">
        <f>IF($B$107=1,'Farm Model Assumptions'!F91*'Farm Model Assumptions'!D40*'Farm Model Assumptions'!$A$10,0)</f>
        <v>0</v>
      </c>
      <c r="E133" s="117">
        <f>IF($B$107=1,'Farm Model Assumptions'!G91*'Farm Model Assumptions'!E40*'Farm Model Assumptions'!$A$10,0)</f>
        <v>0</v>
      </c>
      <c r="F133" s="123">
        <f>IF($B$107=1,'Farm Model Assumptions'!H91*'Farm Model Assumptions'!F40*'Farm Model Assumptions'!$A$10,0)</f>
        <v>0</v>
      </c>
      <c r="J133" s="14"/>
      <c r="K133" s="18"/>
      <c r="L133" s="18"/>
      <c r="M133" s="18"/>
      <c r="N133" s="18"/>
      <c r="O133" s="18"/>
      <c r="P133" s="18"/>
      <c r="Q133" s="18"/>
      <c r="R133" s="18"/>
      <c r="S133" s="18"/>
      <c r="T133" s="18"/>
      <c r="U133" s="18"/>
      <c r="V133" s="18"/>
    </row>
    <row r="134" spans="1:22" ht="12.75">
      <c r="A134" s="87" t="str">
        <f>'Farm Model Assumptions'!A59</f>
        <v>RS Maize</v>
      </c>
      <c r="B134" s="107">
        <f>IF($B$107=1,'Farm Model Assumptions'!D92*'Farm Model Assumptions'!B41*'Farm Model Assumptions'!$A$10,0)</f>
        <v>243.2</v>
      </c>
      <c r="C134" s="117">
        <f>IF($B$107=1,'Farm Model Assumptions'!E92*'Farm Model Assumptions'!C41*'Farm Model Assumptions'!$A$10,0)</f>
        <v>268.8</v>
      </c>
      <c r="D134" s="117">
        <f>IF($B$107=1,'Farm Model Assumptions'!F92*'Farm Model Assumptions'!D41*'Farm Model Assumptions'!$A$10,0)</f>
        <v>288</v>
      </c>
      <c r="E134" s="117">
        <f>IF($B$107=1,'Farm Model Assumptions'!G92*'Farm Model Assumptions'!E41*'Farm Model Assumptions'!$A$10,0)</f>
        <v>307.2</v>
      </c>
      <c r="F134" s="123">
        <f>IF($B$107=1,'Farm Model Assumptions'!H92*'Farm Model Assumptions'!F41*'Farm Model Assumptions'!$A$10,0)</f>
        <v>320</v>
      </c>
      <c r="J134" s="261"/>
      <c r="K134" s="262"/>
      <c r="L134" s="262"/>
      <c r="M134" s="262"/>
      <c r="N134" s="262"/>
      <c r="O134" s="262"/>
      <c r="P134" s="262"/>
      <c r="Q134" s="262"/>
      <c r="R134" s="262"/>
      <c r="S134" s="262"/>
      <c r="T134" s="262"/>
      <c r="U134" s="262"/>
      <c r="V134" s="262"/>
    </row>
    <row r="135" spans="1:6" ht="12.75">
      <c r="A135" s="87" t="str">
        <f>'Farm Model Assumptions'!A60</f>
        <v>DS Paddy</v>
      </c>
      <c r="B135" s="107">
        <f>IF($B$107=1,'Farm Model Assumptions'!D93*'Farm Model Assumptions'!B42*'Farm Model Assumptions'!$A$10,0)</f>
        <v>280</v>
      </c>
      <c r="C135" s="117">
        <f>IF($B$107=1,'Farm Model Assumptions'!E93*'Farm Model Assumptions'!C42*'Farm Model Assumptions'!$A$10,0)</f>
        <v>236.25000000000003</v>
      </c>
      <c r="D135" s="117">
        <f>IF($B$107=1,'Farm Model Assumptions'!F93*'Farm Model Assumptions'!D42*'Farm Model Assumptions'!$A$10,0)</f>
        <v>175.00000000000003</v>
      </c>
      <c r="E135" s="117">
        <f>IF($B$107=1,'Farm Model Assumptions'!G93*'Farm Model Assumptions'!E42*'Farm Model Assumptions'!$A$10,0)</f>
        <v>87.50000000000003</v>
      </c>
      <c r="F135" s="123">
        <f>IF($B$107=1,'Farm Model Assumptions'!H93*'Farm Model Assumptions'!F42*'Farm Model Assumptions'!$A$10,0)</f>
        <v>0</v>
      </c>
    </row>
    <row r="136" spans="1:6" ht="12.75">
      <c r="A136" s="87" t="str">
        <f>'Farm Model Assumptions'!A61</f>
        <v>DS Maize</v>
      </c>
      <c r="B136" s="107">
        <f>IF($B$107=1,'Farm Model Assumptions'!D94*'Farm Model Assumptions'!B43*'Farm Model Assumptions'!$A$10,0)</f>
        <v>51.03128740349368</v>
      </c>
      <c r="C136" s="117">
        <f>IF($B$107=1,'Farm Model Assumptions'!E94*'Farm Model Assumptions'!C43*'Farm Model Assumptions'!$A$10,0)</f>
        <v>62.8616029481784</v>
      </c>
      <c r="D136" s="117">
        <f>IF($B$107=1,'Farm Model Assumptions'!F94*'Farm Model Assumptions'!D43*'Farm Model Assumptions'!$A$10,0)</f>
        <v>77.89719076150394</v>
      </c>
      <c r="E136" s="117">
        <f>IF($B$107=1,'Farm Model Assumptions'!G94*'Farm Model Assumptions'!E43*'Farm Model Assumptions'!$A$10,0)</f>
        <v>92.34464117927133</v>
      </c>
      <c r="F136" s="123">
        <f>IF($B$107=1,'Farm Model Assumptions'!H94*'Farm Model Assumptions'!F43*'Farm Model Assumptions'!$A$10,0)</f>
        <v>107.99999999999999</v>
      </c>
    </row>
    <row r="137" spans="1:6" ht="12.75">
      <c r="A137" s="87" t="str">
        <f>'Farm Model Assumptions'!A62</f>
        <v>Shallots (DS)</v>
      </c>
      <c r="B137" s="107">
        <f>IF($B$107=1,'Farm Model Assumptions'!D95*'Farm Model Assumptions'!B44*'Farm Model Assumptions'!$A$10,0)</f>
        <v>562.5</v>
      </c>
      <c r="C137" s="117">
        <f>IF($B$107=1,'Farm Model Assumptions'!E95*'Farm Model Assumptions'!C44*'Farm Model Assumptions'!$A$10,0)</f>
        <v>877.5</v>
      </c>
      <c r="D137" s="117">
        <f>IF($B$107=1,'Farm Model Assumptions'!F95*'Farm Model Assumptions'!D44*'Farm Model Assumptions'!$A$10,0)</f>
        <v>1215</v>
      </c>
      <c r="E137" s="117">
        <f>IF($B$107=1,'Farm Model Assumptions'!G95*'Farm Model Assumptions'!E44*'Farm Model Assumptions'!$A$10,0)</f>
        <v>1575</v>
      </c>
      <c r="F137" s="123">
        <f>IF($B$107=1,'Farm Model Assumptions'!H95*'Farm Model Assumptions'!F44*'Farm Model Assumptions'!$A$10,0)</f>
        <v>2025</v>
      </c>
    </row>
    <row r="138" spans="1:6" ht="12.75">
      <c r="A138" s="87" t="str">
        <f>'Farm Model Assumptions'!A63</f>
        <v>Potato (DS)</v>
      </c>
      <c r="B138" s="107">
        <f>IF($B$107=1,'Farm Model Assumptions'!D96*'Farm Model Assumptions'!B45*'Farm Model Assumptions'!$A$10,0)</f>
        <v>360</v>
      </c>
      <c r="C138" s="117">
        <f>IF($B$107=1,'Farm Model Assumptions'!E96*'Farm Model Assumptions'!C45*'Farm Model Assumptions'!$A$10,0)</f>
        <v>330</v>
      </c>
      <c r="D138" s="117">
        <f>IF($B$107=1,'Farm Model Assumptions'!F96*'Farm Model Assumptions'!D45*'Farm Model Assumptions'!$A$10,0)</f>
        <v>259.99999999999994</v>
      </c>
      <c r="E138" s="117">
        <f>IF($B$107=1,'Farm Model Assumptions'!G96*'Farm Model Assumptions'!E45*'Farm Model Assumptions'!$A$10,0)</f>
        <v>149.99999999999994</v>
      </c>
      <c r="F138" s="123">
        <f>IF($B$107=1,'Farm Model Assumptions'!H96*'Farm Model Assumptions'!F45*'Farm Model Assumptions'!$A$10,0)</f>
        <v>0</v>
      </c>
    </row>
    <row r="139" spans="1:6" ht="12.75">
      <c r="A139" s="87" t="str">
        <f>'Farm Model Assumptions'!A64</f>
        <v>Tomato (DS)</v>
      </c>
      <c r="B139" s="107">
        <f>IF($B$107=1,'Farm Model Assumptions'!D97*'Farm Model Assumptions'!B46*'Farm Model Assumptions'!$A$10,0)</f>
        <v>26.999999999999996</v>
      </c>
      <c r="C139" s="117">
        <f>IF($B$107=1,'Farm Model Assumptions'!E97*'Farm Model Assumptions'!C46*'Farm Model Assumptions'!$A$10,0)</f>
        <v>49.875</v>
      </c>
      <c r="D139" s="117">
        <f>IF($B$107=1,'Farm Model Assumptions'!F97*'Farm Model Assumptions'!D46*'Farm Model Assumptions'!$A$10,0)</f>
        <v>75</v>
      </c>
      <c r="E139" s="117">
        <f>IF($B$107=1,'Farm Model Assumptions'!G97*'Farm Model Assumptions'!E46*'Farm Model Assumptions'!$A$10,0)</f>
        <v>107.25</v>
      </c>
      <c r="F139" s="123">
        <f>IF($B$107=1,'Farm Model Assumptions'!H97*'Farm Model Assumptions'!F46*'Farm Model Assumptions'!$A$10,0)</f>
        <v>144</v>
      </c>
    </row>
    <row r="140" spans="1:6" ht="13.5" thickBot="1">
      <c r="A140" s="87" t="str">
        <f>'Farm Model Assumptions'!A65</f>
        <v>Niebe Forage (DS)</v>
      </c>
      <c r="B140" s="107">
        <f>IF($B$107=1,'Farm Model Assumptions'!D99*'Farm Model Assumptions'!B47*'Farm Model Assumptions'!$A$10,0)</f>
        <v>18.75</v>
      </c>
      <c r="C140" s="117">
        <f>IF($B$107=1,'Farm Model Assumptions'!E99*'Farm Model Assumptions'!C47*'Farm Model Assumptions'!$A$10,0)</f>
        <v>18.750000000000004</v>
      </c>
      <c r="D140" s="117">
        <f>IF($B$107=1,'Farm Model Assumptions'!F99*'Farm Model Assumptions'!D47*'Farm Model Assumptions'!$A$10,0)</f>
        <v>15.625000000000002</v>
      </c>
      <c r="E140" s="117">
        <f>IF($B$107=1,'Farm Model Assumptions'!G99*'Farm Model Assumptions'!E47*'Farm Model Assumptions'!$A$10,0)</f>
        <v>7.812500000000002</v>
      </c>
      <c r="F140" s="123">
        <f>IF($B$107=1,'Farm Model Assumptions'!H99*'Farm Model Assumptions'!F47*'Farm Model Assumptions'!$A$10,0)</f>
        <v>0</v>
      </c>
    </row>
    <row r="141" spans="1:6" ht="13.5" thickBot="1">
      <c r="A141" s="84" t="s">
        <v>725</v>
      </c>
      <c r="B141" s="109">
        <f>SUM(B132:B140)</f>
        <v>4245.181287403493</v>
      </c>
      <c r="C141" s="185">
        <f>SUM(C132:C140)</f>
        <v>4901.2866029481775</v>
      </c>
      <c r="D141" s="185">
        <f>SUM(D132:D140)</f>
        <v>5529.172190761504</v>
      </c>
      <c r="E141" s="185">
        <f>SUM(E132:E140)</f>
        <v>6126.0071411792715</v>
      </c>
      <c r="F141" s="127">
        <f>SUM(F132:F140)</f>
        <v>6461</v>
      </c>
    </row>
    <row r="143" spans="1:6" ht="13.5" thickBot="1">
      <c r="A143" s="9" t="s">
        <v>15</v>
      </c>
      <c r="B143" s="257"/>
      <c r="C143" s="257"/>
      <c r="D143" s="257"/>
      <c r="E143" s="257"/>
      <c r="F143" s="257"/>
    </row>
    <row r="144" spans="1:6" ht="13.5" thickBot="1">
      <c r="A144" s="85"/>
      <c r="B144" s="1062" t="s">
        <v>300</v>
      </c>
      <c r="C144" s="1062"/>
      <c r="D144" s="1062"/>
      <c r="E144" s="1062"/>
      <c r="F144" s="1063"/>
    </row>
    <row r="145" spans="1:6" ht="12.75">
      <c r="A145" s="146" t="s">
        <v>573</v>
      </c>
      <c r="B145" s="12" t="s">
        <v>566</v>
      </c>
      <c r="C145" s="62" t="s">
        <v>567</v>
      </c>
      <c r="D145" s="62" t="s">
        <v>568</v>
      </c>
      <c r="E145" s="62" t="s">
        <v>569</v>
      </c>
      <c r="F145" s="64" t="s">
        <v>570</v>
      </c>
    </row>
    <row r="146" spans="1:6" ht="12.75">
      <c r="A146" s="87" t="str">
        <f>'Farm Model Assumptions'!A57</f>
        <v>RS Paddy</v>
      </c>
      <c r="B146" s="107">
        <f>IF($B$107=1,('Farm Model Assumptions'!$C90*'Farm Model Assumptions'!B39*'Farm Model Assumptions'!$A$10),IF($B$107=2,('Farm Model Assumptions'!$C90*'Farm Model Assumptions'!$A$10),0))</f>
        <v>1505.79</v>
      </c>
      <c r="C146" s="107">
        <f>IF($B$107=1,('Farm Model Assumptions'!$C90*'Farm Model Assumptions'!C39*'Farm Model Assumptions'!$A$10),IF($B$107=2,('Farm Model Assumptions'!$C90*'Farm Model Assumptions'!$A$10),0))</f>
        <v>1532.9925</v>
      </c>
      <c r="D146" s="117">
        <f>IF($B$107=1,('Farm Model Assumptions'!$C90*'Farm Model Assumptions'!D39*'Farm Model Assumptions'!$A$10),IF($B$107=2,('Farm Model Assumptions'!$C90*'Farm Model Assumptions'!$A$10),0))</f>
        <v>1560.195</v>
      </c>
      <c r="E146" s="117">
        <f>IF($B$107=1,('Farm Model Assumptions'!$C90*'Farm Model Assumptions'!E39*'Farm Model Assumptions'!$A$10),IF($B$107=2,('Farm Model Assumptions'!$C90*'Farm Model Assumptions'!$A$10),0))</f>
        <v>1587.3975</v>
      </c>
      <c r="F146" s="123">
        <f>IF($B$107=1,('Farm Model Assumptions'!$C90*'Farm Model Assumptions'!F39*'Farm Model Assumptions'!$A$10),IF($B$107=2,('Farm Model Assumptions'!$C90*'Farm Model Assumptions'!$A$10),0))</f>
        <v>1614.6000000000001</v>
      </c>
    </row>
    <row r="147" spans="1:6" ht="12.75">
      <c r="A147" s="87" t="str">
        <f>'Farm Model Assumptions'!A58</f>
        <v>DS Wheat</v>
      </c>
      <c r="B147" s="107">
        <f>IF($B$107=1,('Farm Model Assumptions'!$C91*'Farm Model Assumptions'!B40*'Farm Model Assumptions'!$A$10),0)</f>
        <v>0</v>
      </c>
      <c r="C147" s="107">
        <f>IF($B$107=1,('Farm Model Assumptions'!$C91*'Farm Model Assumptions'!C40*'Farm Model Assumptions'!$A$10),0)</f>
        <v>0</v>
      </c>
      <c r="D147" s="117">
        <f>IF($B$107=1,('Farm Model Assumptions'!$C91*'Farm Model Assumptions'!D40*'Farm Model Assumptions'!$A$10),0)</f>
        <v>0</v>
      </c>
      <c r="E147" s="117">
        <f>IF($B$107=1,('Farm Model Assumptions'!$C91*'Farm Model Assumptions'!E40*'Farm Model Assumptions'!$A$10),0)</f>
        <v>0</v>
      </c>
      <c r="F147" s="123">
        <f>IF($B$107=1,('Farm Model Assumptions'!$C91*'Farm Model Assumptions'!F40*'Farm Model Assumptions'!$A$10),0)</f>
        <v>0</v>
      </c>
    </row>
    <row r="148" spans="1:6" ht="12.75">
      <c r="A148" s="87" t="str">
        <f>'Farm Model Assumptions'!A59</f>
        <v>RS Maize</v>
      </c>
      <c r="B148" s="107">
        <f>IF($B$107=1,('Farm Model Assumptions'!$C92*'Farm Model Assumptions'!B41*'Farm Model Assumptions'!$A$10),0)</f>
        <v>77.2</v>
      </c>
      <c r="C148" s="107">
        <f>IF($B$107=1,('Farm Model Assumptions'!$C92*'Farm Model Assumptions'!C41*'Farm Model Assumptions'!$A$10),0)</f>
        <v>77.2</v>
      </c>
      <c r="D148" s="117">
        <f>IF($B$107=1,('Farm Model Assumptions'!$C92*'Farm Model Assumptions'!D41*'Farm Model Assumptions'!$A$10),0)</f>
        <v>77.2</v>
      </c>
      <c r="E148" s="117">
        <f>IF($B$107=1,('Farm Model Assumptions'!$C92*'Farm Model Assumptions'!E41*'Farm Model Assumptions'!$A$10),0)</f>
        <v>77.2</v>
      </c>
      <c r="F148" s="123">
        <f>IF($B$107=1,('Farm Model Assumptions'!$C92*'Farm Model Assumptions'!F41*'Farm Model Assumptions'!$A$10),0)</f>
        <v>77.2</v>
      </c>
    </row>
    <row r="149" spans="1:6" ht="12.75">
      <c r="A149" s="87" t="str">
        <f>'Farm Model Assumptions'!A60</f>
        <v>DS Paddy</v>
      </c>
      <c r="B149" s="107">
        <f>IF($B$107=1,('Farm Model Assumptions'!$C93*'Farm Model Assumptions'!B42*'Farm Model Assumptions'!$A$10),0)</f>
        <v>113.50000000000001</v>
      </c>
      <c r="C149" s="107">
        <f>IF($B$107=1,('Farm Model Assumptions'!$C93*'Farm Model Assumptions'!C42*'Farm Model Assumptions'!$A$10),0)</f>
        <v>85.12500000000001</v>
      </c>
      <c r="D149" s="117">
        <f>IF($B$107=1,('Farm Model Assumptions'!$C93*'Farm Model Assumptions'!D42*'Farm Model Assumptions'!$A$10),0)</f>
        <v>56.75000000000001</v>
      </c>
      <c r="E149" s="117">
        <f>IF($B$107=1,('Farm Model Assumptions'!$C93*'Farm Model Assumptions'!E42*'Farm Model Assumptions'!$A$10),0)</f>
        <v>28.375000000000007</v>
      </c>
      <c r="F149" s="123">
        <f>IF($B$107=1,('Farm Model Assumptions'!$C93*'Farm Model Assumptions'!F42*'Farm Model Assumptions'!$A$10),0)</f>
        <v>0</v>
      </c>
    </row>
    <row r="150" spans="1:6" ht="12.75">
      <c r="A150" s="87" t="str">
        <f>'Farm Model Assumptions'!A61</f>
        <v>DS Maize</v>
      </c>
      <c r="B150" s="107">
        <f>IF($B$107=1,('Farm Model Assumptions'!$C94*'Farm Model Assumptions'!B43*'Farm Model Assumptions'!$A$10),0)</f>
        <v>19.236403259520078</v>
      </c>
      <c r="C150" s="107">
        <f>IF($B$107=1,('Farm Model Assumptions'!$C94*'Farm Model Assumptions'!C43*'Farm Model Assumptions'!$A$10),0)</f>
        <v>21.664802444640053</v>
      </c>
      <c r="D150" s="117">
        <f>IF($B$107=1,('Farm Model Assumptions'!$C94*'Farm Model Assumptions'!D43*'Farm Model Assumptions'!$A$10),0)</f>
        <v>24.093201629760035</v>
      </c>
      <c r="E150" s="117">
        <f>IF($B$107=1,('Farm Model Assumptions'!$C94*'Farm Model Assumptions'!E43*'Farm Model Assumptions'!$A$10),0)</f>
        <v>26.521600814880017</v>
      </c>
      <c r="F150" s="123">
        <f>IF($B$107=1,('Farm Model Assumptions'!$C94*'Farm Model Assumptions'!F43*'Farm Model Assumptions'!$A$10),0)</f>
        <v>28.95</v>
      </c>
    </row>
    <row r="151" spans="1:6" ht="12.75">
      <c r="A151" s="87" t="str">
        <f>'Farm Model Assumptions'!A62</f>
        <v>Shallots (DS)</v>
      </c>
      <c r="B151" s="107">
        <f>IF($B$107=1,('Farm Model Assumptions'!$C95*'Farm Model Assumptions'!B44*'Farm Model Assumptions'!$A$10),0)</f>
        <v>142.79999999999998</v>
      </c>
      <c r="C151" s="107">
        <f>IF($B$107=1,('Farm Model Assumptions'!$C95*'Farm Model Assumptions'!C44*'Farm Model Assumptions'!$A$10),0)</f>
        <v>214.2</v>
      </c>
      <c r="D151" s="117">
        <f>IF($B$107=1,('Farm Model Assumptions'!$C95*'Farm Model Assumptions'!D44*'Farm Model Assumptions'!$A$10),0)</f>
        <v>285.59999999999997</v>
      </c>
      <c r="E151" s="117">
        <f>IF($B$107=1,('Farm Model Assumptions'!$C95*'Farm Model Assumptions'!E44*'Farm Model Assumptions'!$A$10),0)</f>
        <v>356.99999999999994</v>
      </c>
      <c r="F151" s="123">
        <f>IF($B$107=1,('Farm Model Assumptions'!$C95*'Farm Model Assumptions'!F44*'Farm Model Assumptions'!$A$10),0)</f>
        <v>428.4</v>
      </c>
    </row>
    <row r="152" spans="1:6" ht="12.75">
      <c r="A152" s="87" t="str">
        <f>'Farm Model Assumptions'!A63</f>
        <v>Potato (DS)</v>
      </c>
      <c r="B152" s="107">
        <f>IF($B$107=1,('Farm Model Assumptions'!$C96*'Farm Model Assumptions'!B45*'Farm Model Assumptions'!$A$10),0)</f>
        <v>191.9</v>
      </c>
      <c r="C152" s="107">
        <f>IF($B$107=1,('Farm Model Assumptions'!$C96*'Farm Model Assumptions'!C45*'Farm Model Assumptions'!$A$10),0)</f>
        <v>143.925</v>
      </c>
      <c r="D152" s="117">
        <f>IF($B$107=1,('Farm Model Assumptions'!$C96*'Farm Model Assumptions'!D45*'Farm Model Assumptions'!$A$10),0)</f>
        <v>95.94999999999999</v>
      </c>
      <c r="E152" s="117">
        <f>IF($B$107=1,('Farm Model Assumptions'!$C96*'Farm Model Assumptions'!E45*'Farm Model Assumptions'!$A$10),0)</f>
        <v>47.97499999999999</v>
      </c>
      <c r="F152" s="123">
        <f>IF($B$107=1,('Farm Model Assumptions'!$C96*'Farm Model Assumptions'!F45*'Farm Model Assumptions'!$A$10),0)</f>
        <v>0</v>
      </c>
    </row>
    <row r="153" spans="1:6" ht="12.75">
      <c r="A153" s="87" t="str">
        <f>'Farm Model Assumptions'!A64</f>
        <v>Tomato (DS)</v>
      </c>
      <c r="B153" s="107">
        <f>IF($B$107=1,('Farm Model Assumptions'!$C97*'Farm Model Assumptions'!B46*'Farm Model Assumptions'!$A$10),0)</f>
        <v>22.1625</v>
      </c>
      <c r="C153" s="107">
        <f>IF($B$107=1,('Farm Model Assumptions'!$C97*'Farm Model Assumptions'!C46*'Farm Model Assumptions'!$A$10),0)</f>
        <v>38.784375</v>
      </c>
      <c r="D153" s="117">
        <f>IF($B$107=1,('Farm Model Assumptions'!$C97*'Farm Model Assumptions'!D46*'Farm Model Assumptions'!$A$10),0)</f>
        <v>55.40624999999999</v>
      </c>
      <c r="E153" s="117">
        <f>IF($B$107=1,('Farm Model Assumptions'!$C97*'Farm Model Assumptions'!E46*'Farm Model Assumptions'!$A$10),0)</f>
        <v>72.028125</v>
      </c>
      <c r="F153" s="123">
        <f>IF($B$107=1,('Farm Model Assumptions'!$C97*'Farm Model Assumptions'!F46*'Farm Model Assumptions'!$A$10),0)</f>
        <v>88.65</v>
      </c>
    </row>
    <row r="154" spans="1:6" ht="13.5" thickBot="1">
      <c r="A154" s="87" t="str">
        <f>'Farm Model Assumptions'!A65</f>
        <v>Niebe Forage (DS)</v>
      </c>
      <c r="B154" s="107">
        <f>IF($B$107=1,('Farm Model Assumptions'!$C99*'Farm Model Assumptions'!B47*'Farm Model Assumptions'!$A$10),0)</f>
        <v>6.062500000000001</v>
      </c>
      <c r="C154" s="107">
        <f>IF($B$107=1,('Farm Model Assumptions'!$C99*'Farm Model Assumptions'!C47*'Farm Model Assumptions'!$A$10),0)</f>
        <v>4.546875000000001</v>
      </c>
      <c r="D154" s="117">
        <f>IF($B$107=1,('Farm Model Assumptions'!$C99*'Farm Model Assumptions'!D47*'Farm Model Assumptions'!$A$10),0)</f>
        <v>3.0312500000000004</v>
      </c>
      <c r="E154" s="117">
        <f>IF($B$107=1,('Farm Model Assumptions'!$C99*'Farm Model Assumptions'!E47*'Farm Model Assumptions'!$A$10),0)</f>
        <v>1.5156250000000004</v>
      </c>
      <c r="F154" s="123">
        <f>IF($B$107=1,('Farm Model Assumptions'!$C99*'Farm Model Assumptions'!F47*'Farm Model Assumptions'!$A$10),0)</f>
        <v>0</v>
      </c>
    </row>
    <row r="155" spans="1:6" ht="13.5" thickBot="1">
      <c r="A155" s="84" t="s">
        <v>794</v>
      </c>
      <c r="B155" s="109">
        <f>SUM(B146:B154)</f>
        <v>2078.65140325952</v>
      </c>
      <c r="C155" s="185">
        <f>SUM(C146:C154)</f>
        <v>2118.4385524446407</v>
      </c>
      <c r="D155" s="185">
        <f>SUM(D146:D154)</f>
        <v>2158.22570162976</v>
      </c>
      <c r="E155" s="185">
        <f>SUM(E146:E154)</f>
        <v>2198.0128508148796</v>
      </c>
      <c r="F155" s="127">
        <f>SUM(F146:F154)</f>
        <v>2237.8</v>
      </c>
    </row>
    <row r="156" spans="1:6" ht="13.5" thickBot="1">
      <c r="A156" s="84" t="s">
        <v>795</v>
      </c>
      <c r="B156" s="109">
        <f>B155*1000</f>
        <v>2078651.40325952</v>
      </c>
      <c r="C156" s="185">
        <f>C155*1000</f>
        <v>2118438.5524446405</v>
      </c>
      <c r="D156" s="185">
        <f>D155*1000</f>
        <v>2158225.7016297597</v>
      </c>
      <c r="E156" s="185">
        <f>E155*1000</f>
        <v>2198012.8508148794</v>
      </c>
      <c r="F156" s="127">
        <f>F155*1000</f>
        <v>2237800</v>
      </c>
    </row>
    <row r="158" ht="13.5" thickBot="1">
      <c r="A158" s="9" t="s">
        <v>16</v>
      </c>
    </row>
    <row r="159" spans="1:6" ht="13.5" thickBot="1">
      <c r="A159" s="85"/>
      <c r="B159" s="1062" t="s">
        <v>344</v>
      </c>
      <c r="C159" s="1062"/>
      <c r="D159" s="1062"/>
      <c r="E159" s="1062"/>
      <c r="F159" s="1063"/>
    </row>
    <row r="160" spans="1:6" ht="12.75">
      <c r="A160" s="146" t="s">
        <v>573</v>
      </c>
      <c r="B160" s="12" t="s">
        <v>566</v>
      </c>
      <c r="C160" s="62" t="s">
        <v>567</v>
      </c>
      <c r="D160" s="62" t="s">
        <v>568</v>
      </c>
      <c r="E160" s="62" t="s">
        <v>569</v>
      </c>
      <c r="F160" s="64" t="s">
        <v>570</v>
      </c>
    </row>
    <row r="161" spans="1:6" ht="12.75">
      <c r="A161" s="87" t="str">
        <f>'Farm Model Assumptions'!A57</f>
        <v>RS Paddy</v>
      </c>
      <c r="B161" s="107">
        <f>IF($B$107=1,('Farm Model Assumptions'!I90*'Farm Model Assumptions'!B39*'Farm Model Assumptions'!$A$10),IF($B$107=2,('Farm Model Assumptions'!I90*'Farm Model Assumptions'!$A$10),""))</f>
        <v>1196.91</v>
      </c>
      <c r="C161" s="107">
        <f>IF($B$107=1,('Farm Model Assumptions'!J90*'Farm Model Assumptions'!C39*'Farm Model Assumptions'!$A$10),IF($B$107=2,('Farm Model Assumptions'!J90*'Farm Model Assumptions'!$A$10),""))</f>
        <v>1524.2575</v>
      </c>
      <c r="D161" s="117">
        <f>IF($B$107=1,('Farm Model Assumptions'!K90*'Farm Model Assumptions'!D39*'Farm Model Assumptions'!$A$10),IF($B$107=2,('Farm Model Assumptions'!K90*'Farm Model Assumptions'!$A$10),""))</f>
        <v>1862.455</v>
      </c>
      <c r="E161" s="117">
        <f>IF($B$107=1,('Farm Model Assumptions'!L90*'Farm Model Assumptions'!E39*'Farm Model Assumptions'!$A$10),IF($B$107=2,('Farm Model Assumptions'!L90*'Farm Model Assumptions'!$A$10),""))</f>
        <v>2211.5025000000005</v>
      </c>
      <c r="F161" s="123">
        <f>IF($B$107=1,('Farm Model Assumptions'!M90*'Farm Model Assumptions'!F39*'Farm Model Assumptions'!$A$10),IF($B$107=2,('Farm Model Assumptions'!M90*'Farm Model Assumptions'!$A$10),""))</f>
        <v>2249.4</v>
      </c>
    </row>
    <row r="162" spans="1:6" ht="12.75">
      <c r="A162" s="87" t="str">
        <f>'Farm Model Assumptions'!A58</f>
        <v>DS Wheat</v>
      </c>
      <c r="B162" s="107">
        <f>IF($B$107=1,('Farm Model Assumptions'!I91*'Farm Model Assumptions'!B40*'Farm Model Assumptions'!$A$10),"")</f>
        <v>0</v>
      </c>
      <c r="C162" s="107">
        <f>IF($B$107=1,('Farm Model Assumptions'!J91*'Farm Model Assumptions'!C40*'Farm Model Assumptions'!$A$10),"")</f>
        <v>0</v>
      </c>
      <c r="D162" s="117">
        <f>IF($B$107=1,('Farm Model Assumptions'!K91*'Farm Model Assumptions'!D40*'Farm Model Assumptions'!$A$10),"")</f>
        <v>0</v>
      </c>
      <c r="E162" s="117">
        <f>IF($B$107=1,('Farm Model Assumptions'!L91*'Farm Model Assumptions'!E40*'Farm Model Assumptions'!$A$10),"")</f>
        <v>0</v>
      </c>
      <c r="F162" s="123">
        <f>IF($B$107=1,('Farm Model Assumptions'!M91*'Farm Model Assumptions'!F40*'Farm Model Assumptions'!$A$10),"")</f>
        <v>0</v>
      </c>
    </row>
    <row r="163" spans="1:6" ht="12.75">
      <c r="A163" s="87" t="str">
        <f>'Farm Model Assumptions'!A59</f>
        <v>RS Maize</v>
      </c>
      <c r="B163" s="107">
        <f>IF($B$107=1,('Farm Model Assumptions'!I92*'Farm Model Assumptions'!B41*'Farm Model Assumptions'!$A$10),"")</f>
        <v>166</v>
      </c>
      <c r="C163" s="107">
        <f>IF($B$107=1,('Farm Model Assumptions'!J92*'Farm Model Assumptions'!C41*'Farm Model Assumptions'!$A$10),"")</f>
        <v>191.6</v>
      </c>
      <c r="D163" s="117">
        <f>IF($B$107=1,('Farm Model Assumptions'!K92*'Farm Model Assumptions'!D41*'Farm Model Assumptions'!$A$10),"")</f>
        <v>210.8</v>
      </c>
      <c r="E163" s="117">
        <f>IF($B$107=1,('Farm Model Assumptions'!L92*'Farm Model Assumptions'!E41*'Farm Model Assumptions'!$A$10),"")</f>
        <v>230</v>
      </c>
      <c r="F163" s="123">
        <f>IF($B$107=1,('Farm Model Assumptions'!M92*'Farm Model Assumptions'!F41*'Farm Model Assumptions'!$A$10),"")</f>
        <v>242.8</v>
      </c>
    </row>
    <row r="164" spans="1:6" ht="12.75">
      <c r="A164" s="87" t="str">
        <f>'Farm Model Assumptions'!A60</f>
        <v>DS Paddy</v>
      </c>
      <c r="B164" s="107">
        <f>IF($B$107=1,('Farm Model Assumptions'!I93*'Farm Model Assumptions'!B42*'Farm Model Assumptions'!$A$10),"")</f>
        <v>166.50000000000003</v>
      </c>
      <c r="C164" s="107">
        <f>IF($B$107=1,('Farm Model Assumptions'!J93*'Farm Model Assumptions'!C42*'Farm Model Assumptions'!$A$10),"")</f>
        <v>151.12500000000003</v>
      </c>
      <c r="D164" s="117">
        <f>IF($B$107=1,('Farm Model Assumptions'!K93*'Farm Model Assumptions'!D42*'Farm Model Assumptions'!$A$10),"")</f>
        <v>118.25000000000003</v>
      </c>
      <c r="E164" s="117">
        <f>IF($B$107=1,('Farm Model Assumptions'!L93*'Farm Model Assumptions'!E42*'Farm Model Assumptions'!$A$10),"")</f>
        <v>59.12500000000002</v>
      </c>
      <c r="F164" s="123">
        <f>IF($B$107=1,('Farm Model Assumptions'!M93*'Farm Model Assumptions'!F42*'Farm Model Assumptions'!$A$10),"")</f>
        <v>0</v>
      </c>
    </row>
    <row r="165" spans="1:6" ht="12.75">
      <c r="A165" s="87" t="str">
        <f>'Farm Model Assumptions'!A61</f>
        <v>DS Maize</v>
      </c>
      <c r="B165" s="107">
        <f>IF($B$107=1,('Farm Model Assumptions'!I94*'Farm Model Assumptions'!B43*'Farm Model Assumptions'!$A$10),"")</f>
        <v>31.794884143973597</v>
      </c>
      <c r="C165" s="107">
        <f>IF($B$107=1,('Farm Model Assumptions'!J94*'Farm Model Assumptions'!C43*'Farm Model Assumptions'!$A$10),"")</f>
        <v>41.19680050353835</v>
      </c>
      <c r="D165" s="117">
        <f>IF($B$107=1,('Farm Model Assumptions'!K94*'Farm Model Assumptions'!D43*'Farm Model Assumptions'!$A$10),"")</f>
        <v>53.803989131743904</v>
      </c>
      <c r="E165" s="117">
        <f>IF($B$107=1,('Farm Model Assumptions'!L94*'Farm Model Assumptions'!E43*'Farm Model Assumptions'!$A$10),"")</f>
        <v>65.82304036439133</v>
      </c>
      <c r="F165" s="123">
        <f>IF($B$107=1,('Farm Model Assumptions'!M94*'Farm Model Assumptions'!F43*'Farm Model Assumptions'!$A$10),"")</f>
        <v>79.05</v>
      </c>
    </row>
    <row r="166" spans="1:6" ht="12.75">
      <c r="A166" s="87" t="str">
        <f>'Farm Model Assumptions'!A62</f>
        <v>Shallots (DS)</v>
      </c>
      <c r="B166" s="107">
        <f>IF($B$107=1,('Farm Model Assumptions'!I95*'Farm Model Assumptions'!B44*'Farm Model Assumptions'!$A$10),"")</f>
        <v>419.7</v>
      </c>
      <c r="C166" s="107">
        <f>IF($B$107=1,('Farm Model Assumptions'!J95*'Farm Model Assumptions'!C44*'Farm Model Assumptions'!$A$10),"")</f>
        <v>663.3</v>
      </c>
      <c r="D166" s="117">
        <f>IF($B$107=1,('Farm Model Assumptions'!K95*'Farm Model Assumptions'!D44*'Farm Model Assumptions'!$A$10),"")</f>
        <v>929.4</v>
      </c>
      <c r="E166" s="117">
        <f>IF($B$107=1,('Farm Model Assumptions'!L95*'Farm Model Assumptions'!E44*'Farm Model Assumptions'!$A$10),"")</f>
        <v>1218</v>
      </c>
      <c r="F166" s="123">
        <f>IF($B$107=1,('Farm Model Assumptions'!M95*'Farm Model Assumptions'!F44*'Farm Model Assumptions'!$A$10),"")</f>
        <v>1596.6</v>
      </c>
    </row>
    <row r="167" spans="1:6" ht="12.75">
      <c r="A167" s="87" t="str">
        <f>'Farm Model Assumptions'!A63</f>
        <v>Potato (DS)</v>
      </c>
      <c r="B167" s="107">
        <f>IF($B$107=1,('Farm Model Assumptions'!I96*'Farm Model Assumptions'!B45*'Farm Model Assumptions'!$A$10),"")</f>
        <v>168.1</v>
      </c>
      <c r="C167" s="107">
        <f>IF($B$107=1,('Farm Model Assumptions'!J96*'Farm Model Assumptions'!C45*'Farm Model Assumptions'!$A$10),"")</f>
        <v>186.075</v>
      </c>
      <c r="D167" s="117">
        <f>IF($B$107=1,('Farm Model Assumptions'!K96*'Farm Model Assumptions'!D45*'Farm Model Assumptions'!$A$10),"")</f>
        <v>164.04999999999998</v>
      </c>
      <c r="E167" s="117">
        <f>IF($B$107=1,('Farm Model Assumptions'!L96*'Farm Model Assumptions'!E45*'Farm Model Assumptions'!$A$10),"")</f>
        <v>102.02499999999998</v>
      </c>
      <c r="F167" s="123">
        <f>IF($B$107=1,('Farm Model Assumptions'!M96*'Farm Model Assumptions'!F45*'Farm Model Assumptions'!$A$10),"")</f>
        <v>0</v>
      </c>
    </row>
    <row r="168" spans="1:6" ht="12.75">
      <c r="A168" s="87" t="str">
        <f>'Farm Model Assumptions'!A64</f>
        <v>Tomato (DS)</v>
      </c>
      <c r="B168" s="107">
        <f>IF($B$107=1,('Farm Model Assumptions'!I97*'Farm Model Assumptions'!B46*'Farm Model Assumptions'!$A$10),"")</f>
        <v>4.8374999999999995</v>
      </c>
      <c r="C168" s="107">
        <f>IF($B$107=1,('Farm Model Assumptions'!J97*'Farm Model Assumptions'!C46*'Farm Model Assumptions'!$A$10),"")</f>
        <v>11.090625000000001</v>
      </c>
      <c r="D168" s="117">
        <f>IF($B$107=1,('Farm Model Assumptions'!K97*'Farm Model Assumptions'!D46*'Farm Model Assumptions'!$A$10),"")</f>
        <v>19.59375</v>
      </c>
      <c r="E168" s="117">
        <f>IF($B$107=1,('Farm Model Assumptions'!L97*'Farm Model Assumptions'!E46*'Farm Model Assumptions'!$A$10),"")</f>
        <v>35.221875000000004</v>
      </c>
      <c r="F168" s="123">
        <f>IF($B$107=1,('Farm Model Assumptions'!M97*'Farm Model Assumptions'!F46*'Farm Model Assumptions'!$A$10),"")</f>
        <v>55.35</v>
      </c>
    </row>
    <row r="169" spans="1:6" ht="13.5" thickBot="1">
      <c r="A169" s="87" t="str">
        <f>'Farm Model Assumptions'!A65</f>
        <v>Niebe Forage (DS)</v>
      </c>
      <c r="B169" s="107">
        <f>IF($B$107=1,('Farm Model Assumptions'!I99*'Farm Model Assumptions'!B47*'Farm Model Assumptions'!$A$10),"")</f>
        <v>12.6875</v>
      </c>
      <c r="C169" s="107">
        <f>IF($B$107=1,('Farm Model Assumptions'!J99*'Farm Model Assumptions'!C47*'Farm Model Assumptions'!$A$10),"")</f>
        <v>14.203125000000004</v>
      </c>
      <c r="D169" s="117">
        <f>IF($B$107=1,('Farm Model Assumptions'!K99*'Farm Model Assumptions'!D47*'Farm Model Assumptions'!$A$10),"")</f>
        <v>12.593750000000004</v>
      </c>
      <c r="E169" s="117">
        <f>IF($B$107=1,('Farm Model Assumptions'!L99*'Farm Model Assumptions'!E47*'Farm Model Assumptions'!$A$10),"")</f>
        <v>6.296875000000002</v>
      </c>
      <c r="F169" s="123">
        <f>IF($B$107=1,('Farm Model Assumptions'!M99*'Farm Model Assumptions'!F47*'Farm Model Assumptions'!$A$10),"")</f>
        <v>0</v>
      </c>
    </row>
    <row r="170" spans="1:6" ht="13.5" thickBot="1">
      <c r="A170" s="84" t="s">
        <v>793</v>
      </c>
      <c r="B170" s="109">
        <f>SUM(B161:B169)</f>
        <v>2166.529884143974</v>
      </c>
      <c r="C170" s="185">
        <f>SUM(C161:C169)</f>
        <v>2782.8480505035377</v>
      </c>
      <c r="D170" s="185">
        <f>SUM(D161:D169)</f>
        <v>3370.9464891317443</v>
      </c>
      <c r="E170" s="185">
        <f>SUM(E161:E169)</f>
        <v>3927.9942903643923</v>
      </c>
      <c r="F170" s="127">
        <f>SUM(F161:F169)</f>
        <v>4223.200000000001</v>
      </c>
    </row>
    <row r="171" spans="2:6" ht="12.75">
      <c r="B171" s="241"/>
      <c r="C171" s="241"/>
      <c r="D171" s="241"/>
      <c r="E171" s="241"/>
      <c r="F171" s="241"/>
    </row>
    <row r="172" spans="2:6" ht="12.75">
      <c r="B172" s="240"/>
      <c r="C172" s="240"/>
      <c r="D172" s="240"/>
      <c r="E172" s="240"/>
      <c r="F172" s="240"/>
    </row>
  </sheetData>
  <mergeCells count="5">
    <mergeCell ref="B159:F159"/>
    <mergeCell ref="A1:I1"/>
    <mergeCell ref="F97:G97"/>
    <mergeCell ref="B130:F130"/>
    <mergeCell ref="B144:F144"/>
  </mergeCells>
  <conditionalFormatting sqref="A1">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600" verticalDpi="600" orientation="portrait" r:id="rId4"/>
  <drawing r:id="rId3"/>
  <legacyDrawing r:id="rId2"/>
</worksheet>
</file>

<file path=xl/worksheets/sheet12.xml><?xml version="1.0" encoding="utf-8"?>
<worksheet xmlns="http://schemas.openxmlformats.org/spreadsheetml/2006/main" xmlns:r="http://schemas.openxmlformats.org/officeDocument/2006/relationships">
  <sheetPr codeName="Sheet6">
    <pageSetUpPr fitToPage="1"/>
  </sheetPr>
  <dimension ref="A1:AQ94"/>
  <sheetViews>
    <sheetView workbookViewId="0" topLeftCell="A1">
      <selection activeCell="A1" sqref="A1:IV1"/>
    </sheetView>
  </sheetViews>
  <sheetFormatPr defaultColWidth="9.140625" defaultRowHeight="12.75"/>
  <cols>
    <col min="1" max="1" width="33.00390625" style="0" customWidth="1"/>
    <col min="2" max="2" width="9.57421875" style="0" customWidth="1"/>
    <col min="10" max="10" width="10.28125" style="0" bestFit="1" customWidth="1"/>
    <col min="11" max="11" width="10.7109375" style="0" customWidth="1"/>
    <col min="14" max="14" width="34.7109375" style="0" customWidth="1"/>
    <col min="43" max="43" width="12.421875" style="0" customWidth="1"/>
  </cols>
  <sheetData>
    <row r="1" spans="1:7" s="268" customFormat="1" ht="23.25">
      <c r="A1" s="924" t="s">
        <v>511</v>
      </c>
      <c r="C1" s="925"/>
      <c r="G1" s="1005"/>
    </row>
    <row r="2" spans="1:2" ht="15.75">
      <c r="A2" s="1201" t="s">
        <v>137</v>
      </c>
      <c r="B2" s="234"/>
    </row>
    <row r="3" spans="1:9" ht="13.5" thickBot="1">
      <c r="A3" s="1085">
        <f>IF('ERR &amp; Sensitivity Analysis'!$I$10="N","Note: Current calculations are based on user input and are not the original MCC estimates.",IF('ERR &amp; Sensitivity Analysis'!$I$11="N","Note: Current calculations are based on user input and are not the original MCC estimates.",0))</f>
        <v>0</v>
      </c>
      <c r="B3" s="1085"/>
      <c r="C3" s="1085"/>
      <c r="D3" s="1085"/>
      <c r="E3" s="1085"/>
      <c r="F3" s="1085"/>
      <c r="G3" s="1085"/>
      <c r="H3" s="1085"/>
      <c r="I3" s="1085"/>
    </row>
    <row r="4" spans="1:8" ht="13.5" thickBot="1">
      <c r="A4" s="1056" t="s">
        <v>648</v>
      </c>
      <c r="B4" s="1062"/>
      <c r="C4" s="1062"/>
      <c r="D4" s="1062"/>
      <c r="E4" s="1062"/>
      <c r="F4" s="1062"/>
      <c r="G4" s="1062"/>
      <c r="H4" s="1063"/>
    </row>
    <row r="5" spans="1:11" ht="12.75">
      <c r="A5" s="103" t="s">
        <v>573</v>
      </c>
      <c r="B5" s="52" t="s">
        <v>566</v>
      </c>
      <c r="C5" s="62" t="s">
        <v>567</v>
      </c>
      <c r="D5" s="62" t="s">
        <v>568</v>
      </c>
      <c r="E5" s="62" t="s">
        <v>569</v>
      </c>
      <c r="F5" s="62" t="s">
        <v>570</v>
      </c>
      <c r="G5" s="62" t="s">
        <v>695</v>
      </c>
      <c r="H5" s="101" t="s">
        <v>696</v>
      </c>
      <c r="J5" s="625"/>
      <c r="K5" s="625"/>
    </row>
    <row r="6" spans="1:12" ht="12.75">
      <c r="A6" s="87" t="s">
        <v>591</v>
      </c>
      <c r="B6" s="121">
        <f>'Farm Model Assumptions'!J72/3</f>
        <v>20591.742599999998</v>
      </c>
      <c r="C6" s="184">
        <f>B6+'Farm Model Assumptions'!K72/3</f>
        <v>43884.784766666664</v>
      </c>
      <c r="D6" s="184">
        <f>B6+'Farm Model Assumptions'!K72/3+'Farm Model Assumptions'!J72/3</f>
        <v>64476.52736666666</v>
      </c>
      <c r="E6" s="184">
        <f>'Farm Model Assumptions'!M72/3+'Farm Model Assumptions'!L72/3+'Farm Model Assumptions'!K72/3</f>
        <v>78313.68773333333</v>
      </c>
      <c r="F6" s="184">
        <f>'Farm Model Assumptions'!N72/3+'Farm Model Assumptions'!M72/3+'Farm Model Assumptions'!L72/3</f>
        <v>84460.27756666666</v>
      </c>
      <c r="G6" s="184">
        <f>('Farm Model Assumptions'!N72*(2/3))+'Farm Model Assumptions'!M72/3</f>
        <v>87822.90220000001</v>
      </c>
      <c r="H6" s="122">
        <f>'Farm Model Assumptions'!N72</f>
        <v>88318.89600000001</v>
      </c>
      <c r="J6" s="625"/>
      <c r="K6" s="625"/>
      <c r="L6" s="625"/>
    </row>
    <row r="7" spans="1:8" ht="12.75">
      <c r="A7" s="87" t="s">
        <v>556</v>
      </c>
      <c r="B7" s="121">
        <f>'Farm Model Assumptions'!J73/3</f>
        <v>0</v>
      </c>
      <c r="C7" s="184">
        <f>B7+'Farm Model Assumptions'!K73/3</f>
        <v>0</v>
      </c>
      <c r="D7" s="184">
        <f>B7+'Farm Model Assumptions'!K73/3+'Farm Model Assumptions'!J73/3</f>
        <v>0</v>
      </c>
      <c r="E7" s="184">
        <f>'Farm Model Assumptions'!M73/3+'Farm Model Assumptions'!L73/3+'Farm Model Assumptions'!K73/3</f>
        <v>0</v>
      </c>
      <c r="F7" s="184">
        <f>'Farm Model Assumptions'!N73/3+'Farm Model Assumptions'!M73/3+'Farm Model Assumptions'!L73/3</f>
        <v>0</v>
      </c>
      <c r="G7" s="184">
        <f>('Farm Model Assumptions'!N73*(2/3))+'Farm Model Assumptions'!M73/3</f>
        <v>0</v>
      </c>
      <c r="H7" s="122">
        <f>'Farm Model Assumptions'!N73</f>
        <v>0</v>
      </c>
    </row>
    <row r="8" spans="1:8" ht="12.75">
      <c r="A8" s="87" t="s">
        <v>564</v>
      </c>
      <c r="B8" s="121">
        <f>'Farm Model Assumptions'!J74/3</f>
        <v>1621.3130666666666</v>
      </c>
      <c r="C8" s="184">
        <f>B8+'Farm Model Assumptions'!K74/3</f>
        <v>3413.2906666666668</v>
      </c>
      <c r="D8" s="184">
        <f>B8+'Farm Model Assumptions'!K74/3+'Farm Model Assumptions'!J74/3</f>
        <v>5034.603733333333</v>
      </c>
      <c r="E8" s="184">
        <f>'Farm Model Assumptions'!M74/3+'Farm Model Assumptions'!L74/3+'Farm Model Assumptions'!K74/3</f>
        <v>5759.928</v>
      </c>
      <c r="F8" s="184">
        <f>'Farm Model Assumptions'!N74/3+'Farm Model Assumptions'!M74/3+'Farm Model Assumptions'!L74/3</f>
        <v>6101.257066666666</v>
      </c>
      <c r="G8" s="184">
        <f>('Farm Model Assumptions'!N74*(2/3))+'Farm Model Assumptions'!M74/3</f>
        <v>6314.587733333333</v>
      </c>
      <c r="H8" s="122">
        <f>'Farm Model Assumptions'!N74</f>
        <v>6399.92</v>
      </c>
    </row>
    <row r="9" spans="1:8" ht="12.75">
      <c r="A9" s="87" t="s">
        <v>593</v>
      </c>
      <c r="B9" s="121">
        <f>'Farm Model Assumptions'!J75/3</f>
        <v>2133.306666666667</v>
      </c>
      <c r="C9" s="184">
        <f>B9+'Farm Model Assumptions'!K75/3</f>
        <v>3933.2841666666673</v>
      </c>
      <c r="D9" s="184">
        <f>B9+'Farm Model Assumptions'!K75/3+'Farm Model Assumptions'!J75/3</f>
        <v>6066.590833333334</v>
      </c>
      <c r="E9" s="184">
        <f>'Farm Model Assumptions'!M75/3+'Farm Model Assumptions'!L75/3+'Farm Model Assumptions'!K75/3</f>
        <v>3799.9525000000003</v>
      </c>
      <c r="F9" s="184">
        <f>'Farm Model Assumptions'!N75/3+'Farm Model Assumptions'!M75/3+'Farm Model Assumptions'!L75/3</f>
        <v>1999.9750000000004</v>
      </c>
      <c r="G9" s="184">
        <f>('Farm Model Assumptions'!N75*(2/3))+'Farm Model Assumptions'!M75/3</f>
        <v>666.6583333333335</v>
      </c>
      <c r="H9" s="122">
        <f>'Farm Model Assumptions'!N75</f>
        <v>0</v>
      </c>
    </row>
    <row r="10" spans="1:8" ht="12.75">
      <c r="A10" s="87" t="s">
        <v>563</v>
      </c>
      <c r="B10" s="121">
        <f>'Farm Model Assumptions'!J76/3</f>
        <v>340.20433008267423</v>
      </c>
      <c r="C10" s="184">
        <f>B10+'Farm Model Assumptions'!K76/3</f>
        <v>759.2764446036178</v>
      </c>
      <c r="D10" s="184">
        <f>B10+'Farm Model Assumptions'!K76/3+'Farm Model Assumptions'!J76/3</f>
        <v>1099.480774686292</v>
      </c>
      <c r="E10" s="184">
        <f>'Farm Model Assumptions'!M76/3+'Farm Model Assumptions'!L76/3+'Farm Model Assumptions'!K76/3</f>
        <v>1554.0034739734506</v>
      </c>
      <c r="F10" s="184">
        <f>'Farm Model Assumptions'!N76/3+'Farm Model Assumptions'!M76/3+'Farm Model Assumptions'!L76/3</f>
        <v>1854.922359452507</v>
      </c>
      <c r="G10" s="184">
        <f>('Farm Model Assumptions'!N76*(2/3))+'Farm Model Assumptions'!M76/3</f>
        <v>2055.6052458083773</v>
      </c>
      <c r="H10" s="122">
        <f>'Farm Model Assumptions'!N76</f>
        <v>2159.973</v>
      </c>
    </row>
    <row r="11" spans="1:17" ht="12.75">
      <c r="A11" s="87" t="s">
        <v>557</v>
      </c>
      <c r="B11" s="121">
        <f>'Farm Model Assumptions'!J77/3</f>
        <v>3999.9499999999994</v>
      </c>
      <c r="C11" s="184">
        <f>B11+'Farm Model Assumptions'!K77/3</f>
        <v>10239.872</v>
      </c>
      <c r="D11" s="184">
        <f>B11+'Farm Model Assumptions'!K77/3+'Farm Model Assumptions'!J77/3</f>
        <v>14239.821999999998</v>
      </c>
      <c r="E11" s="184">
        <f>'Farm Model Assumptions'!M77/3+'Farm Model Assumptions'!L77/3+'Farm Model Assumptions'!K77/3</f>
        <v>26079.674</v>
      </c>
      <c r="F11" s="184">
        <f>'Farm Model Assumptions'!N77/3+'Farm Model Assumptions'!M77/3+'Farm Model Assumptions'!L77/3</f>
        <v>34239.572</v>
      </c>
      <c r="G11" s="184">
        <f>('Farm Model Assumptions'!N77*(2/3))+'Farm Model Assumptions'!M77/3</f>
        <v>39999.5</v>
      </c>
      <c r="H11" s="122">
        <f>'Farm Model Assumptions'!N77</f>
        <v>43199.46</v>
      </c>
      <c r="O11" t="s">
        <v>422</v>
      </c>
      <c r="Q11" s="625">
        <v>0.65</v>
      </c>
    </row>
    <row r="12" spans="1:43" ht="12.75">
      <c r="A12" s="87" t="s">
        <v>558</v>
      </c>
      <c r="B12" s="121">
        <f>'Farm Model Assumptions'!J78/3</f>
        <v>1919.9759999999999</v>
      </c>
      <c r="C12" s="184">
        <f>B12+'Farm Model Assumptions'!K78/3</f>
        <v>3679.9539999999997</v>
      </c>
      <c r="D12" s="184">
        <f>B12+'Farm Model Assumptions'!K78/3+'Farm Model Assumptions'!J78/3</f>
        <v>5599.929999999999</v>
      </c>
      <c r="E12" s="184">
        <f>'Farm Model Assumptions'!M78/3+'Farm Model Assumptions'!L78/3+'Farm Model Assumptions'!K78/3</f>
        <v>3946.6173333333327</v>
      </c>
      <c r="F12" s="184">
        <f>'Farm Model Assumptions'!N78/3+'Farm Model Assumptions'!M78/3+'Farm Model Assumptions'!L78/3</f>
        <v>2186.6393333333326</v>
      </c>
      <c r="G12" s="184">
        <f>('Farm Model Assumptions'!N78*(2/3))+'Farm Model Assumptions'!M78/3</f>
        <v>799.9899999999997</v>
      </c>
      <c r="H12" s="122">
        <f>'Farm Model Assumptions'!N78</f>
        <v>0</v>
      </c>
      <c r="AL12" t="s">
        <v>423</v>
      </c>
      <c r="AQ12">
        <v>52</v>
      </c>
    </row>
    <row r="13" spans="1:36" ht="12.75">
      <c r="A13" s="87" t="s">
        <v>560</v>
      </c>
      <c r="B13" s="121">
        <f>'Farm Model Assumptions'!J79/3</f>
        <v>719.991</v>
      </c>
      <c r="C13" s="184">
        <f>B13+'Farm Model Assumptions'!K79/3</f>
        <v>2049.974375</v>
      </c>
      <c r="D13" s="184">
        <f>B13+'Farm Model Assumptions'!K79/3+'Farm Model Assumptions'!J79/3</f>
        <v>2769.9653749999998</v>
      </c>
      <c r="E13" s="184">
        <f>'Farm Model Assumptions'!M79/3+'Farm Model Assumptions'!L79/3+'Farm Model Assumptions'!K79/3</f>
        <v>6189.922624999999</v>
      </c>
      <c r="F13" s="184">
        <f>'Farm Model Assumptions'!N79/3+'Farm Model Assumptions'!M79/3+'Farm Model Assumptions'!L79/3</f>
        <v>8699.891249999999</v>
      </c>
      <c r="G13" s="184">
        <f>('Farm Model Assumptions'!N79*(2/3))+'Farm Model Assumptions'!M79/3</f>
        <v>10539.86825</v>
      </c>
      <c r="H13" s="122">
        <f>'Farm Model Assumptions'!N79</f>
        <v>11519.856</v>
      </c>
      <c r="N13" s="203"/>
      <c r="O13" s="796">
        <f>P13-1</f>
        <v>1995</v>
      </c>
      <c r="P13" s="796">
        <f aca="true" t="shared" si="0" ref="P13:AA13">Q13-1</f>
        <v>1996</v>
      </c>
      <c r="Q13" s="796">
        <f t="shared" si="0"/>
        <v>1997</v>
      </c>
      <c r="R13" s="796">
        <f t="shared" si="0"/>
        <v>1998</v>
      </c>
      <c r="S13" s="796">
        <f t="shared" si="0"/>
        <v>1999</v>
      </c>
      <c r="T13" s="796">
        <f t="shared" si="0"/>
        <v>2000</v>
      </c>
      <c r="U13" s="796">
        <f t="shared" si="0"/>
        <v>2001</v>
      </c>
      <c r="V13" s="796">
        <f t="shared" si="0"/>
        <v>2002</v>
      </c>
      <c r="W13" s="796">
        <f>Y13-1</f>
        <v>2003</v>
      </c>
      <c r="X13" s="796"/>
      <c r="Y13" s="796">
        <f t="shared" si="0"/>
        <v>2004</v>
      </c>
      <c r="Z13" s="796">
        <f t="shared" si="0"/>
        <v>2005</v>
      </c>
      <c r="AA13" s="796">
        <f t="shared" si="0"/>
        <v>2006</v>
      </c>
      <c r="AB13" s="796">
        <v>2007</v>
      </c>
      <c r="AC13" s="843">
        <v>2008</v>
      </c>
      <c r="AD13" s="843">
        <v>2009</v>
      </c>
      <c r="AE13" s="843">
        <v>2010</v>
      </c>
      <c r="AF13" s="843">
        <v>2011</v>
      </c>
      <c r="AG13" s="843">
        <v>2012</v>
      </c>
      <c r="AH13" s="843">
        <v>2013</v>
      </c>
      <c r="AI13" s="844">
        <v>2014</v>
      </c>
      <c r="AJ13" s="844">
        <v>2015</v>
      </c>
    </row>
    <row r="14" spans="1:38" ht="12.75">
      <c r="A14" s="87" t="s">
        <v>575</v>
      </c>
      <c r="B14" s="121">
        <f>'Farm Model Assumptions'!J80/3</f>
        <v>0</v>
      </c>
      <c r="C14" s="184">
        <f>B14+'Farm Model Assumptions'!K80/3</f>
        <v>0</v>
      </c>
      <c r="D14" s="184">
        <f>B14+'Farm Model Assumptions'!K80/3+'Farm Model Assumptions'!J80/3</f>
        <v>0</v>
      </c>
      <c r="E14" s="184">
        <f>'Farm Model Assumptions'!M80/3+'Farm Model Assumptions'!L80/3+'Farm Model Assumptions'!K80/3</f>
        <v>0</v>
      </c>
      <c r="F14" s="184">
        <f>'Farm Model Assumptions'!N80/3+'Farm Model Assumptions'!M80/3+'Farm Model Assumptions'!L80/3</f>
        <v>0</v>
      </c>
      <c r="G14" s="184">
        <f>('Farm Model Assumptions'!N80*(2/3))+'Farm Model Assumptions'!M80/3</f>
        <v>0</v>
      </c>
      <c r="H14" s="122">
        <f>'Farm Model Assumptions'!N80</f>
        <v>0</v>
      </c>
      <c r="N14" s="203" t="s">
        <v>424</v>
      </c>
      <c r="O14" s="796">
        <v>0</v>
      </c>
      <c r="P14" s="796">
        <v>0</v>
      </c>
      <c r="Q14" s="796">
        <v>0</v>
      </c>
      <c r="R14" s="796">
        <v>0</v>
      </c>
      <c r="S14" s="796">
        <v>0</v>
      </c>
      <c r="T14" s="796">
        <v>0</v>
      </c>
      <c r="U14" s="796">
        <v>0</v>
      </c>
      <c r="V14" s="796">
        <v>0</v>
      </c>
      <c r="W14" s="796">
        <v>0</v>
      </c>
      <c r="X14" s="203"/>
      <c r="Y14" s="796">
        <v>0</v>
      </c>
      <c r="Z14" s="796">
        <v>0</v>
      </c>
      <c r="AA14" s="796">
        <v>0</v>
      </c>
      <c r="AB14" s="796">
        <v>0</v>
      </c>
      <c r="AC14" s="796">
        <v>0</v>
      </c>
      <c r="AD14" s="547">
        <f>(B6+B9)/1000</f>
        <v>22.725049266666666</v>
      </c>
      <c r="AE14" s="547">
        <f aca="true" t="shared" si="1" ref="AE14:AJ14">(C6+C9)/1000</f>
        <v>47.81806893333333</v>
      </c>
      <c r="AF14" s="547">
        <f t="shared" si="1"/>
        <v>70.5431182</v>
      </c>
      <c r="AG14" s="547">
        <f t="shared" si="1"/>
        <v>82.11364023333333</v>
      </c>
      <c r="AH14" s="547">
        <f t="shared" si="1"/>
        <v>86.46025256666667</v>
      </c>
      <c r="AI14" s="547">
        <f t="shared" si="1"/>
        <v>88.48956053333335</v>
      </c>
      <c r="AJ14" s="547">
        <f t="shared" si="1"/>
        <v>88.31889600000001</v>
      </c>
      <c r="AK14" s="1"/>
      <c r="AL14" s="241"/>
    </row>
    <row r="15" spans="1:43" ht="13.5" thickBot="1">
      <c r="A15" s="87" t="s">
        <v>651</v>
      </c>
      <c r="B15" s="121">
        <f>'Farm Model Assumptions'!J81/3</f>
        <v>79.999</v>
      </c>
      <c r="C15" s="184">
        <f>B15+'Farm Model Assumptions'!K81/3</f>
        <v>159.998</v>
      </c>
      <c r="D15" s="184">
        <f>B15+'Farm Model Assumptions'!K81/3+'Farm Model Assumptions'!J81/3</f>
        <v>239.99699999999999</v>
      </c>
      <c r="E15" s="184">
        <f>'Farm Model Assumptions'!M81/3+'Farm Model Assumptions'!L81/3+'Farm Model Assumptions'!K81/3</f>
        <v>179.99775000000002</v>
      </c>
      <c r="F15" s="184">
        <f>'Farm Model Assumptions'!N81/3+'Farm Model Assumptions'!M81/3+'Farm Model Assumptions'!L81/3</f>
        <v>99.99875000000002</v>
      </c>
      <c r="G15" s="184">
        <f>('Farm Model Assumptions'!N81*(2/3))+'Farm Model Assumptions'!M81/3</f>
        <v>33.33291666666668</v>
      </c>
      <c r="H15" s="122">
        <f>'Farm Model Assumptions'!N81</f>
        <v>0</v>
      </c>
      <c r="N15" s="203" t="s">
        <v>425</v>
      </c>
      <c r="O15" s="796">
        <v>0</v>
      </c>
      <c r="P15" s="796">
        <v>0</v>
      </c>
      <c r="Q15" s="796">
        <v>0</v>
      </c>
      <c r="R15" s="796">
        <v>0</v>
      </c>
      <c r="S15" s="796">
        <v>0</v>
      </c>
      <c r="T15" s="796">
        <v>0</v>
      </c>
      <c r="U15" s="796">
        <v>0</v>
      </c>
      <c r="V15" s="796">
        <v>0</v>
      </c>
      <c r="W15" s="796">
        <v>0</v>
      </c>
      <c r="X15" s="796"/>
      <c r="Y15" s="796">
        <v>0</v>
      </c>
      <c r="Z15" s="796">
        <v>0</v>
      </c>
      <c r="AA15" s="796">
        <v>0</v>
      </c>
      <c r="AB15" s="796">
        <v>0</v>
      </c>
      <c r="AC15" s="796">
        <v>0</v>
      </c>
      <c r="AD15" s="547">
        <f aca="true" t="shared" si="2" ref="AD15:AI15">(B6+B9)*$Q$11/1000</f>
        <v>14.771282023333333</v>
      </c>
      <c r="AE15" s="547">
        <f t="shared" si="2"/>
        <v>31.081744806666666</v>
      </c>
      <c r="AF15" s="547">
        <f t="shared" si="2"/>
        <v>45.853026830000005</v>
      </c>
      <c r="AG15" s="547">
        <f t="shared" si="2"/>
        <v>53.37386615166666</v>
      </c>
      <c r="AH15" s="547">
        <f t="shared" si="2"/>
        <v>56.199164168333326</v>
      </c>
      <c r="AI15" s="547">
        <f t="shared" si="2"/>
        <v>57.51821434666668</v>
      </c>
      <c r="AJ15" s="547">
        <f>(H6+H9)*$Q$11/1000</f>
        <v>57.40728240000001</v>
      </c>
      <c r="AK15" s="1"/>
      <c r="AL15" s="845" t="s">
        <v>426</v>
      </c>
      <c r="AQ15" s="264">
        <f>AJ15*1000*1000/52</f>
        <v>1103986.2000000002</v>
      </c>
    </row>
    <row r="16" spans="1:36" ht="13.5" hidden="1" thickBot="1">
      <c r="A16" s="87" t="s">
        <v>652</v>
      </c>
      <c r="B16" s="121">
        <f>'Farm Model Assumptions'!J82/3</f>
        <v>0</v>
      </c>
      <c r="C16" s="184">
        <f>B16+'Farm Model Assumptions'!K82/3</f>
        <v>0</v>
      </c>
      <c r="D16" s="184">
        <f>B16+'Farm Model Assumptions'!K82/3+'Farm Model Assumptions'!J82/3</f>
        <v>0</v>
      </c>
      <c r="E16" s="184">
        <f>'Farm Model Assumptions'!M82/3+'Farm Model Assumptions'!L82/3+'Farm Model Assumptions'!K82/3</f>
        <v>0</v>
      </c>
      <c r="F16" s="184">
        <f>'Farm Model Assumptions'!N82/3+'Farm Model Assumptions'!M82/3+'Farm Model Assumptions'!L82/3</f>
        <v>0</v>
      </c>
      <c r="G16" s="184">
        <f>('Farm Model Assumptions'!N82*(2/3))+'Farm Model Assumptions'!M82/3</f>
        <v>0</v>
      </c>
      <c r="H16" s="122">
        <f>'Farm Model Assumptions'!N82</f>
        <v>0</v>
      </c>
      <c r="N16" s="846" t="s">
        <v>427</v>
      </c>
      <c r="O16" s="847" t="e">
        <f aca="true" t="shared" si="3" ref="O16:W16">O14/O25</f>
        <v>#DIV/0!</v>
      </c>
      <c r="P16" s="847" t="e">
        <f t="shared" si="3"/>
        <v>#DIV/0!</v>
      </c>
      <c r="Q16" s="847" t="e">
        <f t="shared" si="3"/>
        <v>#DIV/0!</v>
      </c>
      <c r="R16" s="847" t="e">
        <f t="shared" si="3"/>
        <v>#DIV/0!</v>
      </c>
      <c r="S16" s="847" t="e">
        <f t="shared" si="3"/>
        <v>#DIV/0!</v>
      </c>
      <c r="T16" s="847" t="e">
        <f t="shared" si="3"/>
        <v>#DIV/0!</v>
      </c>
      <c r="U16" s="847" t="e">
        <f t="shared" si="3"/>
        <v>#DIV/0!</v>
      </c>
      <c r="V16" s="847" t="e">
        <f t="shared" si="3"/>
        <v>#DIV/0!</v>
      </c>
      <c r="W16" s="847">
        <f t="shared" si="3"/>
        <v>0</v>
      </c>
      <c r="X16" s="203"/>
      <c r="Y16" s="847">
        <f aca="true" t="shared" si="4" ref="Y16:AJ16">Y14/Y25</f>
        <v>0</v>
      </c>
      <c r="Z16" s="847">
        <f t="shared" si="4"/>
        <v>0</v>
      </c>
      <c r="AA16" s="847">
        <f t="shared" si="4"/>
        <v>0</v>
      </c>
      <c r="AB16" s="847">
        <f t="shared" si="4"/>
        <v>0</v>
      </c>
      <c r="AC16" s="847">
        <f t="shared" si="4"/>
        <v>0</v>
      </c>
      <c r="AD16" s="848">
        <f t="shared" si="4"/>
        <v>0.019645953475407818</v>
      </c>
      <c r="AE16" s="848">
        <f t="shared" si="4"/>
        <v>0.03994109451536212</v>
      </c>
      <c r="AF16" s="848">
        <f t="shared" si="4"/>
        <v>0.05693013727163538</v>
      </c>
      <c r="AG16" s="848">
        <f t="shared" si="4"/>
        <v>0.06402690869121345</v>
      </c>
      <c r="AH16" s="848">
        <f t="shared" si="4"/>
        <v>0.06513634397726738</v>
      </c>
      <c r="AI16" s="848">
        <f t="shared" si="4"/>
        <v>0.06441078129340227</v>
      </c>
      <c r="AJ16" s="848">
        <f t="shared" si="4"/>
        <v>0.06211261455487201</v>
      </c>
    </row>
    <row r="17" spans="1:36" ht="13.5" thickBot="1">
      <c r="A17" s="204" t="s">
        <v>649</v>
      </c>
      <c r="B17" s="126">
        <f>SUM(B6:B16)</f>
        <v>31406.482663416</v>
      </c>
      <c r="C17" s="126">
        <f>SUM(C6:C15)</f>
        <v>68120.43441960363</v>
      </c>
      <c r="D17" s="126">
        <f>SUM(D6:D15)</f>
        <v>99526.91708301962</v>
      </c>
      <c r="E17" s="126">
        <f>SUM(E6:E15)</f>
        <v>125823.78341564011</v>
      </c>
      <c r="F17" s="126">
        <f>SUM(F6:F16)</f>
        <v>139642.53332611916</v>
      </c>
      <c r="G17" s="126">
        <f>SUM(G6:G16)</f>
        <v>148232.4446791417</v>
      </c>
      <c r="H17" s="127">
        <f>SUM(H6:H16)</f>
        <v>151598.105</v>
      </c>
      <c r="N17" s="846" t="s">
        <v>428</v>
      </c>
      <c r="O17" s="847"/>
      <c r="P17" s="847"/>
      <c r="Q17" s="847"/>
      <c r="R17" s="203"/>
      <c r="S17" s="203"/>
      <c r="T17" s="203"/>
      <c r="U17" s="203"/>
      <c r="V17" s="203"/>
      <c r="W17" s="203"/>
      <c r="X17" s="203"/>
      <c r="Y17" s="203"/>
      <c r="Z17" s="203"/>
      <c r="AA17" s="203"/>
      <c r="AB17" s="203"/>
      <c r="AC17" s="203"/>
      <c r="AD17" s="203"/>
      <c r="AE17" s="203"/>
      <c r="AF17" s="203"/>
      <c r="AG17" s="203"/>
      <c r="AH17" s="203"/>
      <c r="AI17" s="203"/>
      <c r="AJ17" s="848">
        <f>AJ14/AJ24</f>
        <v>0.28870346626736515</v>
      </c>
    </row>
    <row r="18" spans="14:36" ht="12.75">
      <c r="N18" s="849"/>
      <c r="O18" s="264"/>
      <c r="P18" s="264"/>
      <c r="Q18" s="264"/>
      <c r="AJ18" s="850"/>
    </row>
    <row r="19" spans="1:28" ht="13.5" thickBot="1">
      <c r="A19" s="9" t="s">
        <v>865</v>
      </c>
      <c r="C19" s="1047">
        <v>0.39</v>
      </c>
      <c r="Y19" t="s">
        <v>429</v>
      </c>
      <c r="AB19" s="851">
        <v>0.035</v>
      </c>
    </row>
    <row r="20" spans="1:36" ht="13.5" thickBot="1">
      <c r="A20" s="47" t="s">
        <v>866</v>
      </c>
      <c r="B20" s="414">
        <f>1/3*'Alatona Beneficiaries'!$D$28</f>
        <v>13669.272666666666</v>
      </c>
      <c r="C20" s="414">
        <f>B20*2</f>
        <v>27338.54533333333</v>
      </c>
      <c r="D20" s="414">
        <f>'Alatona Beneficiaries'!$D$28</f>
        <v>41007.818</v>
      </c>
      <c r="E20" s="414">
        <f>D20</f>
        <v>41007.818</v>
      </c>
      <c r="F20" s="414">
        <f>E20</f>
        <v>41007.818</v>
      </c>
      <c r="G20" s="414">
        <f>F20</f>
        <v>41007.818</v>
      </c>
      <c r="H20" s="415">
        <f>G20</f>
        <v>41007.818</v>
      </c>
      <c r="N20" s="852"/>
      <c r="O20" s="1157" t="s">
        <v>430</v>
      </c>
      <c r="P20" s="1157"/>
      <c r="Q20" s="1157"/>
      <c r="R20" s="1157"/>
      <c r="S20" s="1157"/>
      <c r="T20" s="1157"/>
      <c r="U20" s="1157"/>
      <c r="V20" s="1157"/>
      <c r="W20" s="1158"/>
      <c r="Y20" s="1159" t="s">
        <v>431</v>
      </c>
      <c r="Z20" s="1157"/>
      <c r="AA20" s="1157"/>
      <c r="AB20" s="1157"/>
      <c r="AC20" s="1157"/>
      <c r="AD20" s="1157"/>
      <c r="AE20" s="1157"/>
      <c r="AF20" s="1157"/>
      <c r="AG20" s="1157"/>
      <c r="AH20" s="1157"/>
      <c r="AI20" s="1157"/>
      <c r="AJ20" s="1158"/>
    </row>
    <row r="21" spans="1:37" ht="13.5" thickBot="1">
      <c r="A21" s="87" t="s">
        <v>867</v>
      </c>
      <c r="B21" s="18">
        <f aca="true" t="shared" si="5" ref="B21:H21">B20*$C$19</f>
        <v>5331.01634</v>
      </c>
      <c r="C21" s="18">
        <f t="shared" si="5"/>
        <v>10662.03268</v>
      </c>
      <c r="D21" s="18">
        <f t="shared" si="5"/>
        <v>15993.04902</v>
      </c>
      <c r="E21" s="18">
        <f t="shared" si="5"/>
        <v>15993.04902</v>
      </c>
      <c r="F21" s="18">
        <f t="shared" si="5"/>
        <v>15993.04902</v>
      </c>
      <c r="G21" s="18">
        <f t="shared" si="5"/>
        <v>15993.04902</v>
      </c>
      <c r="H21" s="416">
        <f t="shared" si="5"/>
        <v>15993.04902</v>
      </c>
      <c r="J21" s="378"/>
      <c r="N21" s="47" t="s">
        <v>842</v>
      </c>
      <c r="O21" s="853">
        <v>1995</v>
      </c>
      <c r="P21" s="54">
        <v>1996</v>
      </c>
      <c r="Q21" s="54">
        <v>1997</v>
      </c>
      <c r="R21" s="54">
        <v>1998</v>
      </c>
      <c r="S21" s="54">
        <v>1999</v>
      </c>
      <c r="T21" s="54">
        <v>2000</v>
      </c>
      <c r="U21" s="54">
        <v>2001</v>
      </c>
      <c r="V21" s="54">
        <v>2002</v>
      </c>
      <c r="W21" s="854">
        <v>2003</v>
      </c>
      <c r="X21" s="202" t="s">
        <v>432</v>
      </c>
      <c r="Y21" s="855">
        <v>2004</v>
      </c>
      <c r="Z21" s="856">
        <f>Y21+1</f>
        <v>2005</v>
      </c>
      <c r="AA21" s="856">
        <f aca="true" t="shared" si="6" ref="AA21:AJ21">Z21+1</f>
        <v>2006</v>
      </c>
      <c r="AB21" s="856">
        <f t="shared" si="6"/>
        <v>2007</v>
      </c>
      <c r="AC21" s="856">
        <f t="shared" si="6"/>
        <v>2008</v>
      </c>
      <c r="AD21" s="856">
        <f t="shared" si="6"/>
        <v>2009</v>
      </c>
      <c r="AE21" s="856">
        <f t="shared" si="6"/>
        <v>2010</v>
      </c>
      <c r="AF21" s="856">
        <f t="shared" si="6"/>
        <v>2011</v>
      </c>
      <c r="AG21" s="856">
        <f t="shared" si="6"/>
        <v>2012</v>
      </c>
      <c r="AH21" s="856">
        <f t="shared" si="6"/>
        <v>2013</v>
      </c>
      <c r="AI21" s="856">
        <f t="shared" si="6"/>
        <v>2014</v>
      </c>
      <c r="AJ21" s="857">
        <f t="shared" si="6"/>
        <v>2015</v>
      </c>
      <c r="AK21" t="s">
        <v>432</v>
      </c>
    </row>
    <row r="22" spans="1:37" ht="13.5" thickBot="1">
      <c r="A22" s="88" t="s">
        <v>868</v>
      </c>
      <c r="B22" s="417">
        <f aca="true" t="shared" si="7" ref="B22:H22">B21/(B9+B6)</f>
        <v>0.23458766920341023</v>
      </c>
      <c r="C22" s="417">
        <f t="shared" si="7"/>
        <v>0.2229707915404263</v>
      </c>
      <c r="D22" s="417">
        <f t="shared" si="7"/>
        <v>0.22671310013058085</v>
      </c>
      <c r="E22" s="417">
        <f t="shared" si="7"/>
        <v>0.19476726369156583</v>
      </c>
      <c r="F22" s="417">
        <f t="shared" si="7"/>
        <v>0.18497573792845776</v>
      </c>
      <c r="G22" s="417">
        <f t="shared" si="7"/>
        <v>0.1807337376703949</v>
      </c>
      <c r="H22" s="418">
        <f t="shared" si="7"/>
        <v>0.18108298160792227</v>
      </c>
      <c r="J22" s="616"/>
      <c r="N22" s="218" t="s">
        <v>433</v>
      </c>
      <c r="O22" s="211">
        <v>476</v>
      </c>
      <c r="P22" s="211">
        <v>627</v>
      </c>
      <c r="Q22" s="211">
        <v>575</v>
      </c>
      <c r="R22" s="211">
        <v>717</v>
      </c>
      <c r="S22" s="211">
        <v>727</v>
      </c>
      <c r="T22" s="211">
        <v>742</v>
      </c>
      <c r="U22" s="211">
        <v>940</v>
      </c>
      <c r="V22" s="211">
        <v>710</v>
      </c>
      <c r="W22" s="690">
        <v>693</v>
      </c>
      <c r="X22" s="858">
        <f>((W22/O22)^(1/8))-1</f>
        <v>0.048071195385769094</v>
      </c>
      <c r="Y22" s="218"/>
      <c r="Z22" s="211"/>
      <c r="AA22" s="211"/>
      <c r="AB22" s="211"/>
      <c r="AC22" s="211"/>
      <c r="AD22" s="211"/>
      <c r="AE22" s="211"/>
      <c r="AF22" s="211"/>
      <c r="AG22" s="211"/>
      <c r="AH22" s="211"/>
      <c r="AI22" s="211"/>
      <c r="AJ22" s="690">
        <f>W22+423</f>
        <v>1116</v>
      </c>
      <c r="AK22" s="850">
        <f>((AJ22/W22)^(1/12))-1</f>
        <v>0.04050518010162807</v>
      </c>
    </row>
    <row r="23" spans="2:36" ht="12.75">
      <c r="B23" s="419"/>
      <c r="C23" s="419"/>
      <c r="D23" s="419"/>
      <c r="E23" s="419"/>
      <c r="F23" s="419"/>
      <c r="G23" s="419"/>
      <c r="H23" s="419"/>
      <c r="N23" s="859" t="s">
        <v>434</v>
      </c>
      <c r="O23" s="534">
        <f>P30/1000</f>
        <v>209.678</v>
      </c>
      <c r="P23" s="534">
        <f>P31/1000</f>
        <v>232.206</v>
      </c>
      <c r="Q23" s="534">
        <f>P32/1000</f>
        <v>244.563</v>
      </c>
      <c r="R23" s="534">
        <f>P33/1000</f>
        <v>267.186</v>
      </c>
      <c r="S23" s="534">
        <f>P34/1000</f>
        <v>308.63</v>
      </c>
      <c r="T23" s="534">
        <f>P35/1000</f>
        <v>319.3</v>
      </c>
      <c r="U23" s="534">
        <f>P36/1000</f>
        <v>350</v>
      </c>
      <c r="V23" s="534">
        <f>P37/1000</f>
        <v>400</v>
      </c>
      <c r="W23" s="860">
        <f>P38/1000</f>
        <v>420</v>
      </c>
      <c r="X23" s="858">
        <f>((W23/O23)^(1/8))-1</f>
        <v>0.09071692711794443</v>
      </c>
      <c r="Y23" s="691"/>
      <c r="Z23" s="203"/>
      <c r="AA23" s="203"/>
      <c r="AB23" s="203"/>
      <c r="AC23" s="203"/>
      <c r="AD23" s="203"/>
      <c r="AE23" s="203"/>
      <c r="AF23" s="203"/>
      <c r="AG23" s="203"/>
      <c r="AH23" s="203"/>
      <c r="AI23" s="203"/>
      <c r="AJ23" s="692"/>
    </row>
    <row r="24" spans="1:37" ht="12.75">
      <c r="A24" s="9" t="s">
        <v>864</v>
      </c>
      <c r="B24" s="234"/>
      <c r="N24" s="691" t="s">
        <v>435</v>
      </c>
      <c r="O24" s="203">
        <v>71</v>
      </c>
      <c r="P24" s="203">
        <v>127</v>
      </c>
      <c r="Q24" s="203">
        <v>62</v>
      </c>
      <c r="R24" s="203">
        <v>148</v>
      </c>
      <c r="S24" s="203">
        <v>135</v>
      </c>
      <c r="T24" s="203">
        <v>85</v>
      </c>
      <c r="U24" s="203">
        <v>137</v>
      </c>
      <c r="V24" s="203">
        <v>333</v>
      </c>
      <c r="W24" s="692">
        <f>W25-W22</f>
        <v>248</v>
      </c>
      <c r="X24" s="858">
        <f>((W24/O24)^(1/8))-1</f>
        <v>0.16922789088019052</v>
      </c>
      <c r="Y24" s="691"/>
      <c r="Z24" s="203"/>
      <c r="AA24" s="203"/>
      <c r="AB24" s="203"/>
      <c r="AC24" s="203"/>
      <c r="AD24" s="203"/>
      <c r="AE24" s="203"/>
      <c r="AF24" s="203"/>
      <c r="AG24" s="203"/>
      <c r="AH24" s="203"/>
      <c r="AI24" s="203"/>
      <c r="AJ24" s="860">
        <f>AJ25-AJ22</f>
        <v>305.9156065629252</v>
      </c>
      <c r="AK24" s="850">
        <f>((AJ24/W24)^(1/12))-1</f>
        <v>0.017643889946130642</v>
      </c>
    </row>
    <row r="25" spans="14:37" ht="13.5" thickBot="1">
      <c r="N25" s="691" t="s">
        <v>436</v>
      </c>
      <c r="O25" s="203"/>
      <c r="P25" s="203"/>
      <c r="Q25" s="203"/>
      <c r="R25" s="203"/>
      <c r="S25" s="203"/>
      <c r="T25" s="203"/>
      <c r="U25" s="203"/>
      <c r="V25" s="203"/>
      <c r="W25" s="692">
        <v>941</v>
      </c>
      <c r="X25" s="858"/>
      <c r="Y25" s="861">
        <f>W25*(1+$AB$19)</f>
        <v>973.935</v>
      </c>
      <c r="Z25" s="534">
        <f aca="true" t="shared" si="8" ref="Z25:AJ25">Y25*(1+$AB$19)</f>
        <v>1008.0227249999998</v>
      </c>
      <c r="AA25" s="534">
        <f t="shared" si="8"/>
        <v>1043.3035203749998</v>
      </c>
      <c r="AB25" s="534">
        <f t="shared" si="8"/>
        <v>1079.8191435881247</v>
      </c>
      <c r="AC25" s="534">
        <f t="shared" si="8"/>
        <v>1117.612813613709</v>
      </c>
      <c r="AD25" s="534">
        <f t="shared" si="8"/>
        <v>1156.7292620901887</v>
      </c>
      <c r="AE25" s="534">
        <f t="shared" si="8"/>
        <v>1197.2147862633453</v>
      </c>
      <c r="AF25" s="534">
        <f t="shared" si="8"/>
        <v>1239.1173037825624</v>
      </c>
      <c r="AG25" s="534">
        <f t="shared" si="8"/>
        <v>1282.486409414952</v>
      </c>
      <c r="AH25" s="534">
        <f t="shared" si="8"/>
        <v>1327.3734337444753</v>
      </c>
      <c r="AI25" s="534">
        <f t="shared" si="8"/>
        <v>1373.8315039255317</v>
      </c>
      <c r="AJ25" s="860">
        <f t="shared" si="8"/>
        <v>1421.9156065629252</v>
      </c>
      <c r="AK25" s="850">
        <f>((AJ25/W25)^(1/12))-1</f>
        <v>0.03499999999999992</v>
      </c>
    </row>
    <row r="26" spans="1:36" ht="13.5" thickBot="1">
      <c r="A26" s="1056" t="s">
        <v>648</v>
      </c>
      <c r="B26" s="1062"/>
      <c r="C26" s="1062"/>
      <c r="D26" s="1062"/>
      <c r="E26" s="1062"/>
      <c r="F26" s="1062"/>
      <c r="G26" s="1062"/>
      <c r="H26" s="1063"/>
      <c r="N26" s="862" t="s">
        <v>437</v>
      </c>
      <c r="O26" s="203"/>
      <c r="P26" s="203"/>
      <c r="Q26" s="203"/>
      <c r="R26" s="203"/>
      <c r="S26" s="203"/>
      <c r="T26" s="203"/>
      <c r="U26" s="203"/>
      <c r="V26" s="203"/>
      <c r="W26" s="860">
        <f>W25*$Q$11</f>
        <v>611.65</v>
      </c>
      <c r="Y26" s="861">
        <f>Y25*$Q$11</f>
        <v>633.0577499999999</v>
      </c>
      <c r="Z26" s="534">
        <f aca="true" t="shared" si="9" ref="Z26:AJ26">Z25*$Q$11</f>
        <v>655.2147712499999</v>
      </c>
      <c r="AA26" s="534">
        <f t="shared" si="9"/>
        <v>678.1472882437499</v>
      </c>
      <c r="AB26" s="534">
        <f t="shared" si="9"/>
        <v>701.8824433322811</v>
      </c>
      <c r="AC26" s="534">
        <f t="shared" si="9"/>
        <v>726.4483288489109</v>
      </c>
      <c r="AD26" s="534">
        <f t="shared" si="9"/>
        <v>751.8740203586227</v>
      </c>
      <c r="AE26" s="534">
        <f t="shared" si="9"/>
        <v>778.1896110711745</v>
      </c>
      <c r="AF26" s="534">
        <f t="shared" si="9"/>
        <v>805.4262474586656</v>
      </c>
      <c r="AG26" s="534">
        <f t="shared" si="9"/>
        <v>833.6161661197189</v>
      </c>
      <c r="AH26" s="534">
        <f t="shared" si="9"/>
        <v>862.792731933909</v>
      </c>
      <c r="AI26" s="534">
        <f t="shared" si="9"/>
        <v>892.9904775515956</v>
      </c>
      <c r="AJ26" s="860">
        <f t="shared" si="9"/>
        <v>924.2451442659014</v>
      </c>
    </row>
    <row r="27" spans="1:36" ht="13.5" thickBot="1">
      <c r="A27" s="626" t="s">
        <v>573</v>
      </c>
      <c r="B27" s="627" t="s">
        <v>566</v>
      </c>
      <c r="C27" s="130" t="s">
        <v>567</v>
      </c>
      <c r="D27" s="130" t="s">
        <v>568</v>
      </c>
      <c r="E27" s="130" t="s">
        <v>569</v>
      </c>
      <c r="F27" s="130" t="s">
        <v>570</v>
      </c>
      <c r="G27" s="130" t="s">
        <v>695</v>
      </c>
      <c r="H27" s="129" t="s">
        <v>696</v>
      </c>
      <c r="N27" s="219" t="s">
        <v>438</v>
      </c>
      <c r="O27" s="863"/>
      <c r="P27" s="863"/>
      <c r="Q27" s="863"/>
      <c r="R27" s="863"/>
      <c r="S27" s="863"/>
      <c r="T27" s="863"/>
      <c r="U27" s="863"/>
      <c r="V27" s="863"/>
      <c r="W27" s="864">
        <f>W24/W25</f>
        <v>0.2635494155154091</v>
      </c>
      <c r="Y27" s="219"/>
      <c r="Z27" s="212"/>
      <c r="AA27" s="212"/>
      <c r="AB27" s="212"/>
      <c r="AC27" s="212"/>
      <c r="AD27" s="212"/>
      <c r="AE27" s="212"/>
      <c r="AF27" s="212"/>
      <c r="AG27" s="212"/>
      <c r="AH27" s="212"/>
      <c r="AI27" s="212"/>
      <c r="AJ27" s="864">
        <f>AJ24/AJ25</f>
        <v>0.21514329342118185</v>
      </c>
    </row>
    <row r="28" spans="1:25" ht="12.75">
      <c r="A28" s="373" t="s">
        <v>591</v>
      </c>
      <c r="B28" s="628">
        <f>B6-((B21/0.68)*0.91)</f>
        <v>13457.588380294115</v>
      </c>
      <c r="C28" s="547">
        <f aca="true" t="shared" si="10" ref="C28:H28">C6-((C21/0.68)*0.91)</f>
        <v>29616.4763272549</v>
      </c>
      <c r="D28" s="547">
        <f t="shared" si="10"/>
        <v>43074.06470754901</v>
      </c>
      <c r="E28" s="547">
        <f t="shared" si="10"/>
        <v>56911.225074215676</v>
      </c>
      <c r="F28" s="547">
        <f t="shared" si="10"/>
        <v>63057.81490754901</v>
      </c>
      <c r="G28" s="547">
        <f t="shared" si="10"/>
        <v>66420.43954088236</v>
      </c>
      <c r="H28" s="220">
        <f t="shared" si="10"/>
        <v>66916.43334088236</v>
      </c>
      <c r="J28" s="1023"/>
      <c r="K28" s="1023"/>
      <c r="L28" s="1023"/>
      <c r="M28" s="1023"/>
      <c r="Y28" t="s">
        <v>440</v>
      </c>
    </row>
    <row r="29" spans="1:36" ht="12.75">
      <c r="A29" s="373" t="s">
        <v>556</v>
      </c>
      <c r="B29" s="629">
        <f aca="true" t="shared" si="11" ref="B29:H38">B7</f>
        <v>0</v>
      </c>
      <c r="C29" s="184">
        <f t="shared" si="11"/>
        <v>0</v>
      </c>
      <c r="D29" s="184">
        <f t="shared" si="11"/>
        <v>0</v>
      </c>
      <c r="E29" s="184">
        <f t="shared" si="11"/>
        <v>0</v>
      </c>
      <c r="F29" s="184">
        <f t="shared" si="11"/>
        <v>0</v>
      </c>
      <c r="G29" s="184">
        <f t="shared" si="11"/>
        <v>0</v>
      </c>
      <c r="H29" s="122">
        <f t="shared" si="11"/>
        <v>0</v>
      </c>
      <c r="J29" s="1023"/>
      <c r="K29" s="1023"/>
      <c r="L29" s="1023"/>
      <c r="M29" s="1023"/>
      <c r="O29" t="s">
        <v>842</v>
      </c>
      <c r="P29" t="s">
        <v>441</v>
      </c>
      <c r="Q29" t="s">
        <v>442</v>
      </c>
      <c r="R29" t="s">
        <v>443</v>
      </c>
      <c r="Y29" t="s">
        <v>444</v>
      </c>
      <c r="AE29" t="s">
        <v>445</v>
      </c>
      <c r="AJ29" t="s">
        <v>446</v>
      </c>
    </row>
    <row r="30" spans="1:25" ht="12.75">
      <c r="A30" s="373" t="s">
        <v>564</v>
      </c>
      <c r="B30" s="629">
        <f t="shared" si="11"/>
        <v>1621.3130666666666</v>
      </c>
      <c r="C30" s="184">
        <f t="shared" si="11"/>
        <v>3413.2906666666668</v>
      </c>
      <c r="D30" s="184">
        <f t="shared" si="11"/>
        <v>5034.603733333333</v>
      </c>
      <c r="E30" s="184">
        <f t="shared" si="11"/>
        <v>5759.928</v>
      </c>
      <c r="F30" s="184">
        <f t="shared" si="11"/>
        <v>6101.257066666666</v>
      </c>
      <c r="G30" s="184">
        <f t="shared" si="11"/>
        <v>6314.587733333333</v>
      </c>
      <c r="H30" s="122">
        <f t="shared" si="11"/>
        <v>6399.92</v>
      </c>
      <c r="J30" s="1023"/>
      <c r="K30" s="1023"/>
      <c r="L30" s="1023"/>
      <c r="M30" s="1023"/>
      <c r="O30">
        <v>1995</v>
      </c>
      <c r="P30" s="518" t="s">
        <v>447</v>
      </c>
      <c r="Q30" s="264">
        <f aca="true" t="shared" si="12" ref="Q30:Q38">P30*$Q$11</f>
        <v>136290.7</v>
      </c>
      <c r="R30" s="253">
        <f>O23/O22</f>
        <v>0.4405</v>
      </c>
      <c r="Y30" t="s">
        <v>448</v>
      </c>
    </row>
    <row r="31" spans="1:18" ht="12.75">
      <c r="A31" s="373" t="s">
        <v>593</v>
      </c>
      <c r="B31" s="547">
        <f>B9-((B21/0.68)*0.09)</f>
        <v>1427.7309746078433</v>
      </c>
      <c r="C31" s="547">
        <f aca="true" t="shared" si="13" ref="C31:H31">C9-((C21/0.68)*0.09)</f>
        <v>2522.1327825490202</v>
      </c>
      <c r="D31" s="547">
        <f t="shared" si="13"/>
        <v>3949.8637571568634</v>
      </c>
      <c r="E31" s="547">
        <f t="shared" si="13"/>
        <v>1683.22542382353</v>
      </c>
      <c r="F31" s="547">
        <f t="shared" si="13"/>
        <v>-116.75207617646993</v>
      </c>
      <c r="G31" s="547">
        <f t="shared" si="13"/>
        <v>-1450.0687428431368</v>
      </c>
      <c r="H31" s="220">
        <f t="shared" si="13"/>
        <v>-2116.7270761764703</v>
      </c>
      <c r="J31" s="1023"/>
      <c r="K31" s="1023"/>
      <c r="L31" s="1023"/>
      <c r="M31" s="1023"/>
      <c r="O31">
        <v>1996</v>
      </c>
      <c r="P31" s="518" t="s">
        <v>449</v>
      </c>
      <c r="Q31" s="264">
        <f t="shared" si="12"/>
        <v>150933.9</v>
      </c>
      <c r="R31" s="253">
        <f>P23/P22</f>
        <v>0.3703444976076555</v>
      </c>
    </row>
    <row r="32" spans="1:36" ht="12.75">
      <c r="A32" s="373" t="s">
        <v>563</v>
      </c>
      <c r="B32" s="629">
        <f t="shared" si="11"/>
        <v>340.20433008267423</v>
      </c>
      <c r="C32" s="184">
        <f t="shared" si="11"/>
        <v>759.2764446036178</v>
      </c>
      <c r="D32" s="184">
        <f t="shared" si="11"/>
        <v>1099.480774686292</v>
      </c>
      <c r="E32" s="184">
        <f t="shared" si="11"/>
        <v>1554.0034739734506</v>
      </c>
      <c r="F32" s="184">
        <f t="shared" si="11"/>
        <v>1854.922359452507</v>
      </c>
      <c r="G32" s="184">
        <f t="shared" si="11"/>
        <v>2055.6052458083773</v>
      </c>
      <c r="H32" s="122">
        <f t="shared" si="11"/>
        <v>2159.973</v>
      </c>
      <c r="O32">
        <v>1997</v>
      </c>
      <c r="P32" s="518" t="s">
        <v>450</v>
      </c>
      <c r="Q32" s="264">
        <f t="shared" si="12"/>
        <v>158965.95</v>
      </c>
      <c r="R32" s="253">
        <f>Q23/Q22</f>
        <v>0.42532695652173913</v>
      </c>
      <c r="Y32" t="s">
        <v>451</v>
      </c>
      <c r="AJ32" s="49"/>
    </row>
    <row r="33" spans="1:18" ht="12.75">
      <c r="A33" s="373" t="s">
        <v>557</v>
      </c>
      <c r="B33" s="629">
        <f t="shared" si="11"/>
        <v>3999.9499999999994</v>
      </c>
      <c r="C33" s="184">
        <f t="shared" si="11"/>
        <v>10239.872</v>
      </c>
      <c r="D33" s="184">
        <f t="shared" si="11"/>
        <v>14239.821999999998</v>
      </c>
      <c r="E33" s="184">
        <f t="shared" si="11"/>
        <v>26079.674</v>
      </c>
      <c r="F33" s="184">
        <f t="shared" si="11"/>
        <v>34239.572</v>
      </c>
      <c r="G33" s="184">
        <f t="shared" si="11"/>
        <v>39999.5</v>
      </c>
      <c r="H33" s="122">
        <f t="shared" si="11"/>
        <v>43199.46</v>
      </c>
      <c r="O33">
        <v>1998</v>
      </c>
      <c r="P33" s="518" t="s">
        <v>452</v>
      </c>
      <c r="Q33" s="264">
        <f t="shared" si="12"/>
        <v>173670.9</v>
      </c>
      <c r="R33" s="253">
        <f>R23/R22</f>
        <v>0.37264435146443514</v>
      </c>
    </row>
    <row r="34" spans="1:18" ht="12.75">
      <c r="A34" s="373" t="s">
        <v>558</v>
      </c>
      <c r="B34" s="629">
        <f t="shared" si="11"/>
        <v>1919.9759999999999</v>
      </c>
      <c r="C34" s="184">
        <f t="shared" si="11"/>
        <v>3679.9539999999997</v>
      </c>
      <c r="D34" s="184">
        <f t="shared" si="11"/>
        <v>5599.929999999999</v>
      </c>
      <c r="E34" s="184">
        <f t="shared" si="11"/>
        <v>3946.6173333333327</v>
      </c>
      <c r="F34" s="184">
        <f t="shared" si="11"/>
        <v>2186.6393333333326</v>
      </c>
      <c r="G34" s="184">
        <f t="shared" si="11"/>
        <v>799.9899999999997</v>
      </c>
      <c r="H34" s="122">
        <f t="shared" si="11"/>
        <v>0</v>
      </c>
      <c r="O34">
        <v>1999</v>
      </c>
      <c r="P34" s="518" t="s">
        <v>453</v>
      </c>
      <c r="Q34" s="264">
        <f t="shared" si="12"/>
        <v>200609.5</v>
      </c>
      <c r="R34" s="253">
        <f>S23/S22</f>
        <v>0.424525447042641</v>
      </c>
    </row>
    <row r="35" spans="1:35" ht="12.75">
      <c r="A35" s="373" t="s">
        <v>560</v>
      </c>
      <c r="B35" s="629">
        <f t="shared" si="11"/>
        <v>719.991</v>
      </c>
      <c r="C35" s="184">
        <f t="shared" si="11"/>
        <v>2049.974375</v>
      </c>
      <c r="D35" s="184">
        <f t="shared" si="11"/>
        <v>2769.9653749999998</v>
      </c>
      <c r="E35" s="184">
        <f t="shared" si="11"/>
        <v>6189.922624999999</v>
      </c>
      <c r="F35" s="184">
        <f t="shared" si="11"/>
        <v>8699.891249999999</v>
      </c>
      <c r="G35" s="184">
        <f t="shared" si="11"/>
        <v>10539.86825</v>
      </c>
      <c r="H35" s="122">
        <f t="shared" si="11"/>
        <v>11519.856</v>
      </c>
      <c r="O35">
        <v>2000</v>
      </c>
      <c r="P35" s="518" t="s">
        <v>454</v>
      </c>
      <c r="Q35" s="264">
        <f t="shared" si="12"/>
        <v>207545</v>
      </c>
      <c r="R35" s="253">
        <f>T23/T22</f>
        <v>0.4303234501347709</v>
      </c>
      <c r="AA35" t="s">
        <v>455</v>
      </c>
      <c r="AE35" s="49">
        <f>AJ25-AA25</f>
        <v>378.61208618792534</v>
      </c>
      <c r="AG35" t="s">
        <v>456</v>
      </c>
      <c r="AI35" s="49">
        <f>AJ25</f>
        <v>1421.9156065629252</v>
      </c>
    </row>
    <row r="36" spans="1:35" ht="12.75">
      <c r="A36" s="373" t="s">
        <v>575</v>
      </c>
      <c r="B36" s="629">
        <f t="shared" si="11"/>
        <v>0</v>
      </c>
      <c r="C36" s="184">
        <f t="shared" si="11"/>
        <v>0</v>
      </c>
      <c r="D36" s="184">
        <f t="shared" si="11"/>
        <v>0</v>
      </c>
      <c r="E36" s="184">
        <f t="shared" si="11"/>
        <v>0</v>
      </c>
      <c r="F36" s="184">
        <f t="shared" si="11"/>
        <v>0</v>
      </c>
      <c r="G36" s="184">
        <f t="shared" si="11"/>
        <v>0</v>
      </c>
      <c r="H36" s="122">
        <f t="shared" si="11"/>
        <v>0</v>
      </c>
      <c r="O36">
        <v>2001</v>
      </c>
      <c r="P36" s="518">
        <v>350000</v>
      </c>
      <c r="Q36" s="264">
        <f t="shared" si="12"/>
        <v>227500</v>
      </c>
      <c r="R36" s="253">
        <f>U23/U22</f>
        <v>0.3723404255319149</v>
      </c>
      <c r="AA36" t="s">
        <v>457</v>
      </c>
      <c r="AE36" s="49">
        <f>AE35*Q11</f>
        <v>246.0978560221515</v>
      </c>
      <c r="AG36" t="s">
        <v>458</v>
      </c>
      <c r="AI36" s="49">
        <f>AI35*Q11</f>
        <v>924.2451442659014</v>
      </c>
    </row>
    <row r="37" spans="1:35" ht="12.75">
      <c r="A37" s="373" t="s">
        <v>651</v>
      </c>
      <c r="B37" s="629">
        <f t="shared" si="11"/>
        <v>79.999</v>
      </c>
      <c r="C37" s="184">
        <f t="shared" si="11"/>
        <v>159.998</v>
      </c>
      <c r="D37" s="184">
        <f t="shared" si="11"/>
        <v>239.99699999999999</v>
      </c>
      <c r="E37" s="184">
        <f t="shared" si="11"/>
        <v>179.99775000000002</v>
      </c>
      <c r="F37" s="184">
        <f t="shared" si="11"/>
        <v>99.99875000000002</v>
      </c>
      <c r="G37" s="184">
        <f t="shared" si="11"/>
        <v>33.33291666666668</v>
      </c>
      <c r="H37" s="122">
        <f t="shared" si="11"/>
        <v>0</v>
      </c>
      <c r="O37">
        <v>2002</v>
      </c>
      <c r="P37" s="518">
        <v>400000</v>
      </c>
      <c r="Q37" s="264">
        <f t="shared" si="12"/>
        <v>260000</v>
      </c>
      <c r="R37" s="253">
        <f>V23/V22</f>
        <v>0.5633802816901409</v>
      </c>
      <c r="AA37" t="s">
        <v>457</v>
      </c>
      <c r="AE37" s="49">
        <f>AJ26-AA26</f>
        <v>246.09785602215152</v>
      </c>
      <c r="AG37" t="s">
        <v>458</v>
      </c>
      <c r="AI37" s="49">
        <f>AJ26</f>
        <v>924.2451442659014</v>
      </c>
    </row>
    <row r="38" spans="1:35" ht="13.5" thickBot="1">
      <c r="A38" s="373" t="s">
        <v>652</v>
      </c>
      <c r="B38" s="630">
        <f t="shared" si="11"/>
        <v>0</v>
      </c>
      <c r="C38" s="631">
        <f t="shared" si="11"/>
        <v>0</v>
      </c>
      <c r="D38" s="631">
        <f t="shared" si="11"/>
        <v>0</v>
      </c>
      <c r="E38" s="631">
        <f t="shared" si="11"/>
        <v>0</v>
      </c>
      <c r="F38" s="631">
        <f t="shared" si="11"/>
        <v>0</v>
      </c>
      <c r="G38" s="631">
        <f t="shared" si="11"/>
        <v>0</v>
      </c>
      <c r="H38" s="632">
        <f t="shared" si="11"/>
        <v>0</v>
      </c>
      <c r="O38">
        <v>2003</v>
      </c>
      <c r="P38" s="518">
        <v>420000</v>
      </c>
      <c r="Q38" s="264">
        <f t="shared" si="12"/>
        <v>273000</v>
      </c>
      <c r="R38" s="253">
        <f>W23/W22</f>
        <v>0.6060606060606061</v>
      </c>
      <c r="AA38" t="s">
        <v>459</v>
      </c>
      <c r="AE38" s="850">
        <f>AJ14/AE35</f>
        <v>0.23327014435604318</v>
      </c>
      <c r="AG38" t="s">
        <v>460</v>
      </c>
      <c r="AI38" s="850">
        <f>AJ14/AI35</f>
        <v>0.06211261455487201</v>
      </c>
    </row>
    <row r="39" spans="1:35" ht="13.5" thickBot="1">
      <c r="A39" s="204" t="s">
        <v>649</v>
      </c>
      <c r="B39" s="1018">
        <f>SUM(B28:B38)</f>
        <v>23566.752751651296</v>
      </c>
      <c r="C39" s="1018">
        <f aca="true" t="shared" si="14" ref="C39:H39">SUM(C28:C38)</f>
        <v>52440.9745960742</v>
      </c>
      <c r="D39" s="1018">
        <f t="shared" si="14"/>
        <v>76007.7273477255</v>
      </c>
      <c r="E39" s="1018">
        <f t="shared" si="14"/>
        <v>102304.59368034599</v>
      </c>
      <c r="F39" s="1018">
        <f t="shared" si="14"/>
        <v>116123.34359082505</v>
      </c>
      <c r="G39" s="1018">
        <f t="shared" si="14"/>
        <v>124713.2549438476</v>
      </c>
      <c r="H39" s="1019">
        <f t="shared" si="14"/>
        <v>128078.9152647059</v>
      </c>
      <c r="AA39" t="s">
        <v>461</v>
      </c>
      <c r="AE39" s="850">
        <f>AJ15/AE36</f>
        <v>0.23327014435604318</v>
      </c>
      <c r="AG39" t="s">
        <v>462</v>
      </c>
      <c r="AI39" s="850">
        <f>AJ15/AI36</f>
        <v>0.062112614554872006</v>
      </c>
    </row>
    <row r="40" spans="1:16" ht="12.75">
      <c r="A40" s="1016" t="s">
        <v>167</v>
      </c>
      <c r="B40" s="1017"/>
      <c r="C40" s="1017"/>
      <c r="D40" s="1017"/>
      <c r="E40" s="1017"/>
      <c r="F40" s="1017"/>
      <c r="G40" s="1017"/>
      <c r="H40" s="1017"/>
      <c r="O40" t="s">
        <v>463</v>
      </c>
      <c r="P40" t="s">
        <v>464</v>
      </c>
    </row>
    <row r="41" ht="13.5" thickBot="1"/>
    <row r="42" spans="1:8" ht="13.5" thickBot="1">
      <c r="A42" s="340" t="s">
        <v>868</v>
      </c>
      <c r="B42" s="420">
        <f>B22</f>
        <v>0.23458766920341023</v>
      </c>
      <c r="C42" s="421">
        <f aca="true" t="shared" si="15" ref="C42:H42">C22</f>
        <v>0.2229707915404263</v>
      </c>
      <c r="D42" s="421">
        <f t="shared" si="15"/>
        <v>0.22671310013058085</v>
      </c>
      <c r="E42" s="421">
        <f t="shared" si="15"/>
        <v>0.19476726369156583</v>
      </c>
      <c r="F42" s="421">
        <f t="shared" si="15"/>
        <v>0.18497573792845776</v>
      </c>
      <c r="G42" s="421">
        <f t="shared" si="15"/>
        <v>0.1807337376703949</v>
      </c>
      <c r="H42" s="422">
        <f t="shared" si="15"/>
        <v>0.18108298160792227</v>
      </c>
    </row>
    <row r="44" ht="12.75">
      <c r="A44" s="9" t="s">
        <v>869</v>
      </c>
    </row>
    <row r="45" ht="13.5" thickBot="1">
      <c r="A45" s="9"/>
    </row>
    <row r="46" spans="1:12" ht="13.5" thickBot="1">
      <c r="A46" s="423"/>
      <c r="B46" s="424" t="s">
        <v>870</v>
      </c>
      <c r="C46" s="425" t="s">
        <v>871</v>
      </c>
      <c r="D46" s="394"/>
      <c r="E46" s="51" t="s">
        <v>24</v>
      </c>
      <c r="F46" s="71"/>
      <c r="G46" s="71"/>
      <c r="H46" s="71"/>
      <c r="I46" s="71"/>
      <c r="J46" s="83"/>
      <c r="K46" s="1021">
        <v>0.6</v>
      </c>
      <c r="L46" s="1156"/>
    </row>
    <row r="47" spans="1:12" ht="13.5" thickBot="1">
      <c r="A47" s="426" t="s">
        <v>872</v>
      </c>
      <c r="B47" s="427">
        <v>70000</v>
      </c>
      <c r="C47" s="428" t="s">
        <v>873</v>
      </c>
      <c r="D47" s="394"/>
      <c r="E47" s="340" t="s">
        <v>23</v>
      </c>
      <c r="F47" s="63"/>
      <c r="G47" s="63"/>
      <c r="H47" s="63"/>
      <c r="I47" s="63"/>
      <c r="J47" s="74"/>
      <c r="K47" s="1022">
        <v>0.3</v>
      </c>
      <c r="L47" s="1156"/>
    </row>
    <row r="48" spans="1:4" ht="13.5" thickBot="1">
      <c r="A48" s="429" t="s">
        <v>874</v>
      </c>
      <c r="B48" s="430">
        <v>30000</v>
      </c>
      <c r="C48" s="431">
        <f>B48/B47</f>
        <v>0.42857142857142855</v>
      </c>
      <c r="D48" s="394"/>
    </row>
    <row r="49" spans="1:4" ht="13.5" thickBot="1">
      <c r="A49" s="432"/>
      <c r="B49" s="432"/>
      <c r="C49" s="432"/>
      <c r="D49" s="394"/>
    </row>
    <row r="50" spans="1:8" ht="115.5" thickBot="1">
      <c r="A50" s="433" t="s">
        <v>842</v>
      </c>
      <c r="B50" s="434" t="s">
        <v>875</v>
      </c>
      <c r="C50" s="435" t="s">
        <v>876</v>
      </c>
      <c r="D50" s="435" t="s">
        <v>877</v>
      </c>
      <c r="E50" s="436" t="s">
        <v>878</v>
      </c>
      <c r="F50" s="435" t="s">
        <v>879</v>
      </c>
      <c r="G50" s="436" t="s">
        <v>30</v>
      </c>
      <c r="H50" s="437" t="s">
        <v>31</v>
      </c>
    </row>
    <row r="51" spans="1:12" ht="13.5" thickBot="1">
      <c r="A51" s="438" t="s">
        <v>880</v>
      </c>
      <c r="B51" s="439">
        <f>'Alatona Prod'!B39</f>
        <v>23566.752751651296</v>
      </c>
      <c r="C51" s="440">
        <f>B51*$C$48</f>
        <v>10100.03689356484</v>
      </c>
      <c r="D51" s="440">
        <f>(B51-(B51*B42)+C51)/$L$51</f>
        <v>2344.8600038761006</v>
      </c>
      <c r="E51" s="440">
        <f aca="true" t="shared" si="16" ref="E51:E57">D51*2</f>
        <v>4689.720007752201</v>
      </c>
      <c r="F51" s="440">
        <f aca="true" t="shared" si="17" ref="F51:F57">E51/365</f>
        <v>12.848547966444386</v>
      </c>
      <c r="G51" s="440">
        <f>F51*$K$46</f>
        <v>7.7091287798666315</v>
      </c>
      <c r="H51" s="441">
        <f>$K$47*F51</f>
        <v>3.8545643899333157</v>
      </c>
      <c r="J51" s="151" t="s">
        <v>58</v>
      </c>
      <c r="K51" s="512"/>
      <c r="L51" s="1020">
        <f>'Road Model'!$N$11</f>
        <v>12</v>
      </c>
    </row>
    <row r="52" spans="1:8" ht="12.75">
      <c r="A52" s="438" t="s">
        <v>881</v>
      </c>
      <c r="B52" s="439">
        <f>'Alatona Prod'!C39</f>
        <v>52440.9745960742</v>
      </c>
      <c r="C52" s="440">
        <f aca="true" t="shared" si="18" ref="C52:C57">B52*$C$48</f>
        <v>22474.703398317513</v>
      </c>
      <c r="D52" s="440">
        <f>(B52-(B52*C42)+C52)/L51</f>
        <v>5268.572698296139</v>
      </c>
      <c r="E52" s="440">
        <f t="shared" si="16"/>
        <v>10537.145396592277</v>
      </c>
      <c r="F52" s="440">
        <f t="shared" si="17"/>
        <v>28.86889149751309</v>
      </c>
      <c r="G52" s="440">
        <f aca="true" t="shared" si="19" ref="G52:G57">F52*$K$46</f>
        <v>17.321334898507853</v>
      </c>
      <c r="H52" s="441">
        <f aca="true" t="shared" si="20" ref="H52:H57">$K$47*F52</f>
        <v>8.660667449253927</v>
      </c>
    </row>
    <row r="53" spans="1:8" ht="12.75">
      <c r="A53" s="438" t="s">
        <v>882</v>
      </c>
      <c r="B53" s="439">
        <f>'Alatona Prod'!D39</f>
        <v>76007.7273477255</v>
      </c>
      <c r="C53" s="440">
        <f t="shared" si="18"/>
        <v>32574.740291882354</v>
      </c>
      <c r="D53" s="440">
        <f>(B53-(B53*D42)+C53)/L51</f>
        <v>7612.543344893756</v>
      </c>
      <c r="E53" s="440">
        <f t="shared" si="16"/>
        <v>15225.086689787511</v>
      </c>
      <c r="F53" s="440">
        <f t="shared" si="17"/>
        <v>41.71256627339044</v>
      </c>
      <c r="G53" s="440">
        <f t="shared" si="19"/>
        <v>25.027539764034266</v>
      </c>
      <c r="H53" s="441">
        <f t="shared" si="20"/>
        <v>12.513769882017133</v>
      </c>
    </row>
    <row r="54" spans="1:8" ht="12.75">
      <c r="A54" s="438" t="s">
        <v>883</v>
      </c>
      <c r="B54" s="439">
        <f>'Alatona Prod'!E39</f>
        <v>102304.59368034599</v>
      </c>
      <c r="C54" s="440">
        <f t="shared" si="18"/>
        <v>43844.825863005426</v>
      </c>
      <c r="D54" s="440">
        <f>(B54-(B54*E42)+C54)/L51</f>
        <v>10518.65281409608</v>
      </c>
      <c r="E54" s="440">
        <f t="shared" si="16"/>
        <v>21037.30562819216</v>
      </c>
      <c r="F54" s="440">
        <f t="shared" si="17"/>
        <v>57.63645377586893</v>
      </c>
      <c r="G54" s="440">
        <f t="shared" si="19"/>
        <v>34.581872265521355</v>
      </c>
      <c r="H54" s="441">
        <f t="shared" si="20"/>
        <v>17.290936132760677</v>
      </c>
    </row>
    <row r="55" spans="1:8" ht="12.75">
      <c r="A55" s="438" t="s">
        <v>884</v>
      </c>
      <c r="B55" s="439">
        <f>'Alatona Prod'!F39</f>
        <v>116123.34359082505</v>
      </c>
      <c r="C55" s="440">
        <f t="shared" si="18"/>
        <v>49767.14725321074</v>
      </c>
      <c r="D55" s="440">
        <f>(B55-(B55*F42)+C55)/L51</f>
        <v>12034.207472716924</v>
      </c>
      <c r="E55" s="440">
        <f t="shared" si="16"/>
        <v>24068.414945433848</v>
      </c>
      <c r="F55" s="440">
        <f t="shared" si="17"/>
        <v>65.94086286420232</v>
      </c>
      <c r="G55" s="440">
        <f t="shared" si="19"/>
        <v>39.56451771852139</v>
      </c>
      <c r="H55" s="441">
        <f t="shared" si="20"/>
        <v>19.782258859260693</v>
      </c>
    </row>
    <row r="56" spans="1:8" ht="12.75">
      <c r="A56" s="438" t="s">
        <v>885</v>
      </c>
      <c r="B56" s="439">
        <f>'Alatona Prod'!G39</f>
        <v>124713.2549438476</v>
      </c>
      <c r="C56" s="440">
        <f t="shared" si="18"/>
        <v>53448.53783307754</v>
      </c>
      <c r="D56" s="440">
        <f>(B56-(B56*G42)+C56)/L51</f>
        <v>12968.49167282356</v>
      </c>
      <c r="E56" s="440">
        <f t="shared" si="16"/>
        <v>25936.98334564712</v>
      </c>
      <c r="F56" s="440">
        <f t="shared" si="17"/>
        <v>71.06022834423868</v>
      </c>
      <c r="G56" s="440">
        <f t="shared" si="19"/>
        <v>42.63613700654321</v>
      </c>
      <c r="H56" s="441">
        <f t="shared" si="20"/>
        <v>21.318068503271604</v>
      </c>
    </row>
    <row r="57" spans="1:8" ht="13.5" thickBot="1">
      <c r="A57" s="442" t="s">
        <v>886</v>
      </c>
      <c r="B57" s="443">
        <f>'Alatona Prod'!H39</f>
        <v>128078.9152647059</v>
      </c>
      <c r="C57" s="444">
        <f t="shared" si="18"/>
        <v>54890.963684873954</v>
      </c>
      <c r="D57" s="444">
        <f>(B57-(B57*H42)+C57)/L51</f>
        <v>13314.747257694873</v>
      </c>
      <c r="E57" s="444">
        <f t="shared" si="16"/>
        <v>26629.494515389746</v>
      </c>
      <c r="F57" s="444">
        <f t="shared" si="17"/>
        <v>72.95751922024589</v>
      </c>
      <c r="G57" s="444">
        <f t="shared" si="19"/>
        <v>43.77451153214753</v>
      </c>
      <c r="H57" s="445">
        <f t="shared" si="20"/>
        <v>21.887255766073764</v>
      </c>
    </row>
    <row r="58" spans="1:8" ht="12.75">
      <c r="A58" s="432"/>
      <c r="B58" s="432"/>
      <c r="C58" s="432"/>
      <c r="D58" s="406"/>
      <c r="G58" s="1"/>
      <c r="H58" s="1"/>
    </row>
    <row r="59" spans="1:4" ht="12.75">
      <c r="A59" s="432"/>
      <c r="C59" s="432"/>
      <c r="D59" s="406"/>
    </row>
    <row r="60" spans="1:4" ht="12.75">
      <c r="A60" s="432"/>
      <c r="C60" s="446"/>
      <c r="D60" s="447"/>
    </row>
    <row r="61" spans="1:4" ht="12.75">
      <c r="A61" s="432"/>
      <c r="C61" s="446"/>
      <c r="D61" s="410"/>
    </row>
    <row r="62" spans="1:4" ht="12.75">
      <c r="A62" s="432"/>
      <c r="C62" s="446"/>
      <c r="D62" s="410"/>
    </row>
    <row r="63" spans="1:4" ht="12.75">
      <c r="A63" s="432"/>
      <c r="C63" s="446"/>
      <c r="D63" s="410"/>
    </row>
    <row r="64" spans="1:4" ht="12.75">
      <c r="A64" s="432"/>
      <c r="C64" s="446"/>
      <c r="D64" s="410"/>
    </row>
    <row r="65" spans="1:4" ht="12.75">
      <c r="A65" s="432"/>
      <c r="C65" s="446"/>
      <c r="D65" s="410"/>
    </row>
    <row r="66" spans="1:4" ht="12.75">
      <c r="A66" s="432"/>
      <c r="C66" s="446"/>
      <c r="D66" s="410"/>
    </row>
    <row r="67" spans="1:4" ht="12.75">
      <c r="A67" s="432"/>
      <c r="B67" s="432"/>
      <c r="C67" s="432"/>
      <c r="D67" s="394"/>
    </row>
    <row r="68" spans="1:4" ht="12.75">
      <c r="A68" s="432"/>
      <c r="B68" s="432"/>
      <c r="C68" s="432"/>
      <c r="D68" s="394"/>
    </row>
    <row r="69" spans="1:4" ht="12.75">
      <c r="A69" s="432"/>
      <c r="C69" s="446"/>
      <c r="D69" s="394"/>
    </row>
    <row r="70" spans="1:4" ht="12.75">
      <c r="A70" s="432"/>
      <c r="C70" s="446"/>
      <c r="D70" s="394"/>
    </row>
    <row r="71" spans="1:4" ht="12.75">
      <c r="A71" s="432"/>
      <c r="C71" s="446"/>
      <c r="D71" s="394"/>
    </row>
    <row r="72" spans="1:4" ht="12.75">
      <c r="A72" s="432"/>
      <c r="C72" s="446"/>
      <c r="D72" s="394"/>
    </row>
    <row r="73" spans="1:4" ht="12.75">
      <c r="A73" s="432"/>
      <c r="C73" s="446"/>
      <c r="D73" s="394"/>
    </row>
    <row r="74" spans="1:4" ht="12.75">
      <c r="A74" s="432"/>
      <c r="C74" s="446"/>
      <c r="D74" s="394"/>
    </row>
    <row r="75" spans="1:4" ht="12.75">
      <c r="A75" s="432"/>
      <c r="C75" s="446"/>
      <c r="D75" s="394"/>
    </row>
    <row r="76" spans="1:4" ht="12.75">
      <c r="A76" s="432"/>
      <c r="B76" s="432"/>
      <c r="C76" s="432"/>
      <c r="D76" s="394"/>
    </row>
    <row r="77" spans="1:4" ht="12.75">
      <c r="A77" s="432"/>
      <c r="B77" s="432"/>
      <c r="C77" s="432"/>
      <c r="D77" s="394"/>
    </row>
    <row r="78" spans="1:4" ht="12.75">
      <c r="A78" s="432"/>
      <c r="C78" s="446"/>
      <c r="D78" s="394"/>
    </row>
    <row r="79" spans="1:4" ht="12.75">
      <c r="A79" s="432"/>
      <c r="C79" s="446"/>
      <c r="D79" s="394"/>
    </row>
    <row r="80" spans="1:4" ht="12.75">
      <c r="A80" s="432"/>
      <c r="C80" s="446"/>
      <c r="D80" s="394"/>
    </row>
    <row r="81" spans="1:4" ht="12.75">
      <c r="A81" s="432"/>
      <c r="C81" s="446"/>
      <c r="D81" s="394"/>
    </row>
    <row r="82" spans="1:4" ht="12.75">
      <c r="A82" s="432"/>
      <c r="C82" s="446"/>
      <c r="D82" s="394"/>
    </row>
    <row r="83" spans="1:4" ht="12.75">
      <c r="A83" s="432"/>
      <c r="C83" s="446"/>
      <c r="D83" s="394"/>
    </row>
    <row r="84" spans="1:4" ht="12.75">
      <c r="A84" s="432"/>
      <c r="C84" s="446"/>
      <c r="D84" s="394"/>
    </row>
    <row r="85" spans="1:4" ht="12.75">
      <c r="A85" s="432"/>
      <c r="B85" s="432"/>
      <c r="C85" s="432"/>
      <c r="D85" s="394"/>
    </row>
    <row r="86" spans="1:4" ht="12.75">
      <c r="A86" s="432"/>
      <c r="B86" s="432"/>
      <c r="C86" s="432"/>
      <c r="D86" s="394"/>
    </row>
    <row r="87" spans="1:4" ht="12.75">
      <c r="A87" s="432"/>
      <c r="B87" s="432"/>
      <c r="C87" s="432"/>
      <c r="D87" s="394"/>
    </row>
    <row r="88" spans="1:4" ht="12.75">
      <c r="A88" s="432"/>
      <c r="C88" s="448"/>
      <c r="D88" s="394"/>
    </row>
    <row r="89" spans="1:4" ht="12.75">
      <c r="A89" s="432"/>
      <c r="C89" s="448"/>
      <c r="D89" s="394"/>
    </row>
    <row r="90" spans="1:4" ht="12.75">
      <c r="A90" s="432"/>
      <c r="C90" s="448"/>
      <c r="D90" s="394"/>
    </row>
    <row r="91" spans="1:4" ht="12.75">
      <c r="A91" s="432"/>
      <c r="C91" s="448"/>
      <c r="D91" s="394"/>
    </row>
    <row r="92" spans="1:4" ht="12.75">
      <c r="A92" s="432"/>
      <c r="C92" s="448"/>
      <c r="D92" s="394"/>
    </row>
    <row r="93" spans="1:4" ht="12.75">
      <c r="A93" s="432"/>
      <c r="C93" s="432"/>
      <c r="D93" s="394"/>
    </row>
    <row r="94" spans="1:4" ht="12.75">
      <c r="A94" s="432"/>
      <c r="C94" s="432"/>
      <c r="D94" s="394"/>
    </row>
  </sheetData>
  <mergeCells count="6">
    <mergeCell ref="L46:L47"/>
    <mergeCell ref="O20:W20"/>
    <mergeCell ref="Y20:AJ20"/>
    <mergeCell ref="A3:I3"/>
    <mergeCell ref="A4:H4"/>
    <mergeCell ref="A26:H26"/>
  </mergeCells>
  <conditionalFormatting sqref="A3">
    <cfRule type="cellIs" priority="1" dxfId="0" operator="equal" stopIfTrue="1">
      <formula>0</formula>
    </cfRule>
    <cfRule type="cellIs" priority="2" dxfId="1" operator="notEqual" stopIfTrue="1">
      <formula>0</formula>
    </cfRule>
  </conditionalFormatting>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scale="62" r:id="rId4"/>
  <drawing r:id="rId3"/>
  <legacyDrawing r:id="rId2"/>
</worksheet>
</file>

<file path=xl/worksheets/sheet13.xml><?xml version="1.0" encoding="utf-8"?>
<worksheet xmlns="http://schemas.openxmlformats.org/spreadsheetml/2006/main" xmlns:r="http://schemas.openxmlformats.org/officeDocument/2006/relationships">
  <sheetPr codeName="Sheet11"/>
  <dimension ref="A1:J17"/>
  <sheetViews>
    <sheetView workbookViewId="0" topLeftCell="A1">
      <selection activeCell="E27" sqref="E27"/>
    </sheetView>
  </sheetViews>
  <sheetFormatPr defaultColWidth="9.140625" defaultRowHeight="12.75"/>
  <cols>
    <col min="1" max="1" width="3.57421875" style="268" customWidth="1"/>
    <col min="2" max="2" width="27.00390625" style="268" customWidth="1"/>
    <col min="3" max="5" width="9.140625" style="268" customWidth="1"/>
    <col min="6" max="6" width="12.421875" style="268" customWidth="1"/>
    <col min="7" max="7" width="16.7109375" style="268" customWidth="1"/>
    <col min="8" max="16384" width="9.140625" style="268" customWidth="1"/>
  </cols>
  <sheetData>
    <row r="1" spans="1:7" ht="23.25">
      <c r="A1" s="924" t="s">
        <v>511</v>
      </c>
      <c r="C1" s="925"/>
      <c r="G1" s="1005"/>
    </row>
    <row r="2" spans="2:10" ht="13.5" thickBot="1">
      <c r="B2" s="1085">
        <f>IF('ERR &amp; Sensitivity Analysis'!$I$10="N","Note: Current calculations are based on user input and are not the original MCC estimates.",IF('ERR &amp; Sensitivity Analysis'!$I$11="N","Note: Current calculations are based on user input and are not the original MCC estimates.",0))</f>
        <v>0</v>
      </c>
      <c r="C2" s="1085"/>
      <c r="D2" s="1085"/>
      <c r="E2" s="1085"/>
      <c r="F2" s="1085"/>
      <c r="G2" s="1085"/>
      <c r="H2" s="1085"/>
      <c r="I2" s="1085"/>
      <c r="J2" s="1085"/>
    </row>
    <row r="3" spans="2:7" ht="14.25" thickBot="1" thickTop="1">
      <c r="B3" s="1160" t="s">
        <v>337</v>
      </c>
      <c r="C3" s="1161"/>
      <c r="D3" s="1161"/>
      <c r="E3" s="1161"/>
      <c r="F3" s="1161"/>
      <c r="G3" s="1162"/>
    </row>
    <row r="4" spans="2:7" ht="14.25" thickBot="1" thickTop="1">
      <c r="B4" s="1163" t="s">
        <v>338</v>
      </c>
      <c r="C4" s="1164"/>
      <c r="D4" s="1164"/>
      <c r="E4" s="1164"/>
      <c r="F4" s="1164"/>
      <c r="G4" s="1165"/>
    </row>
    <row r="5" spans="2:7" ht="14.25" thickBot="1" thickTop="1">
      <c r="B5" s="1166" t="s">
        <v>573</v>
      </c>
      <c r="C5" s="1163" t="s">
        <v>339</v>
      </c>
      <c r="D5" s="1165"/>
      <c r="E5" s="984"/>
      <c r="F5" s="1163" t="s">
        <v>340</v>
      </c>
      <c r="G5" s="1165"/>
    </row>
    <row r="6" spans="2:7" ht="14.25" thickBot="1" thickTop="1">
      <c r="B6" s="1167"/>
      <c r="C6" s="984" t="s">
        <v>601</v>
      </c>
      <c r="D6" s="984" t="s">
        <v>576</v>
      </c>
      <c r="E6" s="984"/>
      <c r="F6" s="984" t="s">
        <v>601</v>
      </c>
      <c r="G6" s="984" t="s">
        <v>576</v>
      </c>
    </row>
    <row r="7" spans="2:7" ht="14.25" thickBot="1" thickTop="1">
      <c r="B7" s="985" t="s">
        <v>561</v>
      </c>
      <c r="C7" s="984">
        <v>120</v>
      </c>
      <c r="D7" s="984">
        <v>367</v>
      </c>
      <c r="E7" s="984"/>
      <c r="F7" s="984">
        <v>140</v>
      </c>
      <c r="G7" s="984">
        <v>351</v>
      </c>
    </row>
    <row r="8" spans="2:7" ht="14.25" thickBot="1" thickTop="1">
      <c r="B8" s="985" t="s">
        <v>196</v>
      </c>
      <c r="C8" s="984">
        <v>175</v>
      </c>
      <c r="D8" s="984">
        <v>200</v>
      </c>
      <c r="E8" s="984"/>
      <c r="F8" s="984">
        <v>180</v>
      </c>
      <c r="G8" s="984">
        <v>200</v>
      </c>
    </row>
    <row r="9" spans="2:7" ht="14.25" thickBot="1" thickTop="1">
      <c r="B9" s="985" t="s">
        <v>564</v>
      </c>
      <c r="C9" s="984">
        <v>100</v>
      </c>
      <c r="D9" s="984">
        <v>212</v>
      </c>
      <c r="E9" s="984"/>
      <c r="F9" s="984">
        <v>160</v>
      </c>
      <c r="G9" s="984">
        <v>193</v>
      </c>
    </row>
    <row r="10" spans="2:7" ht="14.25" thickBot="1" thickTop="1">
      <c r="B10" s="985" t="s">
        <v>562</v>
      </c>
      <c r="C10" s="984">
        <v>120</v>
      </c>
      <c r="D10" s="984">
        <v>230</v>
      </c>
      <c r="E10" s="984"/>
      <c r="F10" s="984">
        <v>140</v>
      </c>
      <c r="G10" s="984">
        <v>227</v>
      </c>
    </row>
    <row r="11" spans="2:7" ht="14.25" thickBot="1" thickTop="1">
      <c r="B11" s="985" t="s">
        <v>563</v>
      </c>
      <c r="C11" s="984">
        <v>115</v>
      </c>
      <c r="D11" s="984">
        <v>212</v>
      </c>
      <c r="E11" s="984"/>
      <c r="F11" s="984">
        <v>160</v>
      </c>
      <c r="G11" s="984">
        <v>193</v>
      </c>
    </row>
    <row r="12" spans="2:7" ht="14.25" thickBot="1" thickTop="1">
      <c r="B12" s="985" t="s">
        <v>557</v>
      </c>
      <c r="C12" s="984">
        <v>150</v>
      </c>
      <c r="D12" s="984">
        <v>952</v>
      </c>
      <c r="E12" s="984"/>
      <c r="F12" s="984">
        <v>150</v>
      </c>
      <c r="G12" s="984">
        <v>952</v>
      </c>
    </row>
    <row r="13" spans="2:7" ht="14.25" thickBot="1" thickTop="1">
      <c r="B13" s="985" t="s">
        <v>558</v>
      </c>
      <c r="C13" s="984">
        <v>200</v>
      </c>
      <c r="D13" s="984">
        <v>2106</v>
      </c>
      <c r="E13" s="984"/>
      <c r="F13" s="984">
        <v>200</v>
      </c>
      <c r="G13" s="984">
        <v>1919</v>
      </c>
    </row>
    <row r="14" spans="2:7" ht="14.25" thickBot="1" thickTop="1">
      <c r="B14" s="985" t="s">
        <v>560</v>
      </c>
      <c r="C14" s="984">
        <v>40</v>
      </c>
      <c r="D14" s="984">
        <v>629</v>
      </c>
      <c r="E14" s="984"/>
      <c r="F14" s="984">
        <v>40</v>
      </c>
      <c r="G14" s="984">
        <v>591</v>
      </c>
    </row>
    <row r="15" spans="2:7" ht="14.25" thickBot="1" thickTop="1">
      <c r="B15" s="985" t="s">
        <v>574</v>
      </c>
      <c r="C15" s="984">
        <v>250</v>
      </c>
      <c r="D15" s="984">
        <v>97</v>
      </c>
      <c r="E15" s="984"/>
      <c r="F15" s="984">
        <v>250</v>
      </c>
      <c r="G15" s="984">
        <v>97</v>
      </c>
    </row>
    <row r="16" ht="13.5" thickTop="1"/>
    <row r="17" ht="12.75">
      <c r="B17" s="986" t="s">
        <v>343</v>
      </c>
    </row>
    <row r="29" ht="11.25" customHeight="1"/>
  </sheetData>
  <mergeCells count="6">
    <mergeCell ref="B2:J2"/>
    <mergeCell ref="B3:G3"/>
    <mergeCell ref="B4:G4"/>
    <mergeCell ref="B5:B6"/>
    <mergeCell ref="C5:D5"/>
    <mergeCell ref="F5:G5"/>
  </mergeCells>
  <conditionalFormatting sqref="B2">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Sheet12"/>
  <dimension ref="A1:AA15"/>
  <sheetViews>
    <sheetView workbookViewId="0" topLeftCell="A1">
      <pane xSplit="2" ySplit="3" topLeftCell="C7" activePane="bottomRight" state="frozen"/>
      <selection pane="topLeft" activeCell="A1" sqref="A1"/>
      <selection pane="topRight" activeCell="C1" sqref="C1"/>
      <selection pane="bottomLeft" activeCell="A4" sqref="A4"/>
      <selection pane="bottomRight" activeCell="A1" sqref="A1"/>
    </sheetView>
  </sheetViews>
  <sheetFormatPr defaultColWidth="9.140625" defaultRowHeight="12.75"/>
  <cols>
    <col min="1" max="1" width="32.421875" style="0" customWidth="1"/>
    <col min="2" max="2" width="22.421875" style="0" customWidth="1"/>
  </cols>
  <sheetData>
    <row r="1" ht="12.75">
      <c r="A1" t="s">
        <v>420</v>
      </c>
    </row>
    <row r="2" spans="3:27" ht="12.75">
      <c r="C2" s="1168" t="s">
        <v>356</v>
      </c>
      <c r="D2" s="1168"/>
      <c r="E2" s="1168"/>
      <c r="F2" s="1168"/>
      <c r="G2" s="1168"/>
      <c r="H2" s="1168"/>
      <c r="I2" s="1168"/>
      <c r="J2" s="1168"/>
      <c r="K2" s="1168"/>
      <c r="L2" s="1168"/>
      <c r="M2" s="1168"/>
      <c r="N2" s="1168"/>
      <c r="O2" s="1168"/>
      <c r="P2" s="1168"/>
      <c r="Q2" s="1168"/>
      <c r="R2" s="1168"/>
      <c r="S2" s="1168"/>
      <c r="T2" s="1168"/>
      <c r="U2" s="1168"/>
      <c r="V2" s="1168"/>
      <c r="W2" s="1168"/>
      <c r="X2" s="1168"/>
      <c r="Y2" s="1168"/>
      <c r="Z2" s="1168"/>
      <c r="AA2" s="1168"/>
    </row>
    <row r="3" spans="1:9" ht="12.75">
      <c r="A3" s="1085">
        <f>IF('ERR &amp; Sensitivity Analysis'!$I$10="N","Note: Current calculations are based on user input and are not the original MCC estimates.",IF('ERR &amp; Sensitivity Analysis'!$I$11="N","Note: Current calculations are based on user input and are not the original MCC estimates.",0))</f>
        <v>0</v>
      </c>
      <c r="B3" s="1085"/>
      <c r="C3" s="1085"/>
      <c r="D3" s="1085"/>
      <c r="E3" s="1085"/>
      <c r="F3" s="1085"/>
      <c r="G3" s="1085"/>
      <c r="H3" s="1085"/>
      <c r="I3" s="1085"/>
    </row>
    <row r="4" spans="1:27" ht="12.75">
      <c r="A4" s="31"/>
      <c r="B4" s="795"/>
      <c r="C4" s="796">
        <f>'Summary ERRs'!C7</f>
        <v>1</v>
      </c>
      <c r="D4" s="796">
        <f>'Summary ERRs'!D7</f>
        <v>2</v>
      </c>
      <c r="E4" s="796">
        <f>'Summary ERRs'!E7</f>
        <v>3</v>
      </c>
      <c r="F4" s="796">
        <f>'Summary ERRs'!F7</f>
        <v>4</v>
      </c>
      <c r="G4" s="796">
        <f>'Summary ERRs'!G7</f>
        <v>5</v>
      </c>
      <c r="H4" s="796">
        <f>'Summary ERRs'!H7</f>
        <v>6</v>
      </c>
      <c r="I4" s="796">
        <f>'Summary ERRs'!I7</f>
        <v>7</v>
      </c>
      <c r="J4" s="796">
        <f>'Summary ERRs'!J7</f>
        <v>8</v>
      </c>
      <c r="K4" s="796">
        <f>'Summary ERRs'!K7</f>
        <v>9</v>
      </c>
      <c r="L4" s="796">
        <f>'Summary ERRs'!L7</f>
        <v>10</v>
      </c>
      <c r="M4" s="796">
        <f>'Summary ERRs'!M7</f>
        <v>11</v>
      </c>
      <c r="N4" s="796">
        <f>'Summary ERRs'!N7</f>
        <v>12</v>
      </c>
      <c r="O4" s="796">
        <f>'Summary ERRs'!O7</f>
        <v>13</v>
      </c>
      <c r="P4" s="796">
        <f>'Summary ERRs'!P7</f>
        <v>14</v>
      </c>
      <c r="Q4" s="796">
        <f>'Summary ERRs'!Q7</f>
        <v>15</v>
      </c>
      <c r="R4" s="796">
        <f>'Summary ERRs'!R7</f>
        <v>16</v>
      </c>
      <c r="S4" s="796">
        <f>'Summary ERRs'!S7</f>
        <v>17</v>
      </c>
      <c r="T4" s="796">
        <f>'Summary ERRs'!T7</f>
        <v>18</v>
      </c>
      <c r="U4" s="796">
        <f>'Summary ERRs'!U7</f>
        <v>19</v>
      </c>
      <c r="V4" s="796">
        <f>'Summary ERRs'!V7</f>
        <v>20</v>
      </c>
      <c r="W4" s="796">
        <f>'Summary ERRs'!W7</f>
        <v>21</v>
      </c>
      <c r="X4" s="796">
        <f>'Summary ERRs'!X7</f>
        <v>22</v>
      </c>
      <c r="Y4" s="796">
        <f>'Summary ERRs'!Y7</f>
        <v>23</v>
      </c>
      <c r="Z4" s="796">
        <f>'Summary ERRs'!Z7</f>
        <v>24</v>
      </c>
      <c r="AA4" s="796">
        <f>'Summary ERRs'!AA7</f>
        <v>25</v>
      </c>
    </row>
    <row r="5" spans="1:27" ht="12.75">
      <c r="A5" s="160" t="str">
        <f>'Summary ERRs'!A8</f>
        <v>Costs</v>
      </c>
      <c r="B5" s="175" t="str">
        <f>'Summary ERRs'!B8</f>
        <v>Sub-Total</v>
      </c>
      <c r="C5" s="42"/>
      <c r="D5" s="42"/>
      <c r="E5" s="42"/>
      <c r="F5" s="42"/>
      <c r="G5" s="42"/>
      <c r="H5" s="42"/>
      <c r="I5" s="42"/>
      <c r="J5" s="42"/>
      <c r="K5" s="42"/>
      <c r="L5" s="42"/>
      <c r="M5" s="42"/>
      <c r="N5" s="42"/>
      <c r="O5" s="42"/>
      <c r="P5" s="42"/>
      <c r="Q5" s="42"/>
      <c r="R5" s="42"/>
      <c r="S5" s="42"/>
      <c r="T5" s="42"/>
      <c r="U5" s="42"/>
      <c r="V5" s="16"/>
      <c r="W5" s="203"/>
      <c r="X5" s="203"/>
      <c r="Y5" s="203"/>
      <c r="Z5" s="203"/>
      <c r="AA5" s="203"/>
    </row>
    <row r="6" spans="1:27" ht="12.75">
      <c r="A6" s="203" t="str">
        <f>'Summary ERRs'!A29</f>
        <v>b. Social Infrastructure</v>
      </c>
      <c r="B6" s="534">
        <f>SUM(C6:G6)*-1</f>
        <v>15701</v>
      </c>
      <c r="C6" s="534">
        <f>'Summary ERRs'!C29</f>
        <v>-2166.2</v>
      </c>
      <c r="D6" s="534">
        <f>'Summary ERRs'!D29</f>
        <v>-3937.6000000000004</v>
      </c>
      <c r="E6" s="534">
        <f>'Summary ERRs'!E29</f>
        <v>-3889.6000000000004</v>
      </c>
      <c r="F6" s="534">
        <f>'Summary ERRs'!F29</f>
        <v>-3030.4</v>
      </c>
      <c r="G6" s="534">
        <f>'Summary ERRs'!G29</f>
        <v>-2677.2</v>
      </c>
      <c r="H6" s="203"/>
      <c r="I6" s="203"/>
      <c r="J6" s="203"/>
      <c r="K6" s="203"/>
      <c r="L6" s="203"/>
      <c r="M6" s="203"/>
      <c r="N6" s="203"/>
      <c r="O6" s="203"/>
      <c r="P6" s="203"/>
      <c r="Q6" s="203"/>
      <c r="R6" s="203"/>
      <c r="S6" s="203"/>
      <c r="T6" s="203"/>
      <c r="U6" s="203"/>
      <c r="V6" s="203"/>
      <c r="W6" s="203"/>
      <c r="X6" s="203"/>
      <c r="Y6" s="203"/>
      <c r="Z6" s="203"/>
      <c r="AA6" s="203"/>
    </row>
    <row r="7" spans="1:27" ht="12.75">
      <c r="A7" s="203" t="str">
        <f>'Summary ERRs'!A30</f>
        <v>c. Health Sector Interventions</v>
      </c>
      <c r="B7" s="534">
        <f>SUM(C7:G7)*-1</f>
        <v>3060.5190000000002</v>
      </c>
      <c r="C7" s="534">
        <f>'Summary ERRs'!C30</f>
        <v>-542.7729999999999</v>
      </c>
      <c r="D7" s="534">
        <f>'Summary ERRs'!D30</f>
        <v>-846.373</v>
      </c>
      <c r="E7" s="534">
        <f>'Summary ERRs'!E30</f>
        <v>-813.573</v>
      </c>
      <c r="F7" s="534">
        <f>'Summary ERRs'!F30</f>
        <v>-428.9</v>
      </c>
      <c r="G7" s="534">
        <f>'Summary ERRs'!G30</f>
        <v>-428.9</v>
      </c>
      <c r="H7" s="203"/>
      <c r="I7" s="203"/>
      <c r="J7" s="203"/>
      <c r="K7" s="203"/>
      <c r="L7" s="203"/>
      <c r="M7" s="203"/>
      <c r="N7" s="203"/>
      <c r="O7" s="203"/>
      <c r="P7" s="203"/>
      <c r="Q7" s="203"/>
      <c r="R7" s="203"/>
      <c r="S7" s="203"/>
      <c r="T7" s="203"/>
      <c r="U7" s="203"/>
      <c r="V7" s="203"/>
      <c r="W7" s="203"/>
      <c r="X7" s="203"/>
      <c r="Y7" s="203"/>
      <c r="Z7" s="203"/>
      <c r="AA7" s="203"/>
    </row>
    <row r="8" spans="1:27" ht="12.75">
      <c r="A8" s="203" t="s">
        <v>352</v>
      </c>
      <c r="B8" s="203">
        <f>SUM(C8:G8)*-1</f>
        <v>0</v>
      </c>
      <c r="C8" s="203"/>
      <c r="D8" s="203"/>
      <c r="E8" s="203"/>
      <c r="F8" s="203"/>
      <c r="G8" s="203"/>
      <c r="H8" s="203"/>
      <c r="I8" s="203"/>
      <c r="J8" s="203"/>
      <c r="K8" s="203"/>
      <c r="L8" s="203"/>
      <c r="M8" s="203"/>
      <c r="N8" s="203"/>
      <c r="O8" s="203"/>
      <c r="P8" s="203"/>
      <c r="Q8" s="203"/>
      <c r="R8" s="203"/>
      <c r="S8" s="203"/>
      <c r="T8" s="203"/>
      <c r="U8" s="203"/>
      <c r="V8" s="203"/>
      <c r="W8" s="203"/>
      <c r="X8" s="203"/>
      <c r="Y8" s="203"/>
      <c r="Z8" s="203"/>
      <c r="AA8" s="203"/>
    </row>
    <row r="9" spans="1:27" ht="12.75">
      <c r="A9" s="797" t="s">
        <v>602</v>
      </c>
      <c r="B9" s="534">
        <f aca="true" t="shared" si="0" ref="B9:G9">SUM(B6:B8)</f>
        <v>18761.519</v>
      </c>
      <c r="C9" s="798">
        <f t="shared" si="0"/>
        <v>-2708.973</v>
      </c>
      <c r="D9" s="798">
        <f t="shared" si="0"/>
        <v>-4783.973</v>
      </c>
      <c r="E9" s="798">
        <f t="shared" si="0"/>
        <v>-4703.173000000001</v>
      </c>
      <c r="F9" s="798">
        <f t="shared" si="0"/>
        <v>-3459.3</v>
      </c>
      <c r="G9" s="798">
        <f t="shared" si="0"/>
        <v>-3106.1</v>
      </c>
      <c r="H9" s="203"/>
      <c r="I9" s="203"/>
      <c r="J9" s="203"/>
      <c r="K9" s="203"/>
      <c r="L9" s="203"/>
      <c r="M9" s="203"/>
      <c r="N9" s="203"/>
      <c r="O9" s="203"/>
      <c r="P9" s="203"/>
      <c r="Q9" s="203"/>
      <c r="R9" s="203"/>
      <c r="S9" s="203"/>
      <c r="T9" s="203"/>
      <c r="U9" s="203"/>
      <c r="V9" s="203"/>
      <c r="W9" s="203"/>
      <c r="X9" s="203"/>
      <c r="Y9" s="203"/>
      <c r="Z9" s="203"/>
      <c r="AA9" s="203"/>
    </row>
    <row r="11" spans="1:27" ht="12.75">
      <c r="A11" s="203" t="str">
        <f>'Summary ERRs'!A77</f>
        <v>Incremental Social Infrastructure Benefits</v>
      </c>
      <c r="B11" s="203"/>
      <c r="C11" s="203">
        <f>'Summary ERRs'!C77</f>
        <v>0</v>
      </c>
      <c r="D11" s="203">
        <f>'Summary ERRs'!D77</f>
        <v>0</v>
      </c>
      <c r="E11" s="534">
        <f>'Summary ERRs'!E77</f>
        <v>0</v>
      </c>
      <c r="F11" s="534">
        <f>'Summary ERRs'!F77</f>
        <v>0</v>
      </c>
      <c r="G11" s="534">
        <f>'Summary ERRs'!G77</f>
        <v>0</v>
      </c>
      <c r="H11" s="534">
        <f>'Summary ERRs'!H77</f>
        <v>0</v>
      </c>
      <c r="I11" s="534">
        <f>'Summary ERRs'!I77</f>
        <v>0</v>
      </c>
      <c r="J11" s="534">
        <f>'Summary ERRs'!J77</f>
        <v>0</v>
      </c>
      <c r="K11" s="534">
        <f>'Summary ERRs'!K77</f>
        <v>0</v>
      </c>
      <c r="L11" s="534">
        <f>'Summary ERRs'!L77</f>
        <v>0</v>
      </c>
      <c r="M11" s="534">
        <f>'Summary ERRs'!M77</f>
        <v>0</v>
      </c>
      <c r="N11" s="534">
        <f>'Summary ERRs'!N77</f>
        <v>0</v>
      </c>
      <c r="O11" s="534">
        <f>'Summary ERRs'!O77</f>
        <v>0</v>
      </c>
      <c r="P11" s="534">
        <f>'Summary ERRs'!P77</f>
        <v>0</v>
      </c>
      <c r="Q11" s="534">
        <f>'Summary ERRs'!Q77</f>
        <v>0</v>
      </c>
      <c r="R11" s="534">
        <f>'Summary ERRs'!R77</f>
        <v>0</v>
      </c>
      <c r="S11" s="534">
        <f>'Summary ERRs'!S77</f>
        <v>0</v>
      </c>
      <c r="T11" s="534">
        <f>'Summary ERRs'!T77</f>
        <v>0</v>
      </c>
      <c r="U11" s="534">
        <f>'Summary ERRs'!U77</f>
        <v>0</v>
      </c>
      <c r="V11" s="534">
        <f>'Summary ERRs'!V77</f>
        <v>0</v>
      </c>
      <c r="W11" s="534">
        <f>'Summary ERRs'!W77</f>
        <v>0</v>
      </c>
      <c r="X11" s="534">
        <f>'Summary ERRs'!X77</f>
        <v>0</v>
      </c>
      <c r="Y11" s="534">
        <f>'Summary ERRs'!Y77</f>
        <v>0</v>
      </c>
      <c r="Z11" s="534">
        <f>'Summary ERRs'!Z77</f>
        <v>0</v>
      </c>
      <c r="AA11" s="534">
        <f>'Summary ERRs'!AA77</f>
        <v>0</v>
      </c>
    </row>
    <row r="12" spans="1:27" ht="12.75">
      <c r="A12" s="203" t="str">
        <f>'Summary ERRs'!A78</f>
        <v>Incremental Social Infrastructure From Guarantee Fund</v>
      </c>
      <c r="B12" s="203"/>
      <c r="C12" s="203">
        <f>'Summary ERRs'!C78</f>
        <v>0</v>
      </c>
      <c r="D12" s="203">
        <f>'Summary ERRs'!D78</f>
        <v>0</v>
      </c>
      <c r="E12" s="203">
        <f>'Summary ERRs'!E78</f>
        <v>0</v>
      </c>
      <c r="F12" s="534">
        <f>'Summary ERRs'!F78</f>
        <v>0</v>
      </c>
      <c r="G12" s="534">
        <f>'Summary ERRs'!G78</f>
        <v>0</v>
      </c>
      <c r="H12" s="534">
        <f>'Summary ERRs'!H78</f>
        <v>0</v>
      </c>
      <c r="I12" s="534">
        <f>'Summary ERRs'!I78</f>
        <v>0</v>
      </c>
      <c r="J12" s="534">
        <f>'Summary ERRs'!J78</f>
        <v>0</v>
      </c>
      <c r="K12" s="534">
        <f>'Summary ERRs'!K78</f>
        <v>0</v>
      </c>
      <c r="L12" s="534">
        <f>'Summary ERRs'!L78</f>
        <v>0</v>
      </c>
      <c r="M12" s="534">
        <f>'Summary ERRs'!M78</f>
        <v>0</v>
      </c>
      <c r="N12" s="534">
        <f>'Summary ERRs'!N78</f>
        <v>0</v>
      </c>
      <c r="O12" s="534">
        <f>'Summary ERRs'!O78</f>
        <v>0</v>
      </c>
      <c r="P12" s="534">
        <f>'Summary ERRs'!P78</f>
        <v>0</v>
      </c>
      <c r="Q12" s="534">
        <f>'Summary ERRs'!Q78</f>
        <v>0</v>
      </c>
      <c r="R12" s="534">
        <f>'Summary ERRs'!R78</f>
        <v>0</v>
      </c>
      <c r="S12" s="534">
        <f>'Summary ERRs'!S78</f>
        <v>0</v>
      </c>
      <c r="T12" s="534">
        <f>'Summary ERRs'!T78</f>
        <v>0</v>
      </c>
      <c r="U12" s="534">
        <f>'Summary ERRs'!U78</f>
        <v>0</v>
      </c>
      <c r="V12" s="534">
        <f>'Summary ERRs'!V78</f>
        <v>0</v>
      </c>
      <c r="W12" s="534">
        <f>'Summary ERRs'!W78</f>
        <v>0</v>
      </c>
      <c r="X12" s="534">
        <f>'Summary ERRs'!X78</f>
        <v>0</v>
      </c>
      <c r="Y12" s="534">
        <f>'Summary ERRs'!Y78</f>
        <v>0</v>
      </c>
      <c r="Z12" s="534">
        <f>'Summary ERRs'!Z78</f>
        <v>0</v>
      </c>
      <c r="AA12" s="534">
        <f>'Summary ERRs'!AA78</f>
        <v>0</v>
      </c>
    </row>
    <row r="13" spans="1:27" ht="12.75">
      <c r="A13" s="797" t="s">
        <v>353</v>
      </c>
      <c r="B13" s="797"/>
      <c r="C13" s="797">
        <f>SUM(C11:C12)</f>
        <v>0</v>
      </c>
      <c r="D13" s="797">
        <f aca="true" t="shared" si="1" ref="D13:V13">SUM(D11:D12)</f>
        <v>0</v>
      </c>
      <c r="E13" s="798">
        <f t="shared" si="1"/>
        <v>0</v>
      </c>
      <c r="F13" s="798">
        <f t="shared" si="1"/>
        <v>0</v>
      </c>
      <c r="G13" s="798">
        <f t="shared" si="1"/>
        <v>0</v>
      </c>
      <c r="H13" s="798">
        <f t="shared" si="1"/>
        <v>0</v>
      </c>
      <c r="I13" s="798">
        <f t="shared" si="1"/>
        <v>0</v>
      </c>
      <c r="J13" s="798">
        <f t="shared" si="1"/>
        <v>0</v>
      </c>
      <c r="K13" s="798">
        <f t="shared" si="1"/>
        <v>0</v>
      </c>
      <c r="L13" s="798">
        <f t="shared" si="1"/>
        <v>0</v>
      </c>
      <c r="M13" s="798">
        <f t="shared" si="1"/>
        <v>0</v>
      </c>
      <c r="N13" s="798">
        <f t="shared" si="1"/>
        <v>0</v>
      </c>
      <c r="O13" s="798">
        <f t="shared" si="1"/>
        <v>0</v>
      </c>
      <c r="P13" s="798">
        <f t="shared" si="1"/>
        <v>0</v>
      </c>
      <c r="Q13" s="798">
        <f t="shared" si="1"/>
        <v>0</v>
      </c>
      <c r="R13" s="798">
        <f t="shared" si="1"/>
        <v>0</v>
      </c>
      <c r="S13" s="798">
        <f t="shared" si="1"/>
        <v>0</v>
      </c>
      <c r="T13" s="798">
        <f t="shared" si="1"/>
        <v>0</v>
      </c>
      <c r="U13" s="798">
        <f t="shared" si="1"/>
        <v>0</v>
      </c>
      <c r="V13" s="798">
        <f t="shared" si="1"/>
        <v>0</v>
      </c>
      <c r="W13" s="798">
        <f>SUM(W11:W12)</f>
        <v>0</v>
      </c>
      <c r="X13" s="798">
        <f>SUM(X11:X12)</f>
        <v>0</v>
      </c>
      <c r="Y13" s="798">
        <f>SUM(Y11:Y12)</f>
        <v>0</v>
      </c>
      <c r="Z13" s="798">
        <f>SUM(Z11:Z12)</f>
        <v>0</v>
      </c>
      <c r="AA13" s="798">
        <f>SUM(AA11:AA12)</f>
        <v>0</v>
      </c>
    </row>
    <row r="15" spans="1:27" ht="12.75">
      <c r="A15" s="43" t="s">
        <v>354</v>
      </c>
      <c r="B15" s="161"/>
      <c r="C15" s="799">
        <f>C13+C9</f>
        <v>-2708.973</v>
      </c>
      <c r="D15" s="798">
        <f aca="true" t="shared" si="2" ref="D15:AA15">D13+D9</f>
        <v>-4783.973</v>
      </c>
      <c r="E15" s="798">
        <f t="shared" si="2"/>
        <v>-4703.173000000001</v>
      </c>
      <c r="F15" s="798">
        <f t="shared" si="2"/>
        <v>-3459.3</v>
      </c>
      <c r="G15" s="798">
        <f t="shared" si="2"/>
        <v>-3106.1</v>
      </c>
      <c r="H15" s="798">
        <f t="shared" si="2"/>
        <v>0</v>
      </c>
      <c r="I15" s="798">
        <f t="shared" si="2"/>
        <v>0</v>
      </c>
      <c r="J15" s="798">
        <f t="shared" si="2"/>
        <v>0</v>
      </c>
      <c r="K15" s="798">
        <f t="shared" si="2"/>
        <v>0</v>
      </c>
      <c r="L15" s="798">
        <f t="shared" si="2"/>
        <v>0</v>
      </c>
      <c r="M15" s="798">
        <f t="shared" si="2"/>
        <v>0</v>
      </c>
      <c r="N15" s="798">
        <f t="shared" si="2"/>
        <v>0</v>
      </c>
      <c r="O15" s="798">
        <f t="shared" si="2"/>
        <v>0</v>
      </c>
      <c r="P15" s="798">
        <f t="shared" si="2"/>
        <v>0</v>
      </c>
      <c r="Q15" s="798">
        <f t="shared" si="2"/>
        <v>0</v>
      </c>
      <c r="R15" s="798">
        <f t="shared" si="2"/>
        <v>0</v>
      </c>
      <c r="S15" s="798">
        <f t="shared" si="2"/>
        <v>0</v>
      </c>
      <c r="T15" s="798">
        <f t="shared" si="2"/>
        <v>0</v>
      </c>
      <c r="U15" s="798">
        <f t="shared" si="2"/>
        <v>0</v>
      </c>
      <c r="V15" s="798">
        <f t="shared" si="2"/>
        <v>0</v>
      </c>
      <c r="W15" s="798">
        <f t="shared" si="2"/>
        <v>0</v>
      </c>
      <c r="X15" s="798">
        <f t="shared" si="2"/>
        <v>0</v>
      </c>
      <c r="Y15" s="798">
        <f t="shared" si="2"/>
        <v>0</v>
      </c>
      <c r="Z15" s="798">
        <f t="shared" si="2"/>
        <v>0</v>
      </c>
      <c r="AA15" s="798">
        <f t="shared" si="2"/>
        <v>0</v>
      </c>
    </row>
  </sheetData>
  <mergeCells count="2">
    <mergeCell ref="C2:AA2"/>
    <mergeCell ref="A3:I3"/>
  </mergeCells>
  <conditionalFormatting sqref="A3">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codeName="Sheet10">
    <tabColor indexed="13"/>
    <pageSetUpPr fitToPage="1"/>
  </sheetPr>
  <dimension ref="A1:BA131"/>
  <sheetViews>
    <sheetView workbookViewId="0" topLeftCell="A1">
      <selection activeCell="D127" sqref="D127"/>
    </sheetView>
  </sheetViews>
  <sheetFormatPr defaultColWidth="9.140625" defaultRowHeight="12.75"/>
  <cols>
    <col min="2" max="2" width="12.28125" style="0" customWidth="1"/>
    <col min="3" max="3" width="12.57421875" style="0" customWidth="1"/>
    <col min="4" max="4" width="13.57421875" style="0" customWidth="1"/>
    <col min="7" max="7" width="26.00390625" style="0" customWidth="1"/>
    <col min="10" max="10" width="11.57421875" style="0" customWidth="1"/>
    <col min="14" max="14" width="10.57421875" style="0" customWidth="1"/>
    <col min="17" max="17" width="26.57421875" style="0" bestFit="1" customWidth="1"/>
    <col min="22" max="22" width="41.57421875" style="0" customWidth="1"/>
    <col min="23" max="23" width="10.8515625" style="0" customWidth="1"/>
  </cols>
  <sheetData>
    <row r="1" ht="12.75">
      <c r="B1" s="9" t="s">
        <v>64</v>
      </c>
    </row>
    <row r="3" spans="2:53" ht="12.75">
      <c r="B3" t="s">
        <v>65</v>
      </c>
      <c r="W3">
        <v>0</v>
      </c>
      <c r="X3">
        <v>1</v>
      </c>
      <c r="Y3">
        <f aca="true" t="shared" si="0" ref="Y3:BA3">X3+1</f>
        <v>2</v>
      </c>
      <c r="Z3">
        <f t="shared" si="0"/>
        <v>3</v>
      </c>
      <c r="AA3">
        <f t="shared" si="0"/>
        <v>4</v>
      </c>
      <c r="AB3">
        <f t="shared" si="0"/>
        <v>5</v>
      </c>
      <c r="AC3">
        <f t="shared" si="0"/>
        <v>6</v>
      </c>
      <c r="AD3">
        <f t="shared" si="0"/>
        <v>7</v>
      </c>
      <c r="AE3">
        <f t="shared" si="0"/>
        <v>8</v>
      </c>
      <c r="AF3">
        <f t="shared" si="0"/>
        <v>9</v>
      </c>
      <c r="AG3">
        <f t="shared" si="0"/>
        <v>10</v>
      </c>
      <c r="AH3">
        <f t="shared" si="0"/>
        <v>11</v>
      </c>
      <c r="AI3">
        <f t="shared" si="0"/>
        <v>12</v>
      </c>
      <c r="AJ3">
        <f t="shared" si="0"/>
        <v>13</v>
      </c>
      <c r="AK3">
        <f t="shared" si="0"/>
        <v>14</v>
      </c>
      <c r="AL3">
        <f t="shared" si="0"/>
        <v>15</v>
      </c>
      <c r="AM3">
        <f t="shared" si="0"/>
        <v>16</v>
      </c>
      <c r="AN3">
        <f t="shared" si="0"/>
        <v>17</v>
      </c>
      <c r="AO3">
        <f t="shared" si="0"/>
        <v>18</v>
      </c>
      <c r="AP3">
        <f t="shared" si="0"/>
        <v>19</v>
      </c>
      <c r="AQ3">
        <f t="shared" si="0"/>
        <v>20</v>
      </c>
      <c r="AR3">
        <f t="shared" si="0"/>
        <v>21</v>
      </c>
      <c r="AS3">
        <f t="shared" si="0"/>
        <v>22</v>
      </c>
      <c r="AT3">
        <f t="shared" si="0"/>
        <v>23</v>
      </c>
      <c r="AU3">
        <f t="shared" si="0"/>
        <v>24</v>
      </c>
      <c r="AV3">
        <f t="shared" si="0"/>
        <v>25</v>
      </c>
      <c r="AW3">
        <f t="shared" si="0"/>
        <v>26</v>
      </c>
      <c r="AX3">
        <f t="shared" si="0"/>
        <v>27</v>
      </c>
      <c r="AY3">
        <f t="shared" si="0"/>
        <v>28</v>
      </c>
      <c r="AZ3">
        <f t="shared" si="0"/>
        <v>29</v>
      </c>
      <c r="BA3">
        <f t="shared" si="0"/>
        <v>30</v>
      </c>
    </row>
    <row r="4" spans="2:22" ht="12.75">
      <c r="B4" t="s">
        <v>66</v>
      </c>
      <c r="V4" s="9" t="s">
        <v>67</v>
      </c>
    </row>
    <row r="5" spans="22:43" ht="13.5" thickBot="1">
      <c r="V5" s="21" t="s">
        <v>68</v>
      </c>
      <c r="W5" s="21">
        <f>$H$9*$E$25</f>
        <v>70</v>
      </c>
      <c r="AG5" s="21">
        <f>$H$9*$E$25</f>
        <v>70</v>
      </c>
      <c r="AQ5" s="21">
        <f>$H$9*$E$25</f>
        <v>70</v>
      </c>
    </row>
    <row r="6" spans="2:47" ht="13.5" thickBot="1">
      <c r="B6" s="1056" t="s">
        <v>543</v>
      </c>
      <c r="C6" s="1062"/>
      <c r="D6" s="1062"/>
      <c r="E6" s="1063"/>
      <c r="G6" s="1093" t="s">
        <v>69</v>
      </c>
      <c r="H6" s="1094"/>
      <c r="I6" s="1094"/>
      <c r="J6" s="1094"/>
      <c r="K6" s="1094"/>
      <c r="L6" s="1094"/>
      <c r="M6" s="1097"/>
      <c r="O6" s="61" t="s">
        <v>807</v>
      </c>
      <c r="P6" s="1169" t="s">
        <v>70</v>
      </c>
      <c r="Q6" s="1188" t="s">
        <v>71</v>
      </c>
      <c r="R6" s="202" t="s">
        <v>72</v>
      </c>
      <c r="S6" s="202" t="s">
        <v>73</v>
      </c>
      <c r="T6" s="518" t="s">
        <v>74</v>
      </c>
      <c r="V6" s="21" t="s">
        <v>75</v>
      </c>
      <c r="W6" s="21">
        <f>$H$10*$E$26</f>
        <v>520</v>
      </c>
      <c r="AC6" s="21">
        <f>$H$10*$E$26</f>
        <v>520</v>
      </c>
      <c r="AI6" s="21">
        <f>$H$10*$E$26</f>
        <v>520</v>
      </c>
      <c r="AO6" s="21">
        <f>$H$10*$E$26</f>
        <v>520</v>
      </c>
      <c r="AU6" s="21">
        <f>$H$10*$E$26</f>
        <v>520</v>
      </c>
    </row>
    <row r="7" spans="2:43" ht="12.75">
      <c r="B7" s="11" t="s">
        <v>546</v>
      </c>
      <c r="C7" s="89" t="s">
        <v>545</v>
      </c>
      <c r="D7" s="6" t="s">
        <v>547</v>
      </c>
      <c r="E7" s="90" t="s">
        <v>613</v>
      </c>
      <c r="G7" s="1169" t="s">
        <v>71</v>
      </c>
      <c r="H7" s="1171" t="s">
        <v>76</v>
      </c>
      <c r="I7" s="1171"/>
      <c r="J7" s="1171"/>
      <c r="K7" s="1171"/>
      <c r="L7" s="1171"/>
      <c r="M7" s="1172"/>
      <c r="O7" s="62" t="s">
        <v>77</v>
      </c>
      <c r="P7" s="1170"/>
      <c r="Q7" s="1170"/>
      <c r="R7" s="25" t="s">
        <v>78</v>
      </c>
      <c r="S7" s="52" t="s">
        <v>79</v>
      </c>
      <c r="T7" s="520" t="s">
        <v>80</v>
      </c>
      <c r="V7" s="21" t="s">
        <v>81</v>
      </c>
      <c r="W7" s="21">
        <f>$H$11*$E$27</f>
        <v>70</v>
      </c>
      <c r="AG7" s="21">
        <f>$H$9*$E$25</f>
        <v>70</v>
      </c>
      <c r="AQ7" s="21">
        <f>$H$9*$E$25</f>
        <v>70</v>
      </c>
    </row>
    <row r="8" spans="2:53" ht="12.75">
      <c r="B8" s="91">
        <v>5</v>
      </c>
      <c r="C8" s="479">
        <f>'Farm Model Assumptions'!B10</f>
        <v>400</v>
      </c>
      <c r="D8" s="107">
        <f aca="true" t="shared" si="1" ref="D8:D13">+C8*B8</f>
        <v>2000</v>
      </c>
      <c r="E8" s="108">
        <f aca="true" t="shared" si="2" ref="E8:E13">+D8/$D$14</f>
        <v>0.16666944449074153</v>
      </c>
      <c r="G8" s="1170"/>
      <c r="H8" s="17">
        <v>5</v>
      </c>
      <c r="I8" s="519">
        <v>10</v>
      </c>
      <c r="J8" s="519">
        <v>30</v>
      </c>
      <c r="K8" s="519">
        <v>60</v>
      </c>
      <c r="L8" s="519">
        <v>90</v>
      </c>
      <c r="M8" s="39">
        <v>120</v>
      </c>
      <c r="O8" s="20">
        <v>70</v>
      </c>
      <c r="P8" s="36">
        <f aca="true" t="shared" si="3" ref="P8:P18">+(O8*1000)/$C$18</f>
        <v>134.6153846153846</v>
      </c>
      <c r="Q8" s="521" t="s">
        <v>68</v>
      </c>
      <c r="R8" s="202">
        <v>10</v>
      </c>
      <c r="S8">
        <v>0</v>
      </c>
      <c r="T8" s="1">
        <f aca="true" t="shared" si="4" ref="T8:T19">(1000*O8-S8)/R8</f>
        <v>7000</v>
      </c>
      <c r="W8">
        <f aca="true" t="shared" si="5" ref="W8:BA8">SUM(W5:W7)</f>
        <v>660</v>
      </c>
      <c r="X8">
        <f t="shared" si="5"/>
        <v>0</v>
      </c>
      <c r="Y8">
        <f t="shared" si="5"/>
        <v>0</v>
      </c>
      <c r="Z8">
        <f t="shared" si="5"/>
        <v>0</v>
      </c>
      <c r="AA8">
        <f t="shared" si="5"/>
        <v>0</v>
      </c>
      <c r="AB8">
        <f t="shared" si="5"/>
        <v>0</v>
      </c>
      <c r="AC8">
        <f t="shared" si="5"/>
        <v>520</v>
      </c>
      <c r="AD8">
        <f t="shared" si="5"/>
        <v>0</v>
      </c>
      <c r="AE8">
        <f t="shared" si="5"/>
        <v>0</v>
      </c>
      <c r="AF8">
        <f t="shared" si="5"/>
        <v>0</v>
      </c>
      <c r="AG8">
        <f t="shared" si="5"/>
        <v>140</v>
      </c>
      <c r="AH8">
        <f t="shared" si="5"/>
        <v>0</v>
      </c>
      <c r="AI8">
        <f t="shared" si="5"/>
        <v>520</v>
      </c>
      <c r="AJ8">
        <f t="shared" si="5"/>
        <v>0</v>
      </c>
      <c r="AK8">
        <f t="shared" si="5"/>
        <v>0</v>
      </c>
      <c r="AL8">
        <f t="shared" si="5"/>
        <v>0</v>
      </c>
      <c r="AM8">
        <f t="shared" si="5"/>
        <v>0</v>
      </c>
      <c r="AN8">
        <f t="shared" si="5"/>
        <v>0</v>
      </c>
      <c r="AO8">
        <f t="shared" si="5"/>
        <v>520</v>
      </c>
      <c r="AP8">
        <f t="shared" si="5"/>
        <v>0</v>
      </c>
      <c r="AQ8">
        <f t="shared" si="5"/>
        <v>140</v>
      </c>
      <c r="AR8">
        <f t="shared" si="5"/>
        <v>0</v>
      </c>
      <c r="AS8">
        <f t="shared" si="5"/>
        <v>0</v>
      </c>
      <c r="AT8">
        <f t="shared" si="5"/>
        <v>0</v>
      </c>
      <c r="AU8">
        <f t="shared" si="5"/>
        <v>520</v>
      </c>
      <c r="AV8">
        <f t="shared" si="5"/>
        <v>0</v>
      </c>
      <c r="AW8">
        <f t="shared" si="5"/>
        <v>0</v>
      </c>
      <c r="AX8">
        <f t="shared" si="5"/>
        <v>0</v>
      </c>
      <c r="AY8">
        <f t="shared" si="5"/>
        <v>0</v>
      </c>
      <c r="AZ8">
        <f t="shared" si="5"/>
        <v>0</v>
      </c>
      <c r="BA8">
        <f t="shared" si="5"/>
        <v>0</v>
      </c>
    </row>
    <row r="9" spans="2:22" ht="12.75">
      <c r="B9" s="91">
        <v>10</v>
      </c>
      <c r="C9" s="479">
        <f>'Farm Model Assumptions'!B12</f>
        <v>500</v>
      </c>
      <c r="D9" s="107">
        <f t="shared" si="1"/>
        <v>5000</v>
      </c>
      <c r="E9" s="108">
        <f t="shared" si="2"/>
        <v>0.4166736112268538</v>
      </c>
      <c r="G9" s="521" t="s">
        <v>68</v>
      </c>
      <c r="H9" s="522">
        <v>1</v>
      </c>
      <c r="I9" s="523">
        <v>2</v>
      </c>
      <c r="J9" s="524">
        <f aca="true" t="shared" si="6" ref="J9:L10">$H9*(J8/$H8)</f>
        <v>6</v>
      </c>
      <c r="K9" s="524">
        <f t="shared" si="6"/>
        <v>12</v>
      </c>
      <c r="L9" s="524">
        <f t="shared" si="6"/>
        <v>18</v>
      </c>
      <c r="M9" s="525"/>
      <c r="O9" s="526">
        <v>260</v>
      </c>
      <c r="P9" s="20">
        <f t="shared" si="3"/>
        <v>500</v>
      </c>
      <c r="Q9" s="466" t="s">
        <v>75</v>
      </c>
      <c r="R9" s="202">
        <v>6</v>
      </c>
      <c r="S9" s="1">
        <v>120000</v>
      </c>
      <c r="T9" s="1">
        <f t="shared" si="4"/>
        <v>23333.333333333332</v>
      </c>
      <c r="V9" s="9" t="s">
        <v>82</v>
      </c>
    </row>
    <row r="10" spans="2:43" ht="12.75">
      <c r="B10" s="91">
        <v>30</v>
      </c>
      <c r="C10" s="479">
        <f>'Farm Model Assumptions'!B13</f>
        <v>70</v>
      </c>
      <c r="D10" s="107">
        <f t="shared" si="1"/>
        <v>2100</v>
      </c>
      <c r="E10" s="108">
        <f t="shared" si="2"/>
        <v>0.1750029167152786</v>
      </c>
      <c r="G10" s="466" t="s">
        <v>75</v>
      </c>
      <c r="H10" s="527">
        <v>2</v>
      </c>
      <c r="I10" s="14">
        <v>4</v>
      </c>
      <c r="J10" s="524">
        <f t="shared" si="6"/>
        <v>12</v>
      </c>
      <c r="K10" s="524">
        <f t="shared" si="6"/>
        <v>24</v>
      </c>
      <c r="L10" s="524">
        <f t="shared" si="6"/>
        <v>36</v>
      </c>
      <c r="M10" s="528"/>
      <c r="O10" s="20">
        <v>70</v>
      </c>
      <c r="P10" s="20">
        <f t="shared" si="3"/>
        <v>134.6153846153846</v>
      </c>
      <c r="Q10" s="466" t="s">
        <v>81</v>
      </c>
      <c r="R10" s="202">
        <v>10</v>
      </c>
      <c r="S10">
        <v>0</v>
      </c>
      <c r="T10" s="1">
        <f t="shared" si="4"/>
        <v>7000</v>
      </c>
      <c r="V10" t="s">
        <v>68</v>
      </c>
      <c r="W10">
        <f>$I$9*$E$25</f>
        <v>140</v>
      </c>
      <c r="AG10">
        <f>$I$9*$E$25</f>
        <v>140</v>
      </c>
      <c r="AQ10">
        <f>$I$9*$E$25</f>
        <v>140</v>
      </c>
    </row>
    <row r="11" spans="2:47" ht="12.75">
      <c r="B11" s="91">
        <v>60</v>
      </c>
      <c r="C11" s="479">
        <f>'Farm Model Assumptions'!B14</f>
        <v>48.33</v>
      </c>
      <c r="D11" s="107">
        <f t="shared" si="1"/>
        <v>2899.7999999999997</v>
      </c>
      <c r="E11" s="108">
        <f t="shared" si="2"/>
        <v>0.24165402756712612</v>
      </c>
      <c r="G11" s="466" t="s">
        <v>81</v>
      </c>
      <c r="H11" s="529">
        <v>1</v>
      </c>
      <c r="I11" s="524">
        <v>2</v>
      </c>
      <c r="J11" s="524">
        <f aca="true" t="shared" si="7" ref="J11:L14">$I11*(J8/$I8)</f>
        <v>6</v>
      </c>
      <c r="K11" s="524">
        <f t="shared" si="7"/>
        <v>12</v>
      </c>
      <c r="L11" s="524">
        <f t="shared" si="7"/>
        <v>18</v>
      </c>
      <c r="M11" s="528"/>
      <c r="O11" s="20">
        <v>50</v>
      </c>
      <c r="P11" s="20">
        <f t="shared" si="3"/>
        <v>96.15384615384616</v>
      </c>
      <c r="Q11" s="466" t="s">
        <v>83</v>
      </c>
      <c r="R11" s="202">
        <v>10</v>
      </c>
      <c r="S11">
        <v>0</v>
      </c>
      <c r="T11" s="1">
        <f t="shared" si="4"/>
        <v>5000</v>
      </c>
      <c r="V11" t="s">
        <v>75</v>
      </c>
      <c r="W11">
        <f>$I$10*$E$26</f>
        <v>1040</v>
      </c>
      <c r="AC11">
        <f>$I$10*$E$26</f>
        <v>1040</v>
      </c>
      <c r="AI11">
        <f>$I$10*$E$26</f>
        <v>1040</v>
      </c>
      <c r="AO11">
        <f>$I$10*$E$26</f>
        <v>1040</v>
      </c>
      <c r="AU11">
        <f>$I$10*$E$26</f>
        <v>1040</v>
      </c>
    </row>
    <row r="12" spans="2:43" ht="12.75">
      <c r="B12" s="91">
        <v>90</v>
      </c>
      <c r="C12" s="479">
        <f>'Farm Model Assumptions'!B15</f>
        <v>0</v>
      </c>
      <c r="D12" s="107">
        <f t="shared" si="1"/>
        <v>0</v>
      </c>
      <c r="E12" s="108">
        <f t="shared" si="2"/>
        <v>0</v>
      </c>
      <c r="G12" s="466" t="s">
        <v>83</v>
      </c>
      <c r="H12" s="527"/>
      <c r="I12" s="59">
        <v>1</v>
      </c>
      <c r="J12" s="524">
        <f t="shared" si="7"/>
        <v>3</v>
      </c>
      <c r="K12" s="524">
        <f t="shared" si="7"/>
        <v>6</v>
      </c>
      <c r="L12" s="524">
        <f t="shared" si="7"/>
        <v>9</v>
      </c>
      <c r="M12" s="528"/>
      <c r="O12" s="20">
        <v>60</v>
      </c>
      <c r="P12" s="20">
        <f t="shared" si="3"/>
        <v>115.38461538461539</v>
      </c>
      <c r="Q12" s="466" t="s">
        <v>84</v>
      </c>
      <c r="R12" s="202">
        <v>10</v>
      </c>
      <c r="S12">
        <v>0</v>
      </c>
      <c r="T12" s="1">
        <f t="shared" si="4"/>
        <v>6000</v>
      </c>
      <c r="V12" t="s">
        <v>81</v>
      </c>
      <c r="W12">
        <f>$I$11*$E$27</f>
        <v>140</v>
      </c>
      <c r="AG12">
        <f>$I$11*$E$27</f>
        <v>140</v>
      </c>
      <c r="AQ12">
        <f>$I$11*$E$27</f>
        <v>140</v>
      </c>
    </row>
    <row r="13" spans="2:43" ht="13.5" thickBot="1">
      <c r="B13" s="91">
        <v>120</v>
      </c>
      <c r="C13" s="479">
        <f>'Farm Model Assumptions'!B16</f>
        <v>0</v>
      </c>
      <c r="D13" s="107">
        <f t="shared" si="1"/>
        <v>0</v>
      </c>
      <c r="E13" s="108">
        <f t="shared" si="2"/>
        <v>0</v>
      </c>
      <c r="G13" s="466" t="s">
        <v>84</v>
      </c>
      <c r="H13" s="527"/>
      <c r="I13" s="59">
        <v>1</v>
      </c>
      <c r="J13" s="524">
        <f t="shared" si="7"/>
        <v>3</v>
      </c>
      <c r="K13" s="524">
        <f t="shared" si="7"/>
        <v>6</v>
      </c>
      <c r="L13" s="524">
        <f t="shared" si="7"/>
        <v>9</v>
      </c>
      <c r="M13" s="528"/>
      <c r="O13" s="20">
        <v>175</v>
      </c>
      <c r="P13" s="20">
        <f t="shared" si="3"/>
        <v>336.53846153846155</v>
      </c>
      <c r="Q13" s="466" t="s">
        <v>85</v>
      </c>
      <c r="R13" s="202">
        <v>10</v>
      </c>
      <c r="S13">
        <v>0</v>
      </c>
      <c r="T13" s="1">
        <f t="shared" si="4"/>
        <v>17500</v>
      </c>
      <c r="V13" t="s">
        <v>83</v>
      </c>
      <c r="W13">
        <f>$I$12*$E$28</f>
        <v>50</v>
      </c>
      <c r="AG13">
        <f>$I$12*$E$28</f>
        <v>50</v>
      </c>
      <c r="AQ13">
        <f>$I$12*$E$28</f>
        <v>50</v>
      </c>
    </row>
    <row r="14" spans="2:43" ht="13.5" thickBot="1">
      <c r="B14" s="104" t="s">
        <v>549</v>
      </c>
      <c r="C14" s="73">
        <f>SUM(C8:C13)</f>
        <v>1018.33</v>
      </c>
      <c r="D14" s="109">
        <f>SUM(D8:D13)</f>
        <v>11999.8</v>
      </c>
      <c r="E14" s="110">
        <f>SUM(E8:E13)</f>
        <v>1</v>
      </c>
      <c r="G14" s="466" t="s">
        <v>85</v>
      </c>
      <c r="H14" s="527"/>
      <c r="I14" s="59">
        <v>1</v>
      </c>
      <c r="J14" s="524">
        <f t="shared" si="7"/>
        <v>3</v>
      </c>
      <c r="K14" s="524">
        <f t="shared" si="7"/>
        <v>6</v>
      </c>
      <c r="L14" s="524">
        <f t="shared" si="7"/>
        <v>9</v>
      </c>
      <c r="M14" s="528"/>
      <c r="O14" s="526">
        <v>2750</v>
      </c>
      <c r="P14" s="20">
        <f t="shared" si="3"/>
        <v>5288.461538461538</v>
      </c>
      <c r="Q14" s="466" t="s">
        <v>86</v>
      </c>
      <c r="R14" s="202">
        <v>20</v>
      </c>
      <c r="S14" s="1">
        <f aca="true" t="shared" si="8" ref="S14:S19">0.05*O14*1000</f>
        <v>137500</v>
      </c>
      <c r="T14" s="1">
        <f t="shared" si="4"/>
        <v>130625</v>
      </c>
      <c r="V14" t="s">
        <v>84</v>
      </c>
      <c r="W14">
        <f>$I$13*$E$29</f>
        <v>60</v>
      </c>
      <c r="AG14">
        <f>$I$13*$E$29</f>
        <v>60</v>
      </c>
      <c r="AQ14">
        <f>$I$13*$E$29</f>
        <v>60</v>
      </c>
    </row>
    <row r="15" spans="3:43" ht="12.75">
      <c r="C15" t="s">
        <v>633</v>
      </c>
      <c r="E15" s="2">
        <f>+E8+E9+E10</f>
        <v>0.7583459724328739</v>
      </c>
      <c r="G15" s="466" t="s">
        <v>86</v>
      </c>
      <c r="H15" s="527"/>
      <c r="I15" s="59"/>
      <c r="J15" s="14">
        <v>1</v>
      </c>
      <c r="K15" s="14">
        <v>2</v>
      </c>
      <c r="L15" s="14">
        <v>3</v>
      </c>
      <c r="M15" s="102"/>
      <c r="O15" s="171">
        <v>2500</v>
      </c>
      <c r="P15" s="20">
        <f t="shared" si="3"/>
        <v>4807.692307692308</v>
      </c>
      <c r="Q15" s="466" t="s">
        <v>87</v>
      </c>
      <c r="R15" s="202">
        <v>20</v>
      </c>
      <c r="S15" s="1">
        <f t="shared" si="8"/>
        <v>125000</v>
      </c>
      <c r="T15" s="1">
        <f t="shared" si="4"/>
        <v>118750</v>
      </c>
      <c r="V15" t="s">
        <v>85</v>
      </c>
      <c r="W15">
        <f>$I$14*$E$30</f>
        <v>175</v>
      </c>
      <c r="AG15">
        <f>$I$14*$E$30</f>
        <v>175</v>
      </c>
      <c r="AQ15">
        <f>$I$14*$E$30</f>
        <v>175</v>
      </c>
    </row>
    <row r="16" spans="7:53" ht="12.75">
      <c r="G16" s="466" t="s">
        <v>87</v>
      </c>
      <c r="H16" s="527"/>
      <c r="I16" s="14"/>
      <c r="J16" s="14"/>
      <c r="K16" s="14"/>
      <c r="L16" s="14">
        <v>1</v>
      </c>
      <c r="M16" s="102"/>
      <c r="O16" s="20">
        <v>4500</v>
      </c>
      <c r="P16" s="20">
        <f t="shared" si="3"/>
        <v>8653.846153846154</v>
      </c>
      <c r="Q16" s="466" t="s">
        <v>88</v>
      </c>
      <c r="R16" s="202">
        <v>20</v>
      </c>
      <c r="S16" s="1">
        <f t="shared" si="8"/>
        <v>225000</v>
      </c>
      <c r="T16" s="1">
        <f t="shared" si="4"/>
        <v>213750</v>
      </c>
      <c r="W16">
        <f aca="true" t="shared" si="9" ref="W16:BA16">SUM(W10:W15)</f>
        <v>1605</v>
      </c>
      <c r="X16">
        <f t="shared" si="9"/>
        <v>0</v>
      </c>
      <c r="Y16">
        <f t="shared" si="9"/>
        <v>0</v>
      </c>
      <c r="Z16">
        <f t="shared" si="9"/>
        <v>0</v>
      </c>
      <c r="AA16">
        <f t="shared" si="9"/>
        <v>0</v>
      </c>
      <c r="AB16">
        <f t="shared" si="9"/>
        <v>0</v>
      </c>
      <c r="AC16">
        <f t="shared" si="9"/>
        <v>1040</v>
      </c>
      <c r="AD16">
        <f t="shared" si="9"/>
        <v>0</v>
      </c>
      <c r="AE16">
        <f t="shared" si="9"/>
        <v>0</v>
      </c>
      <c r="AF16">
        <f t="shared" si="9"/>
        <v>0</v>
      </c>
      <c r="AG16">
        <f t="shared" si="9"/>
        <v>565</v>
      </c>
      <c r="AH16">
        <f t="shared" si="9"/>
        <v>0</v>
      </c>
      <c r="AI16">
        <f t="shared" si="9"/>
        <v>1040</v>
      </c>
      <c r="AJ16">
        <f t="shared" si="9"/>
        <v>0</v>
      </c>
      <c r="AK16">
        <f t="shared" si="9"/>
        <v>0</v>
      </c>
      <c r="AL16">
        <f t="shared" si="9"/>
        <v>0</v>
      </c>
      <c r="AM16">
        <f t="shared" si="9"/>
        <v>0</v>
      </c>
      <c r="AN16">
        <f t="shared" si="9"/>
        <v>0</v>
      </c>
      <c r="AO16">
        <f t="shared" si="9"/>
        <v>1040</v>
      </c>
      <c r="AP16">
        <f t="shared" si="9"/>
        <v>0</v>
      </c>
      <c r="AQ16">
        <f t="shared" si="9"/>
        <v>565</v>
      </c>
      <c r="AR16">
        <f t="shared" si="9"/>
        <v>0</v>
      </c>
      <c r="AS16">
        <f t="shared" si="9"/>
        <v>0</v>
      </c>
      <c r="AT16">
        <f t="shared" si="9"/>
        <v>0</v>
      </c>
      <c r="AU16">
        <f t="shared" si="9"/>
        <v>1040</v>
      </c>
      <c r="AV16">
        <f t="shared" si="9"/>
        <v>0</v>
      </c>
      <c r="AW16">
        <f t="shared" si="9"/>
        <v>0</v>
      </c>
      <c r="AX16">
        <f t="shared" si="9"/>
        <v>0</v>
      </c>
      <c r="AY16">
        <f t="shared" si="9"/>
        <v>0</v>
      </c>
      <c r="AZ16">
        <f t="shared" si="9"/>
        <v>0</v>
      </c>
      <c r="BA16">
        <f t="shared" si="9"/>
        <v>0</v>
      </c>
    </row>
    <row r="17" spans="1:22" ht="12.75">
      <c r="A17" s="530" t="s">
        <v>89</v>
      </c>
      <c r="B17" s="531"/>
      <c r="G17" s="466" t="s">
        <v>88</v>
      </c>
      <c r="H17" s="527"/>
      <c r="I17" s="14"/>
      <c r="J17" s="14"/>
      <c r="K17" s="14"/>
      <c r="L17" s="14"/>
      <c r="M17" s="102">
        <v>1</v>
      </c>
      <c r="O17" s="20">
        <v>1600</v>
      </c>
      <c r="P17" s="20">
        <f t="shared" si="3"/>
        <v>3076.923076923077</v>
      </c>
      <c r="Q17" s="466" t="s">
        <v>90</v>
      </c>
      <c r="R17" s="202">
        <v>20</v>
      </c>
      <c r="S17" s="1">
        <f t="shared" si="8"/>
        <v>80000</v>
      </c>
      <c r="T17" s="1">
        <f t="shared" si="4"/>
        <v>76000</v>
      </c>
      <c r="V17" s="9" t="s">
        <v>91</v>
      </c>
    </row>
    <row r="18" spans="1:43" ht="12.75">
      <c r="A18" s="532" t="s">
        <v>92</v>
      </c>
      <c r="B18" s="533"/>
      <c r="C18" s="534">
        <v>520</v>
      </c>
      <c r="G18" s="466" t="s">
        <v>90</v>
      </c>
      <c r="H18" s="527"/>
      <c r="I18" s="14"/>
      <c r="J18" s="14"/>
      <c r="K18" s="14"/>
      <c r="L18" s="14">
        <v>1</v>
      </c>
      <c r="M18" s="528">
        <v>1</v>
      </c>
      <c r="O18" s="18">
        <v>20000</v>
      </c>
      <c r="P18" s="18">
        <f t="shared" si="3"/>
        <v>38461.53846153846</v>
      </c>
      <c r="Q18" s="21" t="s">
        <v>93</v>
      </c>
      <c r="R18" s="202">
        <v>20</v>
      </c>
      <c r="S18" s="1">
        <f t="shared" si="8"/>
        <v>1000000</v>
      </c>
      <c r="T18" s="1">
        <f t="shared" si="4"/>
        <v>950000</v>
      </c>
      <c r="V18" t="s">
        <v>68</v>
      </c>
      <c r="W18">
        <f>$J$9*$E$25</f>
        <v>420</v>
      </c>
      <c r="AG18">
        <f>$J$9*$E$25</f>
        <v>420</v>
      </c>
      <c r="AQ18">
        <f>$J$9*$E$25</f>
        <v>420</v>
      </c>
    </row>
    <row r="19" spans="7:47" ht="12.75">
      <c r="G19" s="21" t="s">
        <v>93</v>
      </c>
      <c r="H19" s="14"/>
      <c r="I19" s="14"/>
      <c r="J19" s="14"/>
      <c r="K19" s="14"/>
      <c r="L19" s="14"/>
      <c r="M19" s="14"/>
      <c r="O19" s="1">
        <f>E36</f>
        <v>6500</v>
      </c>
      <c r="P19" s="1">
        <f>F36</f>
        <v>12500</v>
      </c>
      <c r="Q19" t="s">
        <v>94</v>
      </c>
      <c r="R19" s="202">
        <v>20</v>
      </c>
      <c r="S19" s="1">
        <f t="shared" si="8"/>
        <v>325000</v>
      </c>
      <c r="T19" s="1">
        <f t="shared" si="4"/>
        <v>308750</v>
      </c>
      <c r="V19" t="s">
        <v>75</v>
      </c>
      <c r="W19">
        <f>$J$10*$E$26</f>
        <v>3120</v>
      </c>
      <c r="AC19">
        <f>$J$10*$E$26</f>
        <v>3120</v>
      </c>
      <c r="AI19">
        <f>$J$10*$E$26</f>
        <v>3120</v>
      </c>
      <c r="AO19">
        <f>$J$10*$E$26</f>
        <v>3120</v>
      </c>
      <c r="AU19">
        <f>$J$10*$E$26</f>
        <v>3120</v>
      </c>
    </row>
    <row r="20" spans="7:43" ht="12.75">
      <c r="G20" s="21" t="s">
        <v>94</v>
      </c>
      <c r="H20" s="14"/>
      <c r="I20" s="14"/>
      <c r="J20" s="14"/>
      <c r="K20" s="14"/>
      <c r="L20" s="14"/>
      <c r="M20" s="14">
        <v>1</v>
      </c>
      <c r="V20" t="s">
        <v>81</v>
      </c>
      <c r="W20">
        <f>$J$11*$E$27</f>
        <v>420</v>
      </c>
      <c r="AG20">
        <f>$J$11*$E$27</f>
        <v>420</v>
      </c>
      <c r="AQ20">
        <f>$J$11*$E$27</f>
        <v>420</v>
      </c>
    </row>
    <row r="21" spans="22:43" ht="12.75">
      <c r="V21" t="s">
        <v>83</v>
      </c>
      <c r="W21">
        <f>$J$12*$E$28</f>
        <v>150</v>
      </c>
      <c r="AG21">
        <f>$J$12*$E$28</f>
        <v>150</v>
      </c>
      <c r="AQ21">
        <f>$J$12*$E$28</f>
        <v>150</v>
      </c>
    </row>
    <row r="22" spans="1:43" ht="12.75">
      <c r="A22" s="1189" t="s">
        <v>95</v>
      </c>
      <c r="B22" s="1190"/>
      <c r="C22" s="1190"/>
      <c r="D22" s="1190"/>
      <c r="E22" s="1190"/>
      <c r="F22" s="1191"/>
      <c r="G22" s="1093" t="s">
        <v>96</v>
      </c>
      <c r="H22" s="1094"/>
      <c r="I22" s="1094"/>
      <c r="J22" s="1094"/>
      <c r="K22" s="1094"/>
      <c r="L22" s="1094"/>
      <c r="M22" s="1094"/>
      <c r="N22" s="1097"/>
      <c r="V22" t="s">
        <v>84</v>
      </c>
      <c r="W22">
        <f>$J$13*$E$29</f>
        <v>180</v>
      </c>
      <c r="AG22">
        <f>$J$13*$E$29</f>
        <v>180</v>
      </c>
      <c r="AQ22">
        <f>$J$13*$E$29</f>
        <v>180</v>
      </c>
    </row>
    <row r="23" spans="1:43" ht="12.75">
      <c r="A23" s="1182" t="s">
        <v>97</v>
      </c>
      <c r="B23" s="1183"/>
      <c r="C23" s="1183"/>
      <c r="D23" s="1184"/>
      <c r="E23" s="61" t="s">
        <v>807</v>
      </c>
      <c r="F23" s="1169" t="s">
        <v>70</v>
      </c>
      <c r="G23" s="1188" t="s">
        <v>71</v>
      </c>
      <c r="H23" s="1186" t="s">
        <v>76</v>
      </c>
      <c r="I23" s="1186"/>
      <c r="J23" s="1186"/>
      <c r="K23" s="1186"/>
      <c r="L23" s="1186"/>
      <c r="M23" s="1187"/>
      <c r="N23" s="521"/>
      <c r="V23" t="s">
        <v>85</v>
      </c>
      <c r="W23">
        <f>$J$14*$E$30</f>
        <v>525</v>
      </c>
      <c r="AG23">
        <f>$J$14*$E$30</f>
        <v>525</v>
      </c>
      <c r="AQ23">
        <f>$J$14*$E$30</f>
        <v>525</v>
      </c>
    </row>
    <row r="24" spans="1:43" ht="12.75">
      <c r="A24" s="1185"/>
      <c r="B24" s="1186"/>
      <c r="C24" s="1186"/>
      <c r="D24" s="1187"/>
      <c r="E24" s="62" t="s">
        <v>77</v>
      </c>
      <c r="F24" s="1170"/>
      <c r="G24" s="1170"/>
      <c r="H24" s="17">
        <v>5</v>
      </c>
      <c r="I24" s="519">
        <v>10</v>
      </c>
      <c r="J24" s="519">
        <v>30</v>
      </c>
      <c r="K24" s="519">
        <v>60</v>
      </c>
      <c r="L24" s="519">
        <v>90</v>
      </c>
      <c r="M24" s="39">
        <v>120</v>
      </c>
      <c r="N24" s="62" t="s">
        <v>555</v>
      </c>
      <c r="V24" t="s">
        <v>86</v>
      </c>
      <c r="W24">
        <f>$J$15*$E$31</f>
        <v>2750</v>
      </c>
      <c r="AG24">
        <f>$J$15*$E$31</f>
        <v>2750</v>
      </c>
      <c r="AQ24">
        <f>$J$15*$E$31</f>
        <v>2750</v>
      </c>
    </row>
    <row r="25" spans="1:53" ht="12.75">
      <c r="A25" s="3"/>
      <c r="B25" s="535"/>
      <c r="C25" s="535"/>
      <c r="D25" s="4"/>
      <c r="E25" s="20">
        <v>70</v>
      </c>
      <c r="F25" s="36">
        <f aca="true" t="shared" si="10" ref="F25:F36">+(E25*1000)/$C$18</f>
        <v>134.6153846153846</v>
      </c>
      <c r="G25" s="521" t="s">
        <v>68</v>
      </c>
      <c r="H25" s="522">
        <f>+$C$8*H9</f>
        <v>400</v>
      </c>
      <c r="I25" s="523">
        <f aca="true" t="shared" si="11" ref="I25:I30">+$C$9*I9</f>
        <v>1000</v>
      </c>
      <c r="J25" s="523"/>
      <c r="K25" s="523"/>
      <c r="L25" s="523"/>
      <c r="M25" s="10"/>
      <c r="N25" s="36">
        <f aca="true" t="shared" si="12" ref="N25:N36">SUM(H25:M25)</f>
        <v>1400</v>
      </c>
      <c r="W25">
        <f aca="true" t="shared" si="13" ref="W25:BA25">SUM(W18:W24)</f>
        <v>7565</v>
      </c>
      <c r="X25">
        <f t="shared" si="13"/>
        <v>0</v>
      </c>
      <c r="Y25">
        <f t="shared" si="13"/>
        <v>0</v>
      </c>
      <c r="Z25">
        <f t="shared" si="13"/>
        <v>0</v>
      </c>
      <c r="AA25">
        <f t="shared" si="13"/>
        <v>0</v>
      </c>
      <c r="AB25">
        <f t="shared" si="13"/>
        <v>0</v>
      </c>
      <c r="AC25">
        <f t="shared" si="13"/>
        <v>3120</v>
      </c>
      <c r="AD25">
        <f t="shared" si="13"/>
        <v>0</v>
      </c>
      <c r="AE25">
        <f t="shared" si="13"/>
        <v>0</v>
      </c>
      <c r="AF25">
        <f t="shared" si="13"/>
        <v>0</v>
      </c>
      <c r="AG25">
        <f t="shared" si="13"/>
        <v>4445</v>
      </c>
      <c r="AH25">
        <f t="shared" si="13"/>
        <v>0</v>
      </c>
      <c r="AI25">
        <f t="shared" si="13"/>
        <v>3120</v>
      </c>
      <c r="AJ25">
        <f t="shared" si="13"/>
        <v>0</v>
      </c>
      <c r="AK25">
        <f t="shared" si="13"/>
        <v>0</v>
      </c>
      <c r="AL25">
        <f t="shared" si="13"/>
        <v>0</v>
      </c>
      <c r="AM25">
        <f t="shared" si="13"/>
        <v>0</v>
      </c>
      <c r="AN25">
        <f t="shared" si="13"/>
        <v>0</v>
      </c>
      <c r="AO25">
        <f t="shared" si="13"/>
        <v>3120</v>
      </c>
      <c r="AP25">
        <f t="shared" si="13"/>
        <v>0</v>
      </c>
      <c r="AQ25">
        <f t="shared" si="13"/>
        <v>4445</v>
      </c>
      <c r="AR25">
        <f t="shared" si="13"/>
        <v>0</v>
      </c>
      <c r="AS25">
        <f t="shared" si="13"/>
        <v>0</v>
      </c>
      <c r="AT25">
        <f t="shared" si="13"/>
        <v>0</v>
      </c>
      <c r="AU25">
        <f t="shared" si="13"/>
        <v>3120</v>
      </c>
      <c r="AV25">
        <f t="shared" si="13"/>
        <v>0</v>
      </c>
      <c r="AW25">
        <f t="shared" si="13"/>
        <v>0</v>
      </c>
      <c r="AX25">
        <f t="shared" si="13"/>
        <v>0</v>
      </c>
      <c r="AY25">
        <f t="shared" si="13"/>
        <v>0</v>
      </c>
      <c r="AZ25">
        <f t="shared" si="13"/>
        <v>0</v>
      </c>
      <c r="BA25">
        <f t="shared" si="13"/>
        <v>0</v>
      </c>
    </row>
    <row r="26" spans="1:22" ht="12.75">
      <c r="A26" s="536" t="s">
        <v>98</v>
      </c>
      <c r="B26" s="457"/>
      <c r="C26" s="457"/>
      <c r="D26" s="537"/>
      <c r="E26" s="526">
        <v>260</v>
      </c>
      <c r="F26" s="20">
        <f t="shared" si="10"/>
        <v>500</v>
      </c>
      <c r="G26" s="466" t="s">
        <v>75</v>
      </c>
      <c r="H26" s="527">
        <f>+$C$8*H10</f>
        <v>800</v>
      </c>
      <c r="I26" s="14">
        <f t="shared" si="11"/>
        <v>2000</v>
      </c>
      <c r="J26" s="14"/>
      <c r="K26" s="14"/>
      <c r="L26" s="14"/>
      <c r="M26" s="102"/>
      <c r="N26" s="20">
        <f t="shared" si="12"/>
        <v>2800</v>
      </c>
      <c r="V26" s="9" t="s">
        <v>99</v>
      </c>
    </row>
    <row r="27" spans="1:43" ht="12.75">
      <c r="A27" s="536" t="s">
        <v>100</v>
      </c>
      <c r="B27" s="457"/>
      <c r="C27" s="457"/>
      <c r="D27" s="537"/>
      <c r="E27" s="20">
        <v>70</v>
      </c>
      <c r="F27" s="20">
        <f t="shared" si="10"/>
        <v>134.6153846153846</v>
      </c>
      <c r="G27" s="466" t="s">
        <v>81</v>
      </c>
      <c r="H27" s="527"/>
      <c r="I27" s="14">
        <f t="shared" si="11"/>
        <v>1000</v>
      </c>
      <c r="J27" s="14"/>
      <c r="K27" s="14"/>
      <c r="L27" s="14"/>
      <c r="M27" s="102"/>
      <c r="N27" s="20">
        <f t="shared" si="12"/>
        <v>1000</v>
      </c>
      <c r="V27" t="s">
        <v>68</v>
      </c>
      <c r="W27">
        <f>$K$9*$E$25</f>
        <v>840</v>
      </c>
      <c r="AG27">
        <f>$K$9*$E$25</f>
        <v>840</v>
      </c>
      <c r="AQ27">
        <f>$K$9*$E$25</f>
        <v>840</v>
      </c>
    </row>
    <row r="28" spans="1:47" ht="12.75">
      <c r="A28" s="536" t="s">
        <v>101</v>
      </c>
      <c r="B28" s="457"/>
      <c r="C28" s="457"/>
      <c r="D28" s="537"/>
      <c r="E28" s="20">
        <v>50</v>
      </c>
      <c r="F28" s="20">
        <f t="shared" si="10"/>
        <v>96.15384615384616</v>
      </c>
      <c r="G28" s="466" t="s">
        <v>83</v>
      </c>
      <c r="H28" s="527"/>
      <c r="I28" s="14">
        <f t="shared" si="11"/>
        <v>500</v>
      </c>
      <c r="J28" s="14"/>
      <c r="K28" s="14"/>
      <c r="L28" s="14"/>
      <c r="M28" s="102"/>
      <c r="N28" s="20">
        <f t="shared" si="12"/>
        <v>500</v>
      </c>
      <c r="V28" t="s">
        <v>75</v>
      </c>
      <c r="W28">
        <f>$K$10*$E$26</f>
        <v>6240</v>
      </c>
      <c r="AC28">
        <f>$K$10*$E$26</f>
        <v>6240</v>
      </c>
      <c r="AI28">
        <f>$K$10*$E$26</f>
        <v>6240</v>
      </c>
      <c r="AO28">
        <f>$K$10*$E$26</f>
        <v>6240</v>
      </c>
      <c r="AU28">
        <f>$K$10*$E$26</f>
        <v>6240</v>
      </c>
    </row>
    <row r="29" spans="1:43" ht="12.75">
      <c r="A29" s="538" t="s">
        <v>112</v>
      </c>
      <c r="B29" s="394"/>
      <c r="C29" s="394"/>
      <c r="D29" s="394"/>
      <c r="E29" s="20">
        <v>60</v>
      </c>
      <c r="F29" s="20">
        <f t="shared" si="10"/>
        <v>115.38461538461539</v>
      </c>
      <c r="G29" s="466" t="s">
        <v>84</v>
      </c>
      <c r="H29" s="527"/>
      <c r="I29" s="14">
        <f t="shared" si="11"/>
        <v>500</v>
      </c>
      <c r="J29" s="14"/>
      <c r="K29" s="14"/>
      <c r="L29" s="14"/>
      <c r="M29" s="102"/>
      <c r="N29" s="20">
        <f t="shared" si="12"/>
        <v>500</v>
      </c>
      <c r="V29" t="s">
        <v>81</v>
      </c>
      <c r="W29">
        <f>$K$11*$E$27</f>
        <v>840</v>
      </c>
      <c r="AG29">
        <f>$K$11*$E$27</f>
        <v>840</v>
      </c>
      <c r="AQ29">
        <f>$K$11*$E$27</f>
        <v>840</v>
      </c>
    </row>
    <row r="30" spans="1:43" ht="12.75">
      <c r="A30" s="538" t="s">
        <v>113</v>
      </c>
      <c r="B30" s="394"/>
      <c r="C30" s="394"/>
      <c r="D30" s="394"/>
      <c r="E30" s="20">
        <v>175</v>
      </c>
      <c r="F30" s="20">
        <f t="shared" si="10"/>
        <v>336.53846153846155</v>
      </c>
      <c r="G30" s="466" t="s">
        <v>85</v>
      </c>
      <c r="H30" s="527"/>
      <c r="I30" s="14">
        <f t="shared" si="11"/>
        <v>500</v>
      </c>
      <c r="J30" s="14"/>
      <c r="K30" s="14"/>
      <c r="L30" s="14"/>
      <c r="M30" s="102"/>
      <c r="N30" s="20">
        <f t="shared" si="12"/>
        <v>500</v>
      </c>
      <c r="V30" t="s">
        <v>83</v>
      </c>
      <c r="W30">
        <f>$K$12*$E$28</f>
        <v>300</v>
      </c>
      <c r="AG30">
        <f>$K$12*$E$28</f>
        <v>300</v>
      </c>
      <c r="AQ30">
        <f>$K$12*$E$28</f>
        <v>300</v>
      </c>
    </row>
    <row r="31" spans="1:43" ht="12.75">
      <c r="A31" s="538"/>
      <c r="B31" s="394"/>
      <c r="C31" s="394"/>
      <c r="D31" s="394"/>
      <c r="E31" s="526">
        <v>2750</v>
      </c>
      <c r="F31" s="20">
        <f t="shared" si="10"/>
        <v>5288.461538461538</v>
      </c>
      <c r="G31" s="466" t="s">
        <v>86</v>
      </c>
      <c r="H31" s="527"/>
      <c r="I31" s="59"/>
      <c r="J31" s="14">
        <f>+C10*J15</f>
        <v>70</v>
      </c>
      <c r="K31" s="14">
        <f>+C11*K15</f>
        <v>96.66</v>
      </c>
      <c r="L31" s="14">
        <f>+$C$12*L15</f>
        <v>0</v>
      </c>
      <c r="M31" s="102">
        <f>+$C$13*M15</f>
        <v>0</v>
      </c>
      <c r="N31" s="20">
        <f t="shared" si="12"/>
        <v>166.66</v>
      </c>
      <c r="V31" t="s">
        <v>84</v>
      </c>
      <c r="W31">
        <f>$K$13*$E$29</f>
        <v>360</v>
      </c>
      <c r="AG31">
        <f>$K$13*$E$29</f>
        <v>360</v>
      </c>
      <c r="AQ31">
        <f>$K$13*$E$29</f>
        <v>360</v>
      </c>
    </row>
    <row r="32" spans="1:43" ht="12.75">
      <c r="A32" s="536" t="s">
        <v>114</v>
      </c>
      <c r="B32" s="457"/>
      <c r="C32" s="457"/>
      <c r="D32" s="537"/>
      <c r="E32" s="171">
        <v>2500</v>
      </c>
      <c r="F32" s="20">
        <f t="shared" si="10"/>
        <v>4807.692307692308</v>
      </c>
      <c r="G32" s="466" t="s">
        <v>115</v>
      </c>
      <c r="H32" s="527"/>
      <c r="I32" s="14"/>
      <c r="J32" s="14"/>
      <c r="K32" s="14"/>
      <c r="L32" s="14">
        <f>+$C$12*L16</f>
        <v>0</v>
      </c>
      <c r="M32" s="102"/>
      <c r="N32" s="20">
        <f t="shared" si="12"/>
        <v>0</v>
      </c>
      <c r="V32" t="s">
        <v>85</v>
      </c>
      <c r="W32">
        <f>$K$14*$E$30</f>
        <v>1050</v>
      </c>
      <c r="AG32">
        <f>$K$14*$E$30</f>
        <v>1050</v>
      </c>
      <c r="AQ32">
        <f>$K$14*$E$30</f>
        <v>1050</v>
      </c>
    </row>
    <row r="33" spans="1:43" ht="12.75">
      <c r="A33" s="536" t="s">
        <v>116</v>
      </c>
      <c r="B33" s="457"/>
      <c r="C33" s="457"/>
      <c r="D33" s="537"/>
      <c r="E33" s="20">
        <v>4500</v>
      </c>
      <c r="F33" s="20">
        <f t="shared" si="10"/>
        <v>8653.846153846154</v>
      </c>
      <c r="G33" s="466" t="s">
        <v>88</v>
      </c>
      <c r="H33" s="527"/>
      <c r="I33" s="14"/>
      <c r="J33" s="14"/>
      <c r="K33" s="14"/>
      <c r="L33" s="14"/>
      <c r="M33" s="102">
        <f>+$C$13*M17</f>
        <v>0</v>
      </c>
      <c r="N33" s="20">
        <f t="shared" si="12"/>
        <v>0</v>
      </c>
      <c r="V33" t="s">
        <v>86</v>
      </c>
      <c r="W33">
        <f>$K$15*$E$31</f>
        <v>5500</v>
      </c>
      <c r="AG33">
        <f>$K$15*$E$31</f>
        <v>5500</v>
      </c>
      <c r="AQ33">
        <f>$K$15*$E$31</f>
        <v>5500</v>
      </c>
    </row>
    <row r="34" spans="1:53" ht="12.75">
      <c r="A34" s="457" t="s">
        <v>117</v>
      </c>
      <c r="B34" s="457"/>
      <c r="C34" s="537"/>
      <c r="D34" s="537"/>
      <c r="E34" s="20">
        <v>1600</v>
      </c>
      <c r="F34" s="20">
        <f t="shared" si="10"/>
        <v>3076.923076923077</v>
      </c>
      <c r="G34" s="466" t="s">
        <v>90</v>
      </c>
      <c r="H34" s="527"/>
      <c r="I34" s="14"/>
      <c r="J34" s="14"/>
      <c r="K34" s="14"/>
      <c r="L34" s="14">
        <f>+$C$12*L18</f>
        <v>0</v>
      </c>
      <c r="M34" s="102">
        <f>+$C$13*M18</f>
        <v>0</v>
      </c>
      <c r="N34" s="20">
        <f t="shared" si="12"/>
        <v>0</v>
      </c>
      <c r="W34">
        <f aca="true" t="shared" si="14" ref="W34:BA34">SUM(W27:W33)</f>
        <v>15130</v>
      </c>
      <c r="X34">
        <f t="shared" si="14"/>
        <v>0</v>
      </c>
      <c r="Y34">
        <f t="shared" si="14"/>
        <v>0</v>
      </c>
      <c r="Z34">
        <f t="shared" si="14"/>
        <v>0</v>
      </c>
      <c r="AA34">
        <f t="shared" si="14"/>
        <v>0</v>
      </c>
      <c r="AB34">
        <f t="shared" si="14"/>
        <v>0</v>
      </c>
      <c r="AC34">
        <f t="shared" si="14"/>
        <v>6240</v>
      </c>
      <c r="AD34">
        <f t="shared" si="14"/>
        <v>0</v>
      </c>
      <c r="AE34">
        <f t="shared" si="14"/>
        <v>0</v>
      </c>
      <c r="AF34">
        <f t="shared" si="14"/>
        <v>0</v>
      </c>
      <c r="AG34">
        <f t="shared" si="14"/>
        <v>8890</v>
      </c>
      <c r="AH34">
        <f t="shared" si="14"/>
        <v>0</v>
      </c>
      <c r="AI34">
        <f t="shared" si="14"/>
        <v>6240</v>
      </c>
      <c r="AJ34">
        <f t="shared" si="14"/>
        <v>0</v>
      </c>
      <c r="AK34">
        <f t="shared" si="14"/>
        <v>0</v>
      </c>
      <c r="AL34">
        <f t="shared" si="14"/>
        <v>0</v>
      </c>
      <c r="AM34">
        <f t="shared" si="14"/>
        <v>0</v>
      </c>
      <c r="AN34">
        <f t="shared" si="14"/>
        <v>0</v>
      </c>
      <c r="AO34">
        <f t="shared" si="14"/>
        <v>6240</v>
      </c>
      <c r="AP34">
        <f t="shared" si="14"/>
        <v>0</v>
      </c>
      <c r="AQ34">
        <f t="shared" si="14"/>
        <v>8890</v>
      </c>
      <c r="AR34">
        <f t="shared" si="14"/>
        <v>0</v>
      </c>
      <c r="AS34">
        <f t="shared" si="14"/>
        <v>0</v>
      </c>
      <c r="AT34">
        <f t="shared" si="14"/>
        <v>0</v>
      </c>
      <c r="AU34">
        <f t="shared" si="14"/>
        <v>6240</v>
      </c>
      <c r="AV34">
        <f t="shared" si="14"/>
        <v>0</v>
      </c>
      <c r="AW34">
        <f t="shared" si="14"/>
        <v>0</v>
      </c>
      <c r="AX34">
        <f t="shared" si="14"/>
        <v>0</v>
      </c>
      <c r="AY34">
        <f t="shared" si="14"/>
        <v>0</v>
      </c>
      <c r="AZ34">
        <f t="shared" si="14"/>
        <v>0</v>
      </c>
      <c r="BA34">
        <f t="shared" si="14"/>
        <v>0</v>
      </c>
    </row>
    <row r="35" spans="1:22" ht="12.75">
      <c r="A35" s="539" t="s">
        <v>118</v>
      </c>
      <c r="B35" s="540"/>
      <c r="C35" s="540"/>
      <c r="D35" s="540"/>
      <c r="E35" s="18">
        <v>20000</v>
      </c>
      <c r="F35" s="18">
        <f t="shared" si="10"/>
        <v>38461.53846153846</v>
      </c>
      <c r="G35" s="21" t="s">
        <v>93</v>
      </c>
      <c r="H35" s="14"/>
      <c r="I35" s="14"/>
      <c r="J35" s="14"/>
      <c r="K35" s="14"/>
      <c r="L35" s="14"/>
      <c r="M35" s="14">
        <f>+$C$13*M19</f>
        <v>0</v>
      </c>
      <c r="N35" s="18">
        <f t="shared" si="12"/>
        <v>0</v>
      </c>
      <c r="V35" s="9" t="s">
        <v>119</v>
      </c>
    </row>
    <row r="36" spans="1:22" ht="12.75">
      <c r="A36" s="457"/>
      <c r="B36" s="457"/>
      <c r="C36" s="457"/>
      <c r="D36" s="457"/>
      <c r="E36" s="18">
        <v>6500</v>
      </c>
      <c r="F36" s="18">
        <f t="shared" si="10"/>
        <v>12500</v>
      </c>
      <c r="G36" s="21" t="s">
        <v>94</v>
      </c>
      <c r="H36" s="14"/>
      <c r="I36" s="14"/>
      <c r="J36" s="14"/>
      <c r="K36" s="14"/>
      <c r="L36" s="14"/>
      <c r="M36" s="14">
        <f>M20</f>
        <v>1</v>
      </c>
      <c r="N36" s="18">
        <f t="shared" si="12"/>
        <v>1</v>
      </c>
      <c r="V36" s="9"/>
    </row>
    <row r="37" spans="22:43" ht="12.75">
      <c r="V37" t="s">
        <v>68</v>
      </c>
      <c r="W37">
        <f>$L$9*$E$25</f>
        <v>1260</v>
      </c>
      <c r="AG37">
        <f>$K$9*$E$25</f>
        <v>840</v>
      </c>
      <c r="AQ37">
        <f>$K$9*$E$25</f>
        <v>840</v>
      </c>
    </row>
    <row r="38" spans="7:47" ht="12.75">
      <c r="G38" s="1093" t="s">
        <v>120</v>
      </c>
      <c r="H38" s="1094"/>
      <c r="I38" s="1094"/>
      <c r="J38" s="1094"/>
      <c r="K38" s="1094"/>
      <c r="L38" s="1094"/>
      <c r="M38" s="1094"/>
      <c r="N38" s="1097"/>
      <c r="V38" t="s">
        <v>75</v>
      </c>
      <c r="W38">
        <f>$L$10*$E$26</f>
        <v>9360</v>
      </c>
      <c r="AC38">
        <f>$L$10*$E$26</f>
        <v>9360</v>
      </c>
      <c r="AI38">
        <f>$L$10*$E$26</f>
        <v>9360</v>
      </c>
      <c r="AO38">
        <f>$L$10*$E$26</f>
        <v>9360</v>
      </c>
      <c r="AU38">
        <f>$L$10*$E$26</f>
        <v>9360</v>
      </c>
    </row>
    <row r="39" spans="7:43" ht="12.75">
      <c r="G39" s="1188" t="s">
        <v>71</v>
      </c>
      <c r="H39" s="1186" t="s">
        <v>76</v>
      </c>
      <c r="I39" s="1186"/>
      <c r="J39" s="1186"/>
      <c r="K39" s="1186"/>
      <c r="L39" s="1186"/>
      <c r="M39" s="1187"/>
      <c r="N39" s="521"/>
      <c r="V39" t="s">
        <v>81</v>
      </c>
      <c r="W39">
        <f>$L$11*$E$27</f>
        <v>1260</v>
      </c>
      <c r="AG39">
        <f>$K$11*$E$27</f>
        <v>840</v>
      </c>
      <c r="AQ39">
        <f>$K$11*$E$27</f>
        <v>840</v>
      </c>
    </row>
    <row r="40" spans="1:43" ht="12.75">
      <c r="A40" s="9" t="s">
        <v>121</v>
      </c>
      <c r="G40" s="1170"/>
      <c r="H40" s="17">
        <v>5</v>
      </c>
      <c r="I40" s="519">
        <v>10</v>
      </c>
      <c r="J40" s="519">
        <v>30</v>
      </c>
      <c r="K40" s="519">
        <v>60</v>
      </c>
      <c r="L40" s="519">
        <v>90</v>
      </c>
      <c r="M40" s="39">
        <v>120</v>
      </c>
      <c r="N40" s="62" t="s">
        <v>555</v>
      </c>
      <c r="V40" t="s">
        <v>83</v>
      </c>
      <c r="W40">
        <f>$L$12*$E$28</f>
        <v>450</v>
      </c>
      <c r="AG40">
        <f>$K$12*$E$28</f>
        <v>300</v>
      </c>
      <c r="AQ40">
        <f>$K$12*$E$28</f>
        <v>300</v>
      </c>
    </row>
    <row r="41" spans="7:43" ht="12.75">
      <c r="G41" s="521" t="s">
        <v>68</v>
      </c>
      <c r="H41" s="522">
        <f>+(E25*H25)/1000</f>
        <v>28</v>
      </c>
      <c r="I41" s="121">
        <f aca="true" t="shared" si="15" ref="I41:I46">+(E25*I25)/1000</f>
        <v>70</v>
      </c>
      <c r="J41" s="523"/>
      <c r="K41" s="523"/>
      <c r="L41" s="523"/>
      <c r="M41" s="10"/>
      <c r="N41" s="184">
        <f aca="true" t="shared" si="16" ref="N41:N51">SUM(H41:M41)</f>
        <v>98</v>
      </c>
      <c r="V41" t="s">
        <v>84</v>
      </c>
      <c r="W41">
        <f>$L$13*$E$29</f>
        <v>540</v>
      </c>
      <c r="AG41">
        <f>$K$13*$E$29</f>
        <v>360</v>
      </c>
      <c r="AQ41">
        <f>$K$13*$E$29</f>
        <v>360</v>
      </c>
    </row>
    <row r="42" spans="1:43" ht="12.75">
      <c r="A42" t="s">
        <v>122</v>
      </c>
      <c r="B42">
        <v>300000</v>
      </c>
      <c r="C42" s="541">
        <f>B42*1.25</f>
        <v>375000</v>
      </c>
      <c r="G42" s="466" t="s">
        <v>75</v>
      </c>
      <c r="H42" s="527">
        <f>+(E26*H26)/1000</f>
        <v>208</v>
      </c>
      <c r="I42" s="114">
        <f t="shared" si="15"/>
        <v>520</v>
      </c>
      <c r="J42" s="14"/>
      <c r="K42" s="14"/>
      <c r="L42" s="14"/>
      <c r="M42" s="102"/>
      <c r="N42" s="117">
        <f t="shared" si="16"/>
        <v>728</v>
      </c>
      <c r="V42" t="s">
        <v>85</v>
      </c>
      <c r="W42">
        <f>$L$14*$E$30</f>
        <v>1575</v>
      </c>
      <c r="AG42">
        <f>$K$14*$E$30</f>
        <v>1050</v>
      </c>
      <c r="AQ42">
        <f>$K$14*$E$30</f>
        <v>1050</v>
      </c>
    </row>
    <row r="43" spans="1:43" ht="12.75">
      <c r="A43" t="s">
        <v>123</v>
      </c>
      <c r="B43" s="49">
        <f>B42/520</f>
        <v>576.9230769230769</v>
      </c>
      <c r="C43" s="49">
        <f>C42/520</f>
        <v>721.1538461538462</v>
      </c>
      <c r="G43" s="466" t="s">
        <v>81</v>
      </c>
      <c r="H43" s="527"/>
      <c r="I43" s="114">
        <f t="shared" si="15"/>
        <v>70</v>
      </c>
      <c r="J43" s="14"/>
      <c r="K43" s="14"/>
      <c r="L43" s="14"/>
      <c r="M43" s="102"/>
      <c r="N43" s="117">
        <f t="shared" si="16"/>
        <v>70</v>
      </c>
      <c r="V43" t="s">
        <v>86</v>
      </c>
      <c r="W43">
        <f>$L$15*$E$31</f>
        <v>8250</v>
      </c>
      <c r="AG43">
        <f>$K$15*$E$31</f>
        <v>5500</v>
      </c>
      <c r="AQ43">
        <f>$K$15*$E$31</f>
        <v>5500</v>
      </c>
    </row>
    <row r="44" spans="1:43" ht="12.75">
      <c r="A44" t="s">
        <v>124</v>
      </c>
      <c r="B44">
        <v>575</v>
      </c>
      <c r="C44" s="541">
        <v>725</v>
      </c>
      <c r="D44">
        <v>20000</v>
      </c>
      <c r="G44" s="466" t="s">
        <v>83</v>
      </c>
      <c r="H44" s="527"/>
      <c r="I44" s="114">
        <f t="shared" si="15"/>
        <v>25</v>
      </c>
      <c r="J44" s="14"/>
      <c r="K44" s="14"/>
      <c r="L44" s="14"/>
      <c r="M44" s="102"/>
      <c r="N44" s="117">
        <f t="shared" si="16"/>
        <v>25</v>
      </c>
      <c r="V44" s="21" t="s">
        <v>115</v>
      </c>
      <c r="W44">
        <f>$L$16*$E$32</f>
        <v>2500</v>
      </c>
      <c r="AG44">
        <f>$L$16*$E$32</f>
        <v>2500</v>
      </c>
      <c r="AQ44">
        <f>$L$16*$E$32</f>
        <v>2500</v>
      </c>
    </row>
    <row r="45" spans="1:43" ht="12.75">
      <c r="A45" t="s">
        <v>125</v>
      </c>
      <c r="B45">
        <f>B44/0.1</f>
        <v>5750</v>
      </c>
      <c r="C45" s="541">
        <f>C44/0.1</f>
        <v>7250</v>
      </c>
      <c r="D45" s="541">
        <f>D44/0.1</f>
        <v>200000</v>
      </c>
      <c r="G45" s="466" t="s">
        <v>84</v>
      </c>
      <c r="H45" s="527"/>
      <c r="I45" s="114">
        <f t="shared" si="15"/>
        <v>30</v>
      </c>
      <c r="J45" s="14"/>
      <c r="K45" s="14"/>
      <c r="L45" s="14"/>
      <c r="M45" s="102"/>
      <c r="N45" s="117">
        <f t="shared" si="16"/>
        <v>30</v>
      </c>
      <c r="V45" s="21" t="s">
        <v>90</v>
      </c>
      <c r="W45">
        <f>$L$18*$E$34</f>
        <v>1600</v>
      </c>
      <c r="AG45">
        <f>$L$18*$E$34</f>
        <v>1600</v>
      </c>
      <c r="AQ45">
        <f>$L$18*$E$34</f>
        <v>1600</v>
      </c>
    </row>
    <row r="46" spans="1:53" ht="12.75">
      <c r="A46" t="s">
        <v>126</v>
      </c>
      <c r="B46">
        <f>B45*10</f>
        <v>57500</v>
      </c>
      <c r="C46">
        <f>C45*10</f>
        <v>72500</v>
      </c>
      <c r="D46">
        <f>D45*10</f>
        <v>2000000</v>
      </c>
      <c r="G46" s="466" t="s">
        <v>85</v>
      </c>
      <c r="H46" s="527"/>
      <c r="I46" s="114">
        <f t="shared" si="15"/>
        <v>87.5</v>
      </c>
      <c r="J46" s="14"/>
      <c r="K46" s="14"/>
      <c r="L46" s="14"/>
      <c r="M46" s="102"/>
      <c r="N46" s="117">
        <f t="shared" si="16"/>
        <v>87.5</v>
      </c>
      <c r="W46">
        <f aca="true" t="shared" si="17" ref="W46:BA46">SUM(W37:W45)</f>
        <v>26795</v>
      </c>
      <c r="X46">
        <f t="shared" si="17"/>
        <v>0</v>
      </c>
      <c r="Y46">
        <f t="shared" si="17"/>
        <v>0</v>
      </c>
      <c r="Z46">
        <f t="shared" si="17"/>
        <v>0</v>
      </c>
      <c r="AA46">
        <f t="shared" si="17"/>
        <v>0</v>
      </c>
      <c r="AB46">
        <f t="shared" si="17"/>
        <v>0</v>
      </c>
      <c r="AC46">
        <f t="shared" si="17"/>
        <v>9360</v>
      </c>
      <c r="AD46">
        <f t="shared" si="17"/>
        <v>0</v>
      </c>
      <c r="AE46">
        <f t="shared" si="17"/>
        <v>0</v>
      </c>
      <c r="AF46">
        <f t="shared" si="17"/>
        <v>0</v>
      </c>
      <c r="AG46">
        <f t="shared" si="17"/>
        <v>12990</v>
      </c>
      <c r="AH46">
        <f t="shared" si="17"/>
        <v>0</v>
      </c>
      <c r="AI46">
        <f t="shared" si="17"/>
        <v>9360</v>
      </c>
      <c r="AJ46">
        <f t="shared" si="17"/>
        <v>0</v>
      </c>
      <c r="AK46">
        <f t="shared" si="17"/>
        <v>0</v>
      </c>
      <c r="AL46">
        <f t="shared" si="17"/>
        <v>0</v>
      </c>
      <c r="AM46">
        <f t="shared" si="17"/>
        <v>0</v>
      </c>
      <c r="AN46">
        <f t="shared" si="17"/>
        <v>0</v>
      </c>
      <c r="AO46">
        <f t="shared" si="17"/>
        <v>9360</v>
      </c>
      <c r="AP46">
        <f t="shared" si="17"/>
        <v>0</v>
      </c>
      <c r="AQ46">
        <f t="shared" si="17"/>
        <v>12990</v>
      </c>
      <c r="AR46">
        <f t="shared" si="17"/>
        <v>0</v>
      </c>
      <c r="AS46">
        <f t="shared" si="17"/>
        <v>0</v>
      </c>
      <c r="AT46">
        <f t="shared" si="17"/>
        <v>0</v>
      </c>
      <c r="AU46">
        <f t="shared" si="17"/>
        <v>9360</v>
      </c>
      <c r="AV46">
        <f t="shared" si="17"/>
        <v>0</v>
      </c>
      <c r="AW46">
        <f t="shared" si="17"/>
        <v>0</v>
      </c>
      <c r="AX46">
        <f t="shared" si="17"/>
        <v>0</v>
      </c>
      <c r="AY46">
        <f t="shared" si="17"/>
        <v>0</v>
      </c>
      <c r="AZ46">
        <f t="shared" si="17"/>
        <v>0</v>
      </c>
      <c r="BA46">
        <f t="shared" si="17"/>
        <v>0</v>
      </c>
    </row>
    <row r="47" spans="1:22" ht="12.75">
      <c r="A47" t="s">
        <v>127</v>
      </c>
      <c r="B47">
        <v>0.12</v>
      </c>
      <c r="C47">
        <v>0.12</v>
      </c>
      <c r="D47">
        <v>0.12</v>
      </c>
      <c r="G47" s="466" t="s">
        <v>86</v>
      </c>
      <c r="H47" s="527"/>
      <c r="I47" s="59"/>
      <c r="J47" s="114">
        <f>+($E$31*J31)/1000</f>
        <v>192.5</v>
      </c>
      <c r="K47" s="114">
        <f>+($E$31*K31)/1000</f>
        <v>265.815</v>
      </c>
      <c r="L47" s="114">
        <f>+($E$31*L31)/1000</f>
        <v>0</v>
      </c>
      <c r="M47" s="114">
        <f>+($E$31*M31)/1000</f>
        <v>0</v>
      </c>
      <c r="N47" s="117">
        <f t="shared" si="16"/>
        <v>458.315</v>
      </c>
      <c r="V47" s="9" t="s">
        <v>128</v>
      </c>
    </row>
    <row r="48" spans="1:43" ht="12.75">
      <c r="A48" t="s">
        <v>129</v>
      </c>
      <c r="B48">
        <v>30</v>
      </c>
      <c r="C48">
        <v>30</v>
      </c>
      <c r="D48">
        <v>30</v>
      </c>
      <c r="G48" s="466" t="s">
        <v>87</v>
      </c>
      <c r="H48" s="527"/>
      <c r="I48" s="14"/>
      <c r="J48" s="14"/>
      <c r="K48" s="14"/>
      <c r="L48" s="484">
        <f>+(E32*L32)/1000</f>
        <v>0</v>
      </c>
      <c r="M48" s="102"/>
      <c r="N48" s="117">
        <f t="shared" si="16"/>
        <v>0</v>
      </c>
      <c r="V48" t="s">
        <v>68</v>
      </c>
      <c r="W48">
        <f>$M$9*$E$25</f>
        <v>0</v>
      </c>
      <c r="AG48">
        <f>$M$9*$E$25</f>
        <v>0</v>
      </c>
      <c r="AQ48">
        <f>$M$9*$E$25</f>
        <v>0</v>
      </c>
    </row>
    <row r="49" spans="1:47" ht="12.75">
      <c r="A49" t="s">
        <v>130</v>
      </c>
      <c r="B49" s="542">
        <f>PMT(B47,B48,B46)</f>
        <v>-7138.260309236733</v>
      </c>
      <c r="C49" s="542">
        <f>PMT(C47,C48,C46)</f>
        <v>-9000.41517251588</v>
      </c>
      <c r="D49" s="542">
        <f>PMT(D47,D48,D46)</f>
        <v>-248287.31510388636</v>
      </c>
      <c r="G49" s="466" t="s">
        <v>88</v>
      </c>
      <c r="H49" s="527"/>
      <c r="I49" s="14"/>
      <c r="J49" s="14"/>
      <c r="K49" s="14"/>
      <c r="L49" s="14"/>
      <c r="M49" s="114">
        <f>+(E33*M33)/1000</f>
        <v>0</v>
      </c>
      <c r="N49" s="117">
        <f t="shared" si="16"/>
        <v>0</v>
      </c>
      <c r="V49" t="s">
        <v>75</v>
      </c>
      <c r="W49">
        <f>$M$10*$E$26</f>
        <v>0</v>
      </c>
      <c r="AC49">
        <f>$M$10*$E$26</f>
        <v>0</v>
      </c>
      <c r="AI49">
        <f>$M$10*$E$26</f>
        <v>0</v>
      </c>
      <c r="AO49">
        <f>$M$10*$E$26</f>
        <v>0</v>
      </c>
      <c r="AU49">
        <f>$M$10*$E$26</f>
        <v>0</v>
      </c>
    </row>
    <row r="50" spans="1:43" ht="12.75">
      <c r="A50" t="s">
        <v>131</v>
      </c>
      <c r="B50" s="543">
        <f>B49*500</f>
        <v>-3569130.154618366</v>
      </c>
      <c r="C50" s="543">
        <f>C49*500</f>
        <v>-4500207.58625794</v>
      </c>
      <c r="D50" s="543">
        <f>D49*500</f>
        <v>-124143657.55194318</v>
      </c>
      <c r="G50" s="466" t="s">
        <v>90</v>
      </c>
      <c r="H50" s="527"/>
      <c r="I50" s="14"/>
      <c r="J50" s="14"/>
      <c r="K50" s="14"/>
      <c r="L50" s="14">
        <f>+(E34*L34)/1000</f>
        <v>0</v>
      </c>
      <c r="M50" s="114">
        <f>+(E34*M34)/1000</f>
        <v>0</v>
      </c>
      <c r="N50" s="117">
        <f t="shared" si="16"/>
        <v>0</v>
      </c>
      <c r="V50" t="s">
        <v>81</v>
      </c>
      <c r="W50">
        <f>$M$11*$E$27</f>
        <v>0</v>
      </c>
      <c r="AG50">
        <f>$M$11*$E$27</f>
        <v>0</v>
      </c>
      <c r="AQ50">
        <f>$M$11*$E$27</f>
        <v>0</v>
      </c>
    </row>
    <row r="51" spans="7:43" ht="12.75">
      <c r="G51" s="11" t="s">
        <v>93</v>
      </c>
      <c r="H51" s="25"/>
      <c r="I51" s="52"/>
      <c r="J51" s="52"/>
      <c r="K51" s="52"/>
      <c r="L51" s="52"/>
      <c r="M51" s="114">
        <f>+(E35*M35)/1000</f>
        <v>0</v>
      </c>
      <c r="N51" s="544">
        <f t="shared" si="16"/>
        <v>0</v>
      </c>
      <c r="V51" t="s">
        <v>83</v>
      </c>
      <c r="W51">
        <f>$M$12*$E$28</f>
        <v>0</v>
      </c>
      <c r="AG51">
        <f>$M$12*$E$28</f>
        <v>0</v>
      </c>
      <c r="AQ51">
        <f>$M$12*$E$28</f>
        <v>0</v>
      </c>
    </row>
    <row r="52" spans="7:43" ht="12.75">
      <c r="G52" s="545" t="s">
        <v>132</v>
      </c>
      <c r="H52" s="546">
        <f aca="true" t="shared" si="18" ref="H52:N52">SUM(H41:H51)</f>
        <v>236</v>
      </c>
      <c r="I52" s="546">
        <f t="shared" si="18"/>
        <v>802.5</v>
      </c>
      <c r="J52" s="546">
        <f t="shared" si="18"/>
        <v>192.5</v>
      </c>
      <c r="K52" s="546">
        <f t="shared" si="18"/>
        <v>265.815</v>
      </c>
      <c r="L52" s="546">
        <f t="shared" si="18"/>
        <v>0</v>
      </c>
      <c r="M52" s="546">
        <f t="shared" si="18"/>
        <v>0</v>
      </c>
      <c r="N52" s="547">
        <f t="shared" si="18"/>
        <v>1496.815</v>
      </c>
      <c r="V52" t="s">
        <v>84</v>
      </c>
      <c r="W52">
        <f>$M$13*$E$29</f>
        <v>0</v>
      </c>
      <c r="AG52">
        <f>$M$13*$E$29</f>
        <v>0</v>
      </c>
      <c r="AQ52">
        <f>$M$13*$E$29</f>
        <v>0</v>
      </c>
    </row>
    <row r="53" spans="7:43" ht="12.75">
      <c r="G53" s="548" t="s">
        <v>133</v>
      </c>
      <c r="H53" s="535"/>
      <c r="I53" s="42">
        <f>+H52+I52</f>
        <v>1038.5</v>
      </c>
      <c r="J53" s="535"/>
      <c r="K53" s="535"/>
      <c r="L53" s="535"/>
      <c r="M53" s="4"/>
      <c r="V53" t="s">
        <v>85</v>
      </c>
      <c r="W53">
        <f>$M$14*$E$30</f>
        <v>0</v>
      </c>
      <c r="AG53">
        <f>$M$14*$E$30</f>
        <v>0</v>
      </c>
      <c r="AQ53">
        <f>$M$14*$E$30</f>
        <v>0</v>
      </c>
    </row>
    <row r="54" spans="7:43" ht="12.75">
      <c r="G54" s="549" t="s">
        <v>134</v>
      </c>
      <c r="H54" s="550"/>
      <c r="I54" s="550"/>
      <c r="J54" s="550"/>
      <c r="K54" s="550"/>
      <c r="L54" s="550"/>
      <c r="M54" s="42">
        <f>+J52+K52+L52+M52</f>
        <v>458.315</v>
      </c>
      <c r="V54" t="s">
        <v>86</v>
      </c>
      <c r="W54">
        <f>$M$15*$E$31</f>
        <v>0</v>
      </c>
      <c r="AQ54">
        <f>$M$15*$E$31</f>
        <v>0</v>
      </c>
    </row>
    <row r="55" spans="22:43" ht="12.75">
      <c r="V55" s="21" t="s">
        <v>88</v>
      </c>
      <c r="W55">
        <f>$M$17*$E$33</f>
        <v>4500</v>
      </c>
      <c r="AQ55">
        <f>$M$17*$E$33</f>
        <v>4500</v>
      </c>
    </row>
    <row r="56" spans="7:43" ht="12.75">
      <c r="G56" s="1093" t="s">
        <v>135</v>
      </c>
      <c r="H56" s="1094"/>
      <c r="I56" s="1094"/>
      <c r="J56" s="1094"/>
      <c r="K56" s="1094"/>
      <c r="L56" s="1094"/>
      <c r="M56" s="1094"/>
      <c r="N56" s="1097"/>
      <c r="V56" s="21" t="s">
        <v>90</v>
      </c>
      <c r="W56">
        <f>$M$18*$E$34</f>
        <v>1600</v>
      </c>
      <c r="AQ56">
        <f>$M$18*$E$34</f>
        <v>1600</v>
      </c>
    </row>
    <row r="57" spans="7:43" ht="12.75">
      <c r="G57" s="1188" t="s">
        <v>71</v>
      </c>
      <c r="H57" s="1186" t="s">
        <v>76</v>
      </c>
      <c r="I57" s="1186"/>
      <c r="J57" s="1186"/>
      <c r="K57" s="1186"/>
      <c r="L57" s="1186"/>
      <c r="M57" s="1187"/>
      <c r="N57" s="521"/>
      <c r="V57" t="s">
        <v>136</v>
      </c>
      <c r="W57">
        <f>$M$19*$E$35</f>
        <v>0</v>
      </c>
      <c r="AQ57">
        <f>$M$19*$E$35</f>
        <v>0</v>
      </c>
    </row>
    <row r="58" spans="7:43" ht="12.75">
      <c r="G58" s="1170"/>
      <c r="H58" s="17">
        <v>5</v>
      </c>
      <c r="I58" s="519">
        <v>10</v>
      </c>
      <c r="J58" s="519">
        <v>30</v>
      </c>
      <c r="K58" s="519">
        <v>60</v>
      </c>
      <c r="L58" s="519">
        <v>90</v>
      </c>
      <c r="M58" s="39">
        <v>120</v>
      </c>
      <c r="N58" s="62" t="s">
        <v>555</v>
      </c>
      <c r="V58" t="s">
        <v>94</v>
      </c>
      <c r="W58">
        <f>$M$20*$E$36</f>
        <v>6500</v>
      </c>
      <c r="AQ58">
        <f>$M$20*$E$36</f>
        <v>6500</v>
      </c>
    </row>
    <row r="59" spans="7:53" ht="12.75">
      <c r="G59" s="521" t="s">
        <v>68</v>
      </c>
      <c r="H59" s="551">
        <f>+(F25*H25)/1000</f>
        <v>53.84615384615385</v>
      </c>
      <c r="I59" s="552">
        <f aca="true" t="shared" si="19" ref="I59:I64">+(F25*I25)/1000</f>
        <v>134.6153846153846</v>
      </c>
      <c r="J59" s="552"/>
      <c r="K59" s="552"/>
      <c r="L59" s="552"/>
      <c r="M59" s="553"/>
      <c r="N59" s="36">
        <f aca="true" t="shared" si="20" ref="N59:N69">SUM(H59:M59)</f>
        <v>188.46153846153845</v>
      </c>
      <c r="W59">
        <f aca="true" t="shared" si="21" ref="W59:BA59">SUM(W48:W58)</f>
        <v>12600</v>
      </c>
      <c r="X59">
        <f t="shared" si="21"/>
        <v>0</v>
      </c>
      <c r="Y59">
        <f t="shared" si="21"/>
        <v>0</v>
      </c>
      <c r="Z59">
        <f t="shared" si="21"/>
        <v>0</v>
      </c>
      <c r="AA59">
        <f t="shared" si="21"/>
        <v>0</v>
      </c>
      <c r="AB59">
        <f t="shared" si="21"/>
        <v>0</v>
      </c>
      <c r="AC59">
        <f t="shared" si="21"/>
        <v>0</v>
      </c>
      <c r="AD59">
        <f t="shared" si="21"/>
        <v>0</v>
      </c>
      <c r="AE59">
        <f t="shared" si="21"/>
        <v>0</v>
      </c>
      <c r="AF59">
        <f t="shared" si="21"/>
        <v>0</v>
      </c>
      <c r="AG59">
        <f t="shared" si="21"/>
        <v>0</v>
      </c>
      <c r="AH59">
        <f t="shared" si="21"/>
        <v>0</v>
      </c>
      <c r="AI59">
        <f t="shared" si="21"/>
        <v>0</v>
      </c>
      <c r="AJ59">
        <f t="shared" si="21"/>
        <v>0</v>
      </c>
      <c r="AK59">
        <f t="shared" si="21"/>
        <v>0</v>
      </c>
      <c r="AL59">
        <f t="shared" si="21"/>
        <v>0</v>
      </c>
      <c r="AM59">
        <f t="shared" si="21"/>
        <v>0</v>
      </c>
      <c r="AN59">
        <f t="shared" si="21"/>
        <v>0</v>
      </c>
      <c r="AO59">
        <f t="shared" si="21"/>
        <v>0</v>
      </c>
      <c r="AP59">
        <f t="shared" si="21"/>
        <v>0</v>
      </c>
      <c r="AQ59">
        <f t="shared" si="21"/>
        <v>12600</v>
      </c>
      <c r="AR59">
        <f t="shared" si="21"/>
        <v>0</v>
      </c>
      <c r="AS59">
        <f t="shared" si="21"/>
        <v>0</v>
      </c>
      <c r="AT59">
        <f t="shared" si="21"/>
        <v>0</v>
      </c>
      <c r="AU59">
        <f t="shared" si="21"/>
        <v>0</v>
      </c>
      <c r="AV59">
        <f t="shared" si="21"/>
        <v>0</v>
      </c>
      <c r="AW59">
        <f t="shared" si="21"/>
        <v>0</v>
      </c>
      <c r="AX59">
        <f t="shared" si="21"/>
        <v>0</v>
      </c>
      <c r="AY59">
        <f t="shared" si="21"/>
        <v>0</v>
      </c>
      <c r="AZ59">
        <f t="shared" si="21"/>
        <v>0</v>
      </c>
      <c r="BA59">
        <f t="shared" si="21"/>
        <v>0</v>
      </c>
    </row>
    <row r="60" spans="7:14" ht="12.75">
      <c r="G60" s="466" t="s">
        <v>75</v>
      </c>
      <c r="H60" s="554">
        <f>+(F26*H26)/1000</f>
        <v>400</v>
      </c>
      <c r="I60" s="484">
        <f t="shared" si="19"/>
        <v>1000</v>
      </c>
      <c r="J60" s="484"/>
      <c r="K60" s="484"/>
      <c r="L60" s="484"/>
      <c r="M60" s="555"/>
      <c r="N60" s="20">
        <f t="shared" si="20"/>
        <v>1400</v>
      </c>
    </row>
    <row r="61" spans="7:14" ht="13.5" thickBot="1">
      <c r="G61" s="466" t="s">
        <v>81</v>
      </c>
      <c r="H61" s="554"/>
      <c r="I61" s="484">
        <f t="shared" si="19"/>
        <v>134.6153846153846</v>
      </c>
      <c r="J61" s="484"/>
      <c r="K61" s="484"/>
      <c r="L61" s="484"/>
      <c r="M61" s="555"/>
      <c r="N61" s="20">
        <f t="shared" si="20"/>
        <v>134.6153846153846</v>
      </c>
    </row>
    <row r="62" spans="3:14" ht="12.75">
      <c r="C62" s="1173" t="s">
        <v>138</v>
      </c>
      <c r="D62" s="1174"/>
      <c r="E62" s="1175"/>
      <c r="G62" s="466" t="s">
        <v>83</v>
      </c>
      <c r="H62" s="554"/>
      <c r="I62" s="484">
        <f t="shared" si="19"/>
        <v>48.07692307692308</v>
      </c>
      <c r="J62" s="484"/>
      <c r="K62" s="484"/>
      <c r="L62" s="484"/>
      <c r="M62" s="555"/>
      <c r="N62" s="20">
        <f t="shared" si="20"/>
        <v>48.07692307692308</v>
      </c>
    </row>
    <row r="63" spans="3:14" ht="12.75">
      <c r="C63" s="1176"/>
      <c r="D63" s="1177"/>
      <c r="E63" s="1178"/>
      <c r="G63" s="466" t="s">
        <v>84</v>
      </c>
      <c r="H63" s="554"/>
      <c r="I63" s="484">
        <f t="shared" si="19"/>
        <v>57.69230769230769</v>
      </c>
      <c r="J63" s="484"/>
      <c r="K63" s="484"/>
      <c r="L63" s="484"/>
      <c r="M63" s="555"/>
      <c r="N63" s="20">
        <f t="shared" si="20"/>
        <v>57.69230769230769</v>
      </c>
    </row>
    <row r="64" spans="3:14" ht="12.75">
      <c r="C64" s="1176"/>
      <c r="D64" s="1177"/>
      <c r="E64" s="1178"/>
      <c r="G64" s="466" t="s">
        <v>85</v>
      </c>
      <c r="H64" s="554"/>
      <c r="I64" s="484">
        <f t="shared" si="19"/>
        <v>168.26923076923077</v>
      </c>
      <c r="J64" s="484"/>
      <c r="K64" s="484"/>
      <c r="L64" s="484"/>
      <c r="M64" s="555"/>
      <c r="N64" s="20">
        <f t="shared" si="20"/>
        <v>168.26923076923077</v>
      </c>
    </row>
    <row r="65" spans="3:14" ht="12.75">
      <c r="C65" s="1176"/>
      <c r="D65" s="1177"/>
      <c r="E65" s="1178"/>
      <c r="G65" s="466" t="s">
        <v>86</v>
      </c>
      <c r="H65" s="554"/>
      <c r="I65" s="556"/>
      <c r="J65" s="484">
        <f>+($F$31*J31)/1000</f>
        <v>370.1923076923077</v>
      </c>
      <c r="K65" s="484">
        <f>+($F$31*K31)/1000</f>
        <v>511.18269230769226</v>
      </c>
      <c r="L65" s="484">
        <f>+($F$31*L31)/1000</f>
        <v>0</v>
      </c>
      <c r="M65" s="484">
        <f>+($F$31*M31)/1000</f>
        <v>0</v>
      </c>
      <c r="N65" s="20">
        <f t="shared" si="20"/>
        <v>881.375</v>
      </c>
    </row>
    <row r="66" spans="3:14" ht="12.75">
      <c r="C66" s="1176"/>
      <c r="D66" s="1177"/>
      <c r="E66" s="1178"/>
      <c r="G66" s="466" t="s">
        <v>87</v>
      </c>
      <c r="H66" s="554"/>
      <c r="I66" s="484"/>
      <c r="J66" s="484"/>
      <c r="K66" s="484"/>
      <c r="L66" s="484">
        <f>+(F32*L32)/1000</f>
        <v>0</v>
      </c>
      <c r="M66" s="555"/>
      <c r="N66" s="20">
        <f t="shared" si="20"/>
        <v>0</v>
      </c>
    </row>
    <row r="67" spans="3:14" ht="12.75">
      <c r="C67" s="1176"/>
      <c r="D67" s="1177"/>
      <c r="E67" s="1178"/>
      <c r="G67" s="466" t="s">
        <v>88</v>
      </c>
      <c r="H67" s="554"/>
      <c r="I67" s="484"/>
      <c r="J67" s="484"/>
      <c r="K67" s="484"/>
      <c r="L67" s="484"/>
      <c r="M67" s="484">
        <f>+(F33*M33)/1000</f>
        <v>0</v>
      </c>
      <c r="N67" s="20">
        <f t="shared" si="20"/>
        <v>0</v>
      </c>
    </row>
    <row r="68" spans="3:14" ht="12.75">
      <c r="C68" s="1176"/>
      <c r="D68" s="1177"/>
      <c r="E68" s="1178"/>
      <c r="G68" s="466" t="s">
        <v>90</v>
      </c>
      <c r="H68" s="554"/>
      <c r="I68" s="484"/>
      <c r="J68" s="484"/>
      <c r="K68" s="484"/>
      <c r="L68" s="484">
        <f>+(F34*L34)/1000</f>
        <v>0</v>
      </c>
      <c r="M68" s="484">
        <f>+(F34*M34)/1000</f>
        <v>0</v>
      </c>
      <c r="N68" s="20">
        <f t="shared" si="20"/>
        <v>0</v>
      </c>
    </row>
    <row r="69" spans="3:14" ht="12.75">
      <c r="C69" s="1176"/>
      <c r="D69" s="1177"/>
      <c r="E69" s="1178"/>
      <c r="G69" s="11" t="s">
        <v>93</v>
      </c>
      <c r="H69" s="557"/>
      <c r="I69" s="558"/>
      <c r="J69" s="558"/>
      <c r="K69" s="558"/>
      <c r="L69" s="558"/>
      <c r="M69" s="484">
        <f>+(F35*M35)/1000</f>
        <v>0</v>
      </c>
      <c r="N69" s="37">
        <f t="shared" si="20"/>
        <v>0</v>
      </c>
    </row>
    <row r="70" spans="3:14" ht="12.75">
      <c r="C70" s="1176"/>
      <c r="D70" s="1177"/>
      <c r="E70" s="1178"/>
      <c r="G70" s="545" t="s">
        <v>132</v>
      </c>
      <c r="H70" s="559">
        <f aca="true" t="shared" si="22" ref="H70:N70">SUM(H59:H69)</f>
        <v>453.84615384615387</v>
      </c>
      <c r="I70" s="559">
        <f t="shared" si="22"/>
        <v>1543.2692307692305</v>
      </c>
      <c r="J70" s="559">
        <f t="shared" si="22"/>
        <v>370.1923076923077</v>
      </c>
      <c r="K70" s="559">
        <f t="shared" si="22"/>
        <v>511.18269230769226</v>
      </c>
      <c r="L70" s="559">
        <f t="shared" si="22"/>
        <v>0</v>
      </c>
      <c r="M70" s="559">
        <f t="shared" si="22"/>
        <v>0</v>
      </c>
      <c r="N70" s="42">
        <f t="shared" si="22"/>
        <v>2878.4903846153848</v>
      </c>
    </row>
    <row r="71" spans="3:13" ht="12.75">
      <c r="C71" s="1176"/>
      <c r="D71" s="1177"/>
      <c r="E71" s="1178"/>
      <c r="G71" s="548" t="s">
        <v>133</v>
      </c>
      <c r="H71" s="535"/>
      <c r="I71" s="42">
        <f>+H70+I70</f>
        <v>1997.1153846153843</v>
      </c>
      <c r="J71" s="535"/>
      <c r="K71" s="535"/>
      <c r="L71" s="535"/>
      <c r="M71" s="4"/>
    </row>
    <row r="72" spans="3:13" ht="13.5" thickBot="1">
      <c r="C72" s="1179"/>
      <c r="D72" s="1180"/>
      <c r="E72" s="1181"/>
      <c r="G72" s="549" t="s">
        <v>134</v>
      </c>
      <c r="H72" s="550"/>
      <c r="I72" s="550"/>
      <c r="J72" s="550"/>
      <c r="K72" s="550"/>
      <c r="L72" s="550"/>
      <c r="M72" s="42">
        <f>+J70+K70+L70+M70</f>
        <v>881.375</v>
      </c>
    </row>
    <row r="74" spans="2:7" ht="12.75">
      <c r="B74" s="9"/>
      <c r="G74" s="9" t="s">
        <v>139</v>
      </c>
    </row>
    <row r="75" ht="13.5" thickBot="1"/>
    <row r="76" spans="1:14" ht="13.5" thickBot="1">
      <c r="A76" s="1192" t="s">
        <v>140</v>
      </c>
      <c r="B76" s="1193"/>
      <c r="C76" s="1193"/>
      <c r="D76" s="1193"/>
      <c r="E76" s="1193"/>
      <c r="F76" s="1194"/>
      <c r="G76" s="85" t="s">
        <v>141</v>
      </c>
      <c r="H76" s="1062" t="s">
        <v>630</v>
      </c>
      <c r="I76" s="1062"/>
      <c r="J76" s="1062"/>
      <c r="K76" s="1062"/>
      <c r="L76" s="1062"/>
      <c r="M76" s="1062"/>
      <c r="N76" s="1063"/>
    </row>
    <row r="77" spans="1:14" ht="13.5" thickBot="1">
      <c r="A77" s="373"/>
      <c r="B77" s="21"/>
      <c r="C77" s="21"/>
      <c r="D77" s="21"/>
      <c r="E77" s="85" t="s">
        <v>142</v>
      </c>
      <c r="F77" s="329" t="s">
        <v>143</v>
      </c>
      <c r="G77" s="93" t="s">
        <v>573</v>
      </c>
      <c r="H77" s="12">
        <v>5</v>
      </c>
      <c r="I77" s="62">
        <v>10</v>
      </c>
      <c r="J77" s="52">
        <v>30</v>
      </c>
      <c r="K77" s="62">
        <v>60</v>
      </c>
      <c r="L77" s="52">
        <v>90</v>
      </c>
      <c r="M77" s="62">
        <v>120</v>
      </c>
      <c r="N77" s="64" t="s">
        <v>555</v>
      </c>
    </row>
    <row r="78" spans="1:14" ht="12.75">
      <c r="A78" s="373" t="s">
        <v>144</v>
      </c>
      <c r="B78" s="21"/>
      <c r="C78" s="21"/>
      <c r="D78" s="21"/>
      <c r="E78" s="47">
        <v>116</v>
      </c>
      <c r="F78" s="47">
        <f aca="true" t="shared" si="23" ref="F78:F86">+(E78*1000)/$C$18</f>
        <v>223.07692307692307</v>
      </c>
      <c r="G78" s="48" t="s">
        <v>591</v>
      </c>
      <c r="H78" s="114">
        <f>'Farm Model Assumptions'!I57</f>
        <v>1840</v>
      </c>
      <c r="I78" s="114">
        <f>'Farm Model Assumptions'!J57</f>
        <v>4600</v>
      </c>
      <c r="J78" s="114">
        <f>'Farm Model Assumptions'!K57</f>
        <v>1932.0000000000002</v>
      </c>
      <c r="K78" s="114">
        <f>'Farm Model Assumptions'!L57</f>
        <v>2667.816</v>
      </c>
      <c r="L78" s="114">
        <f>'Farm Model Assumptions'!M57</f>
        <v>0</v>
      </c>
      <c r="M78" s="114">
        <f>'Farm Model Assumptions'!N57</f>
        <v>0</v>
      </c>
      <c r="N78" s="119">
        <f aca="true" t="shared" si="24" ref="N78:N86">SUM(H78:M78)</f>
        <v>11039.815999999999</v>
      </c>
    </row>
    <row r="79" spans="1:14" ht="12.75">
      <c r="A79" s="373" t="s">
        <v>144</v>
      </c>
      <c r="B79" s="21"/>
      <c r="C79" s="21"/>
      <c r="D79" s="21"/>
      <c r="E79" s="87">
        <v>500</v>
      </c>
      <c r="F79" s="87">
        <f t="shared" si="23"/>
        <v>961.5384615384615</v>
      </c>
      <c r="G79" s="48" t="s">
        <v>556</v>
      </c>
      <c r="H79" s="114">
        <f>'Farm Model Assumptions'!I58</f>
        <v>0</v>
      </c>
      <c r="I79" s="114">
        <f>'Farm Model Assumptions'!J58</f>
        <v>0</v>
      </c>
      <c r="J79" s="114">
        <f>'Farm Model Assumptions'!K58</f>
        <v>0</v>
      </c>
      <c r="K79" s="114">
        <f>'Farm Model Assumptions'!L58</f>
        <v>0</v>
      </c>
      <c r="L79" s="114">
        <f>'Farm Model Assumptions'!M58</f>
        <v>0</v>
      </c>
      <c r="M79" s="114">
        <f>'Farm Model Assumptions'!N58</f>
        <v>0</v>
      </c>
      <c r="N79" s="119">
        <f t="shared" si="24"/>
        <v>0</v>
      </c>
    </row>
    <row r="80" spans="1:14" ht="12.75">
      <c r="A80" s="373" t="s">
        <v>145</v>
      </c>
      <c r="B80" s="21"/>
      <c r="C80" s="21"/>
      <c r="D80" s="21"/>
      <c r="E80" s="87">
        <v>120</v>
      </c>
      <c r="F80" s="87">
        <f t="shared" si="23"/>
        <v>230.76923076923077</v>
      </c>
      <c r="G80" s="48" t="s">
        <v>592</v>
      </c>
      <c r="H80" s="114">
        <f>'Farm Model Assumptions'!I59</f>
        <v>160</v>
      </c>
      <c r="I80" s="114">
        <f>'Farm Model Assumptions'!J59</f>
        <v>400</v>
      </c>
      <c r="J80" s="114">
        <f>'Farm Model Assumptions'!K59</f>
        <v>168.00000000000003</v>
      </c>
      <c r="K80" s="114">
        <f>'Farm Model Assumptions'!L59</f>
        <v>231.984</v>
      </c>
      <c r="L80" s="114">
        <f>'Farm Model Assumptions'!M59</f>
        <v>0</v>
      </c>
      <c r="M80" s="114">
        <f>'Farm Model Assumptions'!N59</f>
        <v>0</v>
      </c>
      <c r="N80" s="119">
        <f t="shared" si="24"/>
        <v>959.984</v>
      </c>
    </row>
    <row r="81" spans="1:14" ht="12.75">
      <c r="A81" s="373" t="s">
        <v>144</v>
      </c>
      <c r="B81" s="21"/>
      <c r="C81" s="21"/>
      <c r="D81" s="21"/>
      <c r="E81" s="87">
        <v>116</v>
      </c>
      <c r="F81" s="87">
        <f t="shared" si="23"/>
        <v>223.07692307692307</v>
      </c>
      <c r="G81" s="48" t="s">
        <v>593</v>
      </c>
      <c r="H81" s="114">
        <f>'Farm Model Assumptions'!I60</f>
        <v>0</v>
      </c>
      <c r="I81" s="114">
        <f>'Farm Model Assumptions'!J60</f>
        <v>0</v>
      </c>
      <c r="J81" s="114">
        <f>'Farm Model Assumptions'!K60</f>
        <v>0</v>
      </c>
      <c r="K81" s="114">
        <f>'Farm Model Assumptions'!L60</f>
        <v>0</v>
      </c>
      <c r="L81" s="114">
        <f>'Farm Model Assumptions'!M60</f>
        <v>0</v>
      </c>
      <c r="M81" s="114">
        <f>'Farm Model Assumptions'!N60</f>
        <v>0</v>
      </c>
      <c r="N81" s="119">
        <f t="shared" si="24"/>
        <v>0</v>
      </c>
    </row>
    <row r="82" spans="1:14" ht="12.75">
      <c r="A82" s="373" t="s">
        <v>145</v>
      </c>
      <c r="B82" s="21"/>
      <c r="C82" s="21"/>
      <c r="D82" s="21"/>
      <c r="E82" s="87">
        <v>120</v>
      </c>
      <c r="F82" s="87">
        <f t="shared" si="23"/>
        <v>230.76923076923077</v>
      </c>
      <c r="G82" s="48" t="s">
        <v>594</v>
      </c>
      <c r="H82" s="114">
        <f>'Farm Model Assumptions'!I61</f>
        <v>60</v>
      </c>
      <c r="I82" s="114">
        <f>'Farm Model Assumptions'!J61</f>
        <v>150</v>
      </c>
      <c r="J82" s="114">
        <f>'Farm Model Assumptions'!K61</f>
        <v>63</v>
      </c>
      <c r="K82" s="114">
        <f>'Farm Model Assumptions'!L61</f>
        <v>86.994</v>
      </c>
      <c r="L82" s="114">
        <f>'Farm Model Assumptions'!M61</f>
        <v>0</v>
      </c>
      <c r="M82" s="114">
        <f>'Farm Model Assumptions'!N61</f>
        <v>0</v>
      </c>
      <c r="N82" s="119">
        <f t="shared" si="24"/>
        <v>359.994</v>
      </c>
    </row>
    <row r="83" spans="1:14" ht="12.75">
      <c r="A83" s="373" t="s">
        <v>144</v>
      </c>
      <c r="B83" s="21"/>
      <c r="C83" s="21"/>
      <c r="D83" s="21"/>
      <c r="E83" s="87">
        <v>633</v>
      </c>
      <c r="F83" s="87">
        <f t="shared" si="23"/>
        <v>1217.3076923076924</v>
      </c>
      <c r="G83" s="48" t="s">
        <v>608</v>
      </c>
      <c r="H83" s="114">
        <f>'Farm Model Assumptions'!I62</f>
        <v>180</v>
      </c>
      <c r="I83" s="114">
        <f>'Farm Model Assumptions'!J62</f>
        <v>450</v>
      </c>
      <c r="J83" s="114">
        <f>'Farm Model Assumptions'!K62</f>
        <v>189</v>
      </c>
      <c r="K83" s="114">
        <f>'Farm Model Assumptions'!L62</f>
        <v>260.98199999999997</v>
      </c>
      <c r="L83" s="114">
        <f>'Farm Model Assumptions'!M62</f>
        <v>0</v>
      </c>
      <c r="M83" s="114">
        <f>'Farm Model Assumptions'!N62</f>
        <v>0</v>
      </c>
      <c r="N83" s="119">
        <f t="shared" si="24"/>
        <v>1079.982</v>
      </c>
    </row>
    <row r="84" spans="1:14" ht="12.75">
      <c r="A84" s="373" t="s">
        <v>144</v>
      </c>
      <c r="B84" s="21"/>
      <c r="C84" s="21"/>
      <c r="D84" s="21"/>
      <c r="E84" s="87">
        <v>1907</v>
      </c>
      <c r="F84" s="87">
        <f t="shared" si="23"/>
        <v>3667.3076923076924</v>
      </c>
      <c r="G84" s="48" t="s">
        <v>609</v>
      </c>
      <c r="H84" s="114">
        <f>'Farm Model Assumptions'!I63</f>
        <v>0</v>
      </c>
      <c r="I84" s="114">
        <f>'Farm Model Assumptions'!J63</f>
        <v>0</v>
      </c>
      <c r="J84" s="114">
        <f>'Farm Model Assumptions'!K63</f>
        <v>0</v>
      </c>
      <c r="K84" s="114">
        <f>'Farm Model Assumptions'!L63</f>
        <v>0</v>
      </c>
      <c r="L84" s="114">
        <f>'Farm Model Assumptions'!M63</f>
        <v>0</v>
      </c>
      <c r="M84" s="114">
        <f>'Farm Model Assumptions'!N63</f>
        <v>0</v>
      </c>
      <c r="N84" s="119">
        <f t="shared" si="24"/>
        <v>0</v>
      </c>
    </row>
    <row r="85" spans="1:14" ht="12.75">
      <c r="A85" s="373" t="s">
        <v>144</v>
      </c>
      <c r="B85" s="21"/>
      <c r="C85" s="21"/>
      <c r="D85" s="21"/>
      <c r="E85" s="87">
        <v>295</v>
      </c>
      <c r="F85" s="87">
        <f t="shared" si="23"/>
        <v>567.3076923076923</v>
      </c>
      <c r="G85" s="48" t="s">
        <v>610</v>
      </c>
      <c r="H85" s="114">
        <f>'Farm Model Assumptions'!I64</f>
        <v>60</v>
      </c>
      <c r="I85" s="114">
        <f>'Farm Model Assumptions'!J64</f>
        <v>150</v>
      </c>
      <c r="J85" s="114">
        <f>'Farm Model Assumptions'!K64</f>
        <v>63</v>
      </c>
      <c r="K85" s="114">
        <f>'Farm Model Assumptions'!L64</f>
        <v>86.994</v>
      </c>
      <c r="L85" s="114">
        <f>'Farm Model Assumptions'!M64</f>
        <v>0</v>
      </c>
      <c r="M85" s="114">
        <f>'Farm Model Assumptions'!N64</f>
        <v>0</v>
      </c>
      <c r="N85" s="119">
        <f t="shared" si="24"/>
        <v>359.994</v>
      </c>
    </row>
    <row r="86" spans="1:14" ht="13.5" thickBot="1">
      <c r="A86" s="373" t="s">
        <v>145</v>
      </c>
      <c r="B86" s="21"/>
      <c r="C86" s="21"/>
      <c r="D86" s="21"/>
      <c r="E86" s="88">
        <v>80</v>
      </c>
      <c r="F86" s="88">
        <f t="shared" si="23"/>
        <v>153.84615384615384</v>
      </c>
      <c r="G86" s="48" t="s">
        <v>611</v>
      </c>
      <c r="H86" s="114">
        <f>'Farm Model Assumptions'!I65</f>
        <v>0</v>
      </c>
      <c r="I86" s="114">
        <f>'Farm Model Assumptions'!J65</f>
        <v>0</v>
      </c>
      <c r="J86" s="114">
        <f>'Farm Model Assumptions'!K65</f>
        <v>0</v>
      </c>
      <c r="K86" s="114">
        <f>'Farm Model Assumptions'!L65</f>
        <v>0</v>
      </c>
      <c r="L86" s="114">
        <f>'Farm Model Assumptions'!M65</f>
        <v>0</v>
      </c>
      <c r="M86" s="114">
        <f>'Farm Model Assumptions'!N65</f>
        <v>0</v>
      </c>
      <c r="N86" s="119">
        <f t="shared" si="24"/>
        <v>0</v>
      </c>
    </row>
    <row r="87" spans="1:14" ht="13.5" thickBot="1">
      <c r="A87" s="76"/>
      <c r="B87" s="72"/>
      <c r="C87" s="72"/>
      <c r="D87" s="72"/>
      <c r="E87" s="72"/>
      <c r="F87" s="77"/>
      <c r="G87" s="53" t="s">
        <v>549</v>
      </c>
      <c r="H87" s="126">
        <f aca="true" t="shared" si="25" ref="H87:N87">SUM(H78:H86)</f>
        <v>2300</v>
      </c>
      <c r="I87" s="185">
        <f t="shared" si="25"/>
        <v>5750</v>
      </c>
      <c r="J87" s="185">
        <f t="shared" si="25"/>
        <v>2415.0000000000005</v>
      </c>
      <c r="K87" s="185">
        <f t="shared" si="25"/>
        <v>3334.77</v>
      </c>
      <c r="L87" s="185">
        <f t="shared" si="25"/>
        <v>0</v>
      </c>
      <c r="M87" s="185">
        <f t="shared" si="25"/>
        <v>0</v>
      </c>
      <c r="N87" s="127">
        <f t="shared" si="25"/>
        <v>13799.77</v>
      </c>
    </row>
    <row r="88" ht="13.5" thickBot="1"/>
    <row r="89" spans="7:14" ht="13.5" thickBot="1">
      <c r="G89" s="85"/>
      <c r="H89" s="1062" t="s">
        <v>146</v>
      </c>
      <c r="I89" s="1062"/>
      <c r="J89" s="1062"/>
      <c r="K89" s="1062"/>
      <c r="L89" s="1062"/>
      <c r="M89" s="1062"/>
      <c r="N89" s="1063"/>
    </row>
    <row r="90" spans="7:14" ht="12.75">
      <c r="G90" s="93" t="s">
        <v>573</v>
      </c>
      <c r="H90" s="12">
        <v>5</v>
      </c>
      <c r="I90" s="62">
        <v>10</v>
      </c>
      <c r="J90" s="52">
        <v>30</v>
      </c>
      <c r="K90" s="62">
        <v>60</v>
      </c>
      <c r="L90" s="52">
        <v>90</v>
      </c>
      <c r="M90" s="62">
        <v>120</v>
      </c>
      <c r="N90" s="64" t="s">
        <v>555</v>
      </c>
    </row>
    <row r="91" spans="7:14" ht="12.75">
      <c r="G91" s="48" t="s">
        <v>591</v>
      </c>
      <c r="H91" s="114">
        <f aca="true" t="shared" si="26" ref="H91:M91">+($E$78*H78)/1000</f>
        <v>213.44</v>
      </c>
      <c r="I91" s="114">
        <f t="shared" si="26"/>
        <v>533.6</v>
      </c>
      <c r="J91" s="114">
        <f t="shared" si="26"/>
        <v>224.11200000000002</v>
      </c>
      <c r="K91" s="114">
        <f t="shared" si="26"/>
        <v>309.46665599999994</v>
      </c>
      <c r="L91" s="114">
        <f t="shared" si="26"/>
        <v>0</v>
      </c>
      <c r="M91" s="114">
        <f t="shared" si="26"/>
        <v>0</v>
      </c>
      <c r="N91" s="119">
        <f aca="true" t="shared" si="27" ref="N91:N99">SUM(H91:M91)</f>
        <v>1280.618656</v>
      </c>
    </row>
    <row r="92" spans="7:14" ht="12.75">
      <c r="G92" s="48" t="s">
        <v>556</v>
      </c>
      <c r="H92" s="114">
        <f aca="true" t="shared" si="28" ref="H92:H99">+(E79*H79)/1000</f>
        <v>0</v>
      </c>
      <c r="I92" s="114">
        <f aca="true" t="shared" si="29" ref="I92:I99">+(E79*I79)/1000</f>
        <v>0</v>
      </c>
      <c r="J92" s="114">
        <f aca="true" t="shared" si="30" ref="J92:J99">+(E79*J79)/1000</f>
        <v>0</v>
      </c>
      <c r="K92" s="114">
        <f aca="true" t="shared" si="31" ref="K92:K99">+(E79*K79)/1000</f>
        <v>0</v>
      </c>
      <c r="L92" s="114">
        <f aca="true" t="shared" si="32" ref="L92:L99">+(E79*L79)/1000</f>
        <v>0</v>
      </c>
      <c r="M92" s="114">
        <f aca="true" t="shared" si="33" ref="M92:M99">+(E79*M79)/1000</f>
        <v>0</v>
      </c>
      <c r="N92" s="119">
        <f t="shared" si="27"/>
        <v>0</v>
      </c>
    </row>
    <row r="93" spans="7:14" ht="12.75">
      <c r="G93" s="48" t="s">
        <v>592</v>
      </c>
      <c r="H93" s="114">
        <f t="shared" si="28"/>
        <v>19.2</v>
      </c>
      <c r="I93" s="114">
        <f t="shared" si="29"/>
        <v>48</v>
      </c>
      <c r="J93" s="114">
        <f t="shared" si="30"/>
        <v>20.160000000000004</v>
      </c>
      <c r="K93" s="114">
        <f t="shared" si="31"/>
        <v>27.83808</v>
      </c>
      <c r="L93" s="114">
        <f t="shared" si="32"/>
        <v>0</v>
      </c>
      <c r="M93" s="114">
        <f t="shared" si="33"/>
        <v>0</v>
      </c>
      <c r="N93" s="119">
        <f t="shared" si="27"/>
        <v>115.19808000000002</v>
      </c>
    </row>
    <row r="94" spans="7:14" ht="12.75">
      <c r="G94" s="48" t="s">
        <v>593</v>
      </c>
      <c r="H94" s="114">
        <f t="shared" si="28"/>
        <v>0</v>
      </c>
      <c r="I94" s="114">
        <f t="shared" si="29"/>
        <v>0</v>
      </c>
      <c r="J94" s="114">
        <f t="shared" si="30"/>
        <v>0</v>
      </c>
      <c r="K94" s="114">
        <f t="shared" si="31"/>
        <v>0</v>
      </c>
      <c r="L94" s="114">
        <f t="shared" si="32"/>
        <v>0</v>
      </c>
      <c r="M94" s="114">
        <f t="shared" si="33"/>
        <v>0</v>
      </c>
      <c r="N94" s="119">
        <f t="shared" si="27"/>
        <v>0</v>
      </c>
    </row>
    <row r="95" spans="7:14" ht="12.75">
      <c r="G95" s="48" t="s">
        <v>594</v>
      </c>
      <c r="H95" s="114">
        <f t="shared" si="28"/>
        <v>7.2</v>
      </c>
      <c r="I95" s="114">
        <f t="shared" si="29"/>
        <v>18</v>
      </c>
      <c r="J95" s="114">
        <f t="shared" si="30"/>
        <v>7.56</v>
      </c>
      <c r="K95" s="114">
        <f t="shared" si="31"/>
        <v>10.43928</v>
      </c>
      <c r="L95" s="114">
        <f t="shared" si="32"/>
        <v>0</v>
      </c>
      <c r="M95" s="114">
        <f t="shared" si="33"/>
        <v>0</v>
      </c>
      <c r="N95" s="119">
        <f t="shared" si="27"/>
        <v>43.19928</v>
      </c>
    </row>
    <row r="96" spans="7:14" ht="12.75">
      <c r="G96" s="48" t="s">
        <v>608</v>
      </c>
      <c r="H96" s="114">
        <f t="shared" si="28"/>
        <v>113.94</v>
      </c>
      <c r="I96" s="114">
        <f t="shared" si="29"/>
        <v>284.85</v>
      </c>
      <c r="J96" s="114">
        <f t="shared" si="30"/>
        <v>119.637</v>
      </c>
      <c r="K96" s="114">
        <f t="shared" si="31"/>
        <v>165.20160599999997</v>
      </c>
      <c r="L96" s="114">
        <f t="shared" si="32"/>
        <v>0</v>
      </c>
      <c r="M96" s="114">
        <f t="shared" si="33"/>
        <v>0</v>
      </c>
      <c r="N96" s="119">
        <f t="shared" si="27"/>
        <v>683.628606</v>
      </c>
    </row>
    <row r="97" spans="7:14" ht="12.75">
      <c r="G97" s="48" t="s">
        <v>609</v>
      </c>
      <c r="H97" s="114">
        <f t="shared" si="28"/>
        <v>0</v>
      </c>
      <c r="I97" s="114">
        <f t="shared" si="29"/>
        <v>0</v>
      </c>
      <c r="J97" s="114">
        <f t="shared" si="30"/>
        <v>0</v>
      </c>
      <c r="K97" s="114">
        <f t="shared" si="31"/>
        <v>0</v>
      </c>
      <c r="L97" s="114">
        <f t="shared" si="32"/>
        <v>0</v>
      </c>
      <c r="M97" s="114">
        <f t="shared" si="33"/>
        <v>0</v>
      </c>
      <c r="N97" s="119">
        <f t="shared" si="27"/>
        <v>0</v>
      </c>
    </row>
    <row r="98" spans="7:14" ht="13.5" thickBot="1">
      <c r="G98" s="48" t="s">
        <v>610</v>
      </c>
      <c r="H98" s="114">
        <f t="shared" si="28"/>
        <v>17.7</v>
      </c>
      <c r="I98" s="114">
        <f t="shared" si="29"/>
        <v>44.25</v>
      </c>
      <c r="J98" s="114">
        <f t="shared" si="30"/>
        <v>18.585</v>
      </c>
      <c r="K98" s="114">
        <f t="shared" si="31"/>
        <v>25.66323</v>
      </c>
      <c r="L98" s="114">
        <f t="shared" si="32"/>
        <v>0</v>
      </c>
      <c r="M98" s="114">
        <f t="shared" si="33"/>
        <v>0</v>
      </c>
      <c r="N98" s="119">
        <f t="shared" si="27"/>
        <v>106.19823</v>
      </c>
    </row>
    <row r="99" spans="3:14" ht="13.5" thickBot="1">
      <c r="C99" s="1195" t="s">
        <v>147</v>
      </c>
      <c r="D99" s="1174"/>
      <c r="E99" s="1174"/>
      <c r="F99" s="1175"/>
      <c r="G99" s="48" t="s">
        <v>611</v>
      </c>
      <c r="H99" s="114">
        <f t="shared" si="28"/>
        <v>0</v>
      </c>
      <c r="I99" s="114">
        <f t="shared" si="29"/>
        <v>0</v>
      </c>
      <c r="J99" s="114">
        <f t="shared" si="30"/>
        <v>0</v>
      </c>
      <c r="K99" s="114">
        <f t="shared" si="31"/>
        <v>0</v>
      </c>
      <c r="L99" s="114">
        <f t="shared" si="32"/>
        <v>0</v>
      </c>
      <c r="M99" s="114">
        <f t="shared" si="33"/>
        <v>0</v>
      </c>
      <c r="N99" s="119">
        <f t="shared" si="27"/>
        <v>0</v>
      </c>
    </row>
    <row r="100" spans="3:14" ht="13.5" thickBot="1">
      <c r="C100" s="1179"/>
      <c r="D100" s="1180"/>
      <c r="E100" s="1180"/>
      <c r="F100" s="1181"/>
      <c r="G100" s="53" t="s">
        <v>549</v>
      </c>
      <c r="H100" s="126">
        <f aca="true" t="shared" si="34" ref="H100:N100">SUM(H91:H99)</f>
        <v>371.47999999999996</v>
      </c>
      <c r="I100" s="185">
        <f t="shared" si="34"/>
        <v>928.7</v>
      </c>
      <c r="J100" s="185">
        <f t="shared" si="34"/>
        <v>390.05400000000003</v>
      </c>
      <c r="K100" s="185">
        <f t="shared" si="34"/>
        <v>538.608852</v>
      </c>
      <c r="L100" s="185">
        <f t="shared" si="34"/>
        <v>0</v>
      </c>
      <c r="M100" s="185">
        <f t="shared" si="34"/>
        <v>0</v>
      </c>
      <c r="N100" s="127">
        <f t="shared" si="34"/>
        <v>2228.842852</v>
      </c>
    </row>
    <row r="101" spans="5:13" ht="13.5" thickBot="1">
      <c r="E101" s="1196" t="s">
        <v>142</v>
      </c>
      <c r="F101" s="560" t="s">
        <v>148</v>
      </c>
      <c r="G101" s="561" t="s">
        <v>149</v>
      </c>
      <c r="H101" s="71"/>
      <c r="I101" s="562">
        <f>+H100+I100</f>
        <v>1300.18</v>
      </c>
      <c r="J101" s="71"/>
      <c r="K101" s="71"/>
      <c r="L101" s="71"/>
      <c r="M101" s="83"/>
    </row>
    <row r="102" spans="5:18" ht="13.5" thickBot="1">
      <c r="E102" s="1197"/>
      <c r="F102" s="563" t="s">
        <v>891</v>
      </c>
      <c r="G102" s="131" t="s">
        <v>150</v>
      </c>
      <c r="H102" s="72"/>
      <c r="I102" s="72"/>
      <c r="J102" s="72"/>
      <c r="K102" s="72"/>
      <c r="L102" s="72"/>
      <c r="M102" s="562">
        <f>+J100+K100+L100+M100</f>
        <v>928.6628519999999</v>
      </c>
      <c r="O102" s="564" t="s">
        <v>151</v>
      </c>
      <c r="P102" t="s">
        <v>152</v>
      </c>
      <c r="Q102" s="149" t="s">
        <v>153</v>
      </c>
      <c r="R102" t="s">
        <v>549</v>
      </c>
    </row>
    <row r="103" spans="3:18" ht="13.5" thickBot="1">
      <c r="C103" s="149" t="s">
        <v>154</v>
      </c>
      <c r="E103" s="47">
        <v>350</v>
      </c>
      <c r="F103" s="83">
        <f>+(E103*1000)/$C$18</f>
        <v>673.0769230769231</v>
      </c>
      <c r="G103" s="120" t="s">
        <v>155</v>
      </c>
      <c r="H103" s="51"/>
      <c r="I103" s="71"/>
      <c r="J103" s="565">
        <f>+($E$103*J31)/1000</f>
        <v>24.5</v>
      </c>
      <c r="K103" s="565">
        <f>+($E$103*K31)/1000</f>
        <v>33.831</v>
      </c>
      <c r="L103" s="565">
        <f>+($E$103*L31)/1000</f>
        <v>0</v>
      </c>
      <c r="M103" s="566">
        <f>+($E$103*M31)/1000</f>
        <v>0</v>
      </c>
      <c r="N103" s="49">
        <f>SUM(J103:M103)</f>
        <v>58.331</v>
      </c>
      <c r="O103" s="556">
        <f>+N103/3</f>
        <v>19.44366666666667</v>
      </c>
      <c r="P103" s="556">
        <v>64</v>
      </c>
      <c r="Q103" s="556">
        <v>96</v>
      </c>
      <c r="R103" s="49">
        <f>SUM(O103:Q103)</f>
        <v>179.44366666666667</v>
      </c>
    </row>
    <row r="104" spans="3:18" ht="13.5" thickBot="1">
      <c r="C104" s="149" t="s">
        <v>154</v>
      </c>
      <c r="E104" s="87">
        <v>110</v>
      </c>
      <c r="F104" s="83">
        <f>+(E104*1000)/$C$18</f>
        <v>211.53846153846155</v>
      </c>
      <c r="G104" s="120" t="s">
        <v>156</v>
      </c>
      <c r="H104" s="373"/>
      <c r="I104" s="21"/>
      <c r="J104" s="484"/>
      <c r="K104" s="484"/>
      <c r="L104" s="484">
        <f>+(E104*L32)/1000</f>
        <v>0</v>
      </c>
      <c r="M104" s="111"/>
      <c r="N104" s="49">
        <f>SUM(J104:M104)</f>
        <v>0</v>
      </c>
      <c r="O104">
        <f>+N104/3</f>
        <v>0</v>
      </c>
      <c r="P104">
        <v>1.1</v>
      </c>
      <c r="Q104">
        <v>1.65</v>
      </c>
      <c r="R104">
        <f>SUM(O104:Q104)</f>
        <v>2.75</v>
      </c>
    </row>
    <row r="105" spans="3:18" ht="12.75">
      <c r="C105" s="149" t="s">
        <v>154</v>
      </c>
      <c r="E105" s="87">
        <v>525</v>
      </c>
      <c r="F105" s="83">
        <f>+(E105*1000)/$C$18</f>
        <v>1009.6153846153846</v>
      </c>
      <c r="G105" s="120" t="s">
        <v>157</v>
      </c>
      <c r="H105" s="373"/>
      <c r="I105" s="21"/>
      <c r="J105" s="484"/>
      <c r="K105" s="484"/>
      <c r="L105" s="484"/>
      <c r="M105" s="111">
        <f>+(E105*M33)/1000</f>
        <v>0</v>
      </c>
      <c r="N105" s="49">
        <f>SUM(J105:M105)</f>
        <v>0</v>
      </c>
      <c r="O105">
        <f>+N105/3</f>
        <v>0</v>
      </c>
      <c r="P105">
        <f>+O105*2</f>
        <v>0</v>
      </c>
      <c r="Q105">
        <f>+O105*3</f>
        <v>0</v>
      </c>
      <c r="R105">
        <f>SUM(O105:Q105)</f>
        <v>0</v>
      </c>
    </row>
    <row r="106" spans="3:14" ht="13.5" thickBot="1">
      <c r="C106" t="s">
        <v>158</v>
      </c>
      <c r="E106" s="88"/>
      <c r="F106" s="77"/>
      <c r="G106" s="120" t="s">
        <v>159</v>
      </c>
      <c r="H106" s="373"/>
      <c r="I106" s="21"/>
      <c r="J106" s="484"/>
      <c r="K106" s="484"/>
      <c r="L106" s="484">
        <v>22.88</v>
      </c>
      <c r="M106" s="111">
        <v>18.75</v>
      </c>
      <c r="N106" s="49">
        <f>SUM(J106:M106)</f>
        <v>41.629999999999995</v>
      </c>
    </row>
    <row r="107" spans="3:14" ht="13.5" thickBot="1">
      <c r="C107" t="s">
        <v>158</v>
      </c>
      <c r="G107" s="120" t="s">
        <v>160</v>
      </c>
      <c r="H107" s="373"/>
      <c r="I107" s="21"/>
      <c r="J107" s="484"/>
      <c r="K107" s="484"/>
      <c r="L107" s="484"/>
      <c r="M107" s="111"/>
      <c r="N107" s="49">
        <f>SUM(J107:M107)</f>
        <v>0</v>
      </c>
    </row>
    <row r="108" spans="7:14" ht="13.5" thickBot="1">
      <c r="G108" s="340" t="s">
        <v>161</v>
      </c>
      <c r="H108" s="63"/>
      <c r="I108" s="63"/>
      <c r="J108" s="567">
        <f>+J100+J103</f>
        <v>414.55400000000003</v>
      </c>
      <c r="K108" s="567">
        <f>+K100+K103</f>
        <v>572.439852</v>
      </c>
      <c r="L108" s="567">
        <f>+L100+L103+L104+L106</f>
        <v>22.88</v>
      </c>
      <c r="M108" s="568">
        <f>+M100+M103+M105+M107</f>
        <v>0</v>
      </c>
      <c r="N108" s="1">
        <f>+M102+R103+R104+R105+N106+N107</f>
        <v>1152.4865186666666</v>
      </c>
    </row>
    <row r="109" spans="10:14" ht="12.75">
      <c r="J109" s="257" t="s">
        <v>162</v>
      </c>
      <c r="K109" s="240"/>
      <c r="L109" s="240"/>
      <c r="M109" s="240"/>
      <c r="N109" s="1">
        <f>+N108+I101</f>
        <v>2452.666518666667</v>
      </c>
    </row>
    <row r="110" ht="13.5" thickBot="1">
      <c r="N110" s="1"/>
    </row>
    <row r="111" spans="7:14" ht="13.5" thickBot="1">
      <c r="G111" s="85"/>
      <c r="H111" s="1062" t="s">
        <v>163</v>
      </c>
      <c r="I111" s="1062"/>
      <c r="J111" s="1062"/>
      <c r="K111" s="1062"/>
      <c r="L111" s="1062"/>
      <c r="M111" s="1062"/>
      <c r="N111" s="1063"/>
    </row>
    <row r="112" spans="7:14" ht="12.75">
      <c r="G112" s="93" t="s">
        <v>573</v>
      </c>
      <c r="H112" s="12">
        <v>5</v>
      </c>
      <c r="I112" s="62">
        <v>10</v>
      </c>
      <c r="J112" s="52">
        <v>30</v>
      </c>
      <c r="K112" s="62">
        <v>60</v>
      </c>
      <c r="L112" s="52">
        <v>90</v>
      </c>
      <c r="M112" s="62">
        <v>120</v>
      </c>
      <c r="N112" s="64" t="s">
        <v>555</v>
      </c>
    </row>
    <row r="113" spans="7:14" ht="12.75">
      <c r="G113" s="48" t="s">
        <v>591</v>
      </c>
      <c r="H113" s="114"/>
      <c r="I113" s="114"/>
      <c r="J113" s="114"/>
      <c r="K113" s="114"/>
      <c r="L113" s="114"/>
      <c r="M113" s="114"/>
      <c r="N113" s="119">
        <f aca="true" t="shared" si="35" ref="N113:N121">SUM(H113:M113)</f>
        <v>0</v>
      </c>
    </row>
    <row r="114" spans="7:14" ht="12.75">
      <c r="G114" s="48" t="s">
        <v>556</v>
      </c>
      <c r="H114" s="114"/>
      <c r="I114" s="114"/>
      <c r="J114" s="114"/>
      <c r="K114" s="114"/>
      <c r="L114" s="114"/>
      <c r="M114" s="114"/>
      <c r="N114" s="119">
        <f t="shared" si="35"/>
        <v>0</v>
      </c>
    </row>
    <row r="115" spans="7:14" ht="12.75">
      <c r="G115" s="48" t="s">
        <v>592</v>
      </c>
      <c r="H115" s="114"/>
      <c r="I115" s="114"/>
      <c r="J115" s="114"/>
      <c r="K115" s="114"/>
      <c r="L115" s="114"/>
      <c r="M115" s="114"/>
      <c r="N115" s="119">
        <f t="shared" si="35"/>
        <v>0</v>
      </c>
    </row>
    <row r="116" spans="7:14" ht="12.75">
      <c r="G116" s="48" t="s">
        <v>593</v>
      </c>
      <c r="H116" s="114"/>
      <c r="I116" s="114"/>
      <c r="J116" s="114"/>
      <c r="K116" s="114"/>
      <c r="L116" s="114"/>
      <c r="M116" s="114"/>
      <c r="N116" s="119">
        <f t="shared" si="35"/>
        <v>0</v>
      </c>
    </row>
    <row r="117" spans="7:14" ht="12.75">
      <c r="G117" s="48" t="s">
        <v>594</v>
      </c>
      <c r="H117" s="114"/>
      <c r="I117" s="114"/>
      <c r="J117" s="114"/>
      <c r="K117" s="114"/>
      <c r="L117" s="114"/>
      <c r="M117" s="114"/>
      <c r="N117" s="119">
        <f t="shared" si="35"/>
        <v>0</v>
      </c>
    </row>
    <row r="118" spans="7:14" ht="12.75">
      <c r="G118" s="48" t="s">
        <v>608</v>
      </c>
      <c r="H118" s="114"/>
      <c r="I118" s="114"/>
      <c r="J118" s="114"/>
      <c r="K118" s="114"/>
      <c r="L118" s="114"/>
      <c r="M118" s="114"/>
      <c r="N118" s="119">
        <f t="shared" si="35"/>
        <v>0</v>
      </c>
    </row>
    <row r="119" spans="7:14" ht="12.75">
      <c r="G119" s="48" t="s">
        <v>609</v>
      </c>
      <c r="H119" s="114"/>
      <c r="I119" s="114"/>
      <c r="J119" s="114"/>
      <c r="K119" s="114"/>
      <c r="L119" s="114"/>
      <c r="M119" s="114"/>
      <c r="N119" s="119">
        <f t="shared" si="35"/>
        <v>0</v>
      </c>
    </row>
    <row r="120" spans="7:14" ht="12.75">
      <c r="G120" s="48" t="s">
        <v>610</v>
      </c>
      <c r="H120" s="114"/>
      <c r="I120" s="114"/>
      <c r="J120" s="114"/>
      <c r="K120" s="114"/>
      <c r="L120" s="114"/>
      <c r="M120" s="114"/>
      <c r="N120" s="119">
        <f t="shared" si="35"/>
        <v>0</v>
      </c>
    </row>
    <row r="121" spans="7:14" ht="13.5" thickBot="1">
      <c r="G121" s="48" t="s">
        <v>611</v>
      </c>
      <c r="H121" s="114"/>
      <c r="I121" s="114"/>
      <c r="J121" s="114"/>
      <c r="K121" s="114"/>
      <c r="L121" s="114"/>
      <c r="M121" s="114"/>
      <c r="N121" s="119">
        <f t="shared" si="35"/>
        <v>0</v>
      </c>
    </row>
    <row r="122" spans="7:14" ht="13.5" thickBot="1">
      <c r="G122" s="53" t="s">
        <v>549</v>
      </c>
      <c r="H122" s="126">
        <f aca="true" t="shared" si="36" ref="H122:N122">SUM(H113:H121)</f>
        <v>0</v>
      </c>
      <c r="I122" s="185">
        <f t="shared" si="36"/>
        <v>0</v>
      </c>
      <c r="J122" s="185">
        <f t="shared" si="36"/>
        <v>0</v>
      </c>
      <c r="K122" s="185">
        <f t="shared" si="36"/>
        <v>0</v>
      </c>
      <c r="L122" s="185">
        <f t="shared" si="36"/>
        <v>0</v>
      </c>
      <c r="M122" s="185">
        <f t="shared" si="36"/>
        <v>0</v>
      </c>
      <c r="N122" s="127">
        <f t="shared" si="36"/>
        <v>0</v>
      </c>
    </row>
    <row r="123" spans="7:13" ht="13.5" thickBot="1">
      <c r="G123" s="561" t="s">
        <v>149</v>
      </c>
      <c r="H123" s="71"/>
      <c r="I123" s="562">
        <f>+H122+I122</f>
        <v>0</v>
      </c>
      <c r="J123" s="71"/>
      <c r="K123" s="71"/>
      <c r="L123" s="71"/>
      <c r="M123" s="83"/>
    </row>
    <row r="124" spans="7:13" ht="13.5" thickBot="1">
      <c r="G124" s="131" t="s">
        <v>150</v>
      </c>
      <c r="H124" s="72"/>
      <c r="I124" s="72"/>
      <c r="J124" s="72"/>
      <c r="K124" s="72"/>
      <c r="L124" s="72"/>
      <c r="M124" s="562">
        <f>+J122+K122+L122+M122</f>
        <v>0</v>
      </c>
    </row>
    <row r="125" spans="7:14" ht="12.75">
      <c r="G125" s="120" t="s">
        <v>155</v>
      </c>
      <c r="H125" s="51"/>
      <c r="I125" s="71"/>
      <c r="J125" s="565">
        <f>+($E$103*J54)/1000</f>
        <v>0</v>
      </c>
      <c r="K125" s="565">
        <f>+($E$103*K54)/1000</f>
        <v>0</v>
      </c>
      <c r="L125" s="565">
        <f>+($E$103*L54)/1000</f>
        <v>0</v>
      </c>
      <c r="M125" s="566">
        <f>+($E$103*M54)/1000</f>
        <v>160.41025</v>
      </c>
      <c r="N125" s="49">
        <f>SUM(J125:M125)</f>
        <v>160.41025</v>
      </c>
    </row>
    <row r="126" spans="7:14" ht="12.75">
      <c r="G126" s="120" t="s">
        <v>156</v>
      </c>
      <c r="H126" s="373"/>
      <c r="I126" s="21"/>
      <c r="J126" s="484"/>
      <c r="K126" s="484"/>
      <c r="L126" s="484">
        <f>+(E126*L55)/1000</f>
        <v>0</v>
      </c>
      <c r="M126" s="111"/>
      <c r="N126" s="49">
        <f>SUM(J126:M126)</f>
        <v>0</v>
      </c>
    </row>
    <row r="127" spans="7:14" ht="12.75">
      <c r="G127" s="120" t="s">
        <v>157</v>
      </c>
      <c r="H127" s="373"/>
      <c r="I127" s="21"/>
      <c r="J127" s="484"/>
      <c r="K127" s="484"/>
      <c r="L127" s="484"/>
      <c r="M127" s="111">
        <f>+(E127*M56)/1000</f>
        <v>0</v>
      </c>
      <c r="N127" s="49">
        <f>SUM(J127:M127)</f>
        <v>0</v>
      </c>
    </row>
    <row r="128" spans="7:14" ht="12.75">
      <c r="G128" s="120" t="s">
        <v>159</v>
      </c>
      <c r="H128" s="373"/>
      <c r="I128" s="21"/>
      <c r="J128" s="484"/>
      <c r="K128" s="484"/>
      <c r="L128" s="484">
        <v>22.88</v>
      </c>
      <c r="M128" s="111"/>
      <c r="N128" s="49">
        <f>SUM(J128:M128)</f>
        <v>22.88</v>
      </c>
    </row>
    <row r="129" spans="7:14" ht="13.5" thickBot="1">
      <c r="G129" s="120" t="s">
        <v>160</v>
      </c>
      <c r="H129" s="373"/>
      <c r="I129" s="21"/>
      <c r="J129" s="484"/>
      <c r="K129" s="484"/>
      <c r="L129" s="484"/>
      <c r="M129" s="111">
        <v>18.75</v>
      </c>
      <c r="N129" s="49">
        <f>SUM(J129:M129)</f>
        <v>18.75</v>
      </c>
    </row>
    <row r="130" spans="7:14" ht="13.5" thickBot="1">
      <c r="G130" s="340" t="s">
        <v>161</v>
      </c>
      <c r="H130" s="63"/>
      <c r="I130" s="63"/>
      <c r="J130" s="567">
        <f>+J122+J125</f>
        <v>0</v>
      </c>
      <c r="K130" s="567">
        <f>+K122+K125</f>
        <v>0</v>
      </c>
      <c r="L130" s="567">
        <f>+L122+L125+L126+L128</f>
        <v>22.88</v>
      </c>
      <c r="M130" s="568">
        <f>+M122+M125+M127+M129</f>
        <v>179.16025</v>
      </c>
      <c r="N130" s="1">
        <f>+M124+R125+R126+R127+N128+N129</f>
        <v>41.629999999999995</v>
      </c>
    </row>
    <row r="131" spans="10:14" ht="12.75">
      <c r="J131" s="257" t="s">
        <v>162</v>
      </c>
      <c r="K131" s="240"/>
      <c r="L131" s="240"/>
      <c r="M131" s="240"/>
      <c r="N131" s="1">
        <f>+N130+I123</f>
        <v>41.629999999999995</v>
      </c>
    </row>
  </sheetData>
  <mergeCells count="25">
    <mergeCell ref="P6:P7"/>
    <mergeCell ref="Q6:Q7"/>
    <mergeCell ref="H111:N111"/>
    <mergeCell ref="H76:N76"/>
    <mergeCell ref="G56:N56"/>
    <mergeCell ref="G57:G58"/>
    <mergeCell ref="H57:M57"/>
    <mergeCell ref="A76:F76"/>
    <mergeCell ref="H89:N89"/>
    <mergeCell ref="C99:F100"/>
    <mergeCell ref="E101:E102"/>
    <mergeCell ref="C62:E72"/>
    <mergeCell ref="A23:D24"/>
    <mergeCell ref="G22:N22"/>
    <mergeCell ref="G38:N38"/>
    <mergeCell ref="G39:G40"/>
    <mergeCell ref="H39:M39"/>
    <mergeCell ref="G23:G24"/>
    <mergeCell ref="H23:M23"/>
    <mergeCell ref="A22:F22"/>
    <mergeCell ref="F23:F24"/>
    <mergeCell ref="B6:E6"/>
    <mergeCell ref="G7:G8"/>
    <mergeCell ref="G6:M6"/>
    <mergeCell ref="H7:M7"/>
  </mergeCells>
  <printOptions headings="1"/>
  <pageMargins left="0.5" right="0.5" top="0.5" bottom="0.5" header="0.5" footer="0.25"/>
  <pageSetup fitToHeight="1" fitToWidth="1" horizontalDpi="600" verticalDpi="600" orientation="portrait" paperSize="9" scale="85" r:id="rId4"/>
  <headerFooter alignWithMargins="0">
    <oddFooter>&amp;L&amp;F&amp;R&amp;D</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14"/>
  <dimension ref="B1:B26"/>
  <sheetViews>
    <sheetView showGridLines="0" tabSelected="1" workbookViewId="0" topLeftCell="A1">
      <selection activeCell="B2" sqref="B2"/>
    </sheetView>
  </sheetViews>
  <sheetFormatPr defaultColWidth="9.140625" defaultRowHeight="12.75"/>
  <cols>
    <col min="1" max="1" width="5.7109375" style="920" customWidth="1"/>
    <col min="2" max="2" width="107.7109375" style="920" customWidth="1"/>
    <col min="3" max="16384" width="9.140625" style="920" customWidth="1"/>
  </cols>
  <sheetData>
    <row r="1" ht="12.75">
      <c r="B1" s="1054" t="s">
        <v>507</v>
      </c>
    </row>
    <row r="2" ht="36" customHeight="1">
      <c r="B2" s="919" t="s">
        <v>511</v>
      </c>
    </row>
    <row r="4" ht="18">
      <c r="B4" s="921" t="s">
        <v>506</v>
      </c>
    </row>
    <row r="6" ht="12.75">
      <c r="B6" s="922" t="s">
        <v>515</v>
      </c>
    </row>
    <row r="7" ht="6.75" customHeight="1"/>
    <row r="8" ht="76.5">
      <c r="B8" s="918" t="s">
        <v>302</v>
      </c>
    </row>
    <row r="10" ht="12.75">
      <c r="B10" s="922" t="s">
        <v>516</v>
      </c>
    </row>
    <row r="12" ht="12.75">
      <c r="B12" s="920" t="s">
        <v>518</v>
      </c>
    </row>
    <row r="13" ht="6.75" customHeight="1"/>
    <row r="14" ht="42" customHeight="1">
      <c r="B14" s="923" t="s">
        <v>521</v>
      </c>
    </row>
    <row r="15" ht="33" customHeight="1">
      <c r="B15" s="923" t="s">
        <v>522</v>
      </c>
    </row>
    <row r="16" ht="72" customHeight="1">
      <c r="B16" s="923" t="s">
        <v>523</v>
      </c>
    </row>
    <row r="17" ht="78.75" customHeight="1">
      <c r="B17" s="923" t="s">
        <v>524</v>
      </c>
    </row>
    <row r="18" ht="43.5" customHeight="1">
      <c r="B18" s="923" t="s">
        <v>519</v>
      </c>
    </row>
    <row r="19" ht="55.5" customHeight="1">
      <c r="B19" s="923" t="s">
        <v>520</v>
      </c>
    </row>
    <row r="21" ht="12.75">
      <c r="B21" s="922" t="s">
        <v>517</v>
      </c>
    </row>
    <row r="22" ht="6.75" customHeight="1"/>
    <row r="23" ht="114.75">
      <c r="B23" s="920" t="s">
        <v>301</v>
      </c>
    </row>
    <row r="26" ht="12.75">
      <c r="B26" s="1054" t="s">
        <v>507</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5"/>
  <dimension ref="B1:I72"/>
  <sheetViews>
    <sheetView showGridLines="0" zoomScale="95" zoomScaleNormal="95" workbookViewId="0" topLeftCell="A1">
      <selection activeCell="A2" sqref="A2:IV2"/>
    </sheetView>
  </sheetViews>
  <sheetFormatPr defaultColWidth="9.140625" defaultRowHeight="12.75"/>
  <cols>
    <col min="1" max="1" width="5.7109375" style="268" customWidth="1"/>
    <col min="2" max="2" width="18.8515625" style="268" customWidth="1"/>
    <col min="3" max="3" width="68.57421875" style="268" bestFit="1" customWidth="1"/>
    <col min="4" max="6" width="15.7109375" style="268" customWidth="1"/>
    <col min="7" max="7" width="16.140625" style="268" customWidth="1"/>
    <col min="8" max="8" width="5.7109375" style="268" customWidth="1"/>
    <col min="9" max="9" width="20.140625" style="268" customWidth="1"/>
    <col min="10" max="16384" width="9.140625" style="268" customWidth="1"/>
  </cols>
  <sheetData>
    <row r="1" ht="12.75">
      <c r="H1" s="1005">
        <v>2</v>
      </c>
    </row>
    <row r="2" spans="2:8" ht="23.25">
      <c r="B2" s="924" t="s">
        <v>511</v>
      </c>
      <c r="D2" s="925"/>
      <c r="H2" s="1005">
        <v>3</v>
      </c>
    </row>
    <row r="3" spans="6:8" ht="12.75">
      <c r="F3" s="926"/>
      <c r="H3" s="1005">
        <v>4</v>
      </c>
    </row>
    <row r="4" spans="2:8" ht="18">
      <c r="B4" s="927" t="s">
        <v>483</v>
      </c>
      <c r="G4" s="928" t="s">
        <v>476</v>
      </c>
      <c r="H4" s="1005">
        <v>5</v>
      </c>
    </row>
    <row r="6" spans="2:7" ht="37.5" customHeight="1">
      <c r="B6" s="1087" t="s">
        <v>497</v>
      </c>
      <c r="C6" s="1087"/>
      <c r="D6" s="1087"/>
      <c r="E6" s="1087"/>
      <c r="F6" s="1087"/>
      <c r="G6" s="1087"/>
    </row>
    <row r="8" spans="2:7" ht="15.75">
      <c r="B8" s="1088" t="s">
        <v>495</v>
      </c>
      <c r="C8" s="1088" t="s">
        <v>484</v>
      </c>
      <c r="D8" s="1090" t="s">
        <v>485</v>
      </c>
      <c r="E8" s="1091"/>
      <c r="F8" s="1091"/>
      <c r="G8" s="1092"/>
    </row>
    <row r="9" spans="2:9" ht="39" thickBot="1">
      <c r="B9" s="1089"/>
      <c r="C9" s="1089"/>
      <c r="D9" s="929" t="s">
        <v>488</v>
      </c>
      <c r="E9" s="930" t="s">
        <v>492</v>
      </c>
      <c r="F9" s="931" t="s">
        <v>496</v>
      </c>
      <c r="G9" s="930" t="s">
        <v>486</v>
      </c>
      <c r="I9" s="932" t="s">
        <v>493</v>
      </c>
    </row>
    <row r="10" spans="2:9" ht="33" customHeight="1">
      <c r="B10" s="933" t="s">
        <v>515</v>
      </c>
      <c r="C10" s="934" t="s">
        <v>489</v>
      </c>
      <c r="D10" s="935">
        <v>1</v>
      </c>
      <c r="E10" s="936">
        <v>1</v>
      </c>
      <c r="F10" s="937" t="s">
        <v>491</v>
      </c>
      <c r="G10" s="938">
        <f>D10</f>
        <v>1</v>
      </c>
      <c r="I10" s="939" t="str">
        <f>IF(D10=E10,IF(D11=E11,"Y","N"),"N")</f>
        <v>Y</v>
      </c>
    </row>
    <row r="11" spans="2:9" ht="33" customHeight="1">
      <c r="B11" s="940" t="s">
        <v>515</v>
      </c>
      <c r="C11" s="934" t="s">
        <v>490</v>
      </c>
      <c r="D11" s="935">
        <v>1</v>
      </c>
      <c r="E11" s="936">
        <v>1</v>
      </c>
      <c r="F11" s="937" t="s">
        <v>491</v>
      </c>
      <c r="G11" s="938">
        <f>D11</f>
        <v>1</v>
      </c>
      <c r="I11" s="941" t="str">
        <f>IF(D13=E13,IF(D14=E14,IF(D15=E15,IF(D16=E16,IF(D17=E17,"Y","N"),"N"),"N"),"N"),"N")</f>
        <v>Y</v>
      </c>
    </row>
    <row r="12" spans="2:7" ht="12.75">
      <c r="B12" s="942"/>
      <c r="C12" s="943"/>
      <c r="D12" s="944"/>
      <c r="E12" s="945"/>
      <c r="F12" s="945"/>
      <c r="G12" s="946"/>
    </row>
    <row r="13" spans="2:9" ht="33" customHeight="1">
      <c r="B13" s="947" t="s">
        <v>327</v>
      </c>
      <c r="C13" s="948" t="s">
        <v>323</v>
      </c>
      <c r="D13" s="991">
        <v>1</v>
      </c>
      <c r="E13" s="992">
        <v>1</v>
      </c>
      <c r="F13" s="1002" t="s">
        <v>491</v>
      </c>
      <c r="G13" s="993">
        <f>IF($I$10="Y",D13,E13)</f>
        <v>1</v>
      </c>
      <c r="I13" s="949" t="s">
        <v>494</v>
      </c>
    </row>
    <row r="14" spans="2:9" ht="33" customHeight="1">
      <c r="B14" s="933" t="s">
        <v>327</v>
      </c>
      <c r="C14" s="950" t="s">
        <v>326</v>
      </c>
      <c r="D14" s="998">
        <v>3</v>
      </c>
      <c r="E14" s="999">
        <v>3</v>
      </c>
      <c r="F14" s="1003" t="s">
        <v>328</v>
      </c>
      <c r="G14" s="1000">
        <f>IF($I$10="Y",D14,E14)</f>
        <v>3</v>
      </c>
      <c r="I14" s="951" t="s">
        <v>498</v>
      </c>
    </row>
    <row r="15" spans="2:9" ht="33" customHeight="1">
      <c r="B15" s="933" t="s">
        <v>327</v>
      </c>
      <c r="C15" s="1198" t="s">
        <v>0</v>
      </c>
      <c r="D15" s="935">
        <v>1</v>
      </c>
      <c r="E15" s="1049">
        <v>1</v>
      </c>
      <c r="F15" s="1003" t="s">
        <v>491</v>
      </c>
      <c r="G15" s="1050">
        <f>IF($I$10="Y",D15,E15)</f>
        <v>1</v>
      </c>
      <c r="I15" s="952" t="s">
        <v>499</v>
      </c>
    </row>
    <row r="16" spans="2:9" ht="33" customHeight="1">
      <c r="B16" s="933" t="s">
        <v>327</v>
      </c>
      <c r="C16" s="950" t="s">
        <v>1</v>
      </c>
      <c r="D16" s="935">
        <v>1</v>
      </c>
      <c r="E16" s="1049">
        <v>1</v>
      </c>
      <c r="F16" s="1003" t="s">
        <v>491</v>
      </c>
      <c r="G16" s="1050">
        <f>IF($I$10="Y",D16,E16)</f>
        <v>1</v>
      </c>
      <c r="I16" s="1051"/>
    </row>
    <row r="17" spans="2:7" ht="33" customHeight="1">
      <c r="B17" s="953" t="s">
        <v>327</v>
      </c>
      <c r="C17" s="954" t="s">
        <v>322</v>
      </c>
      <c r="D17" s="988">
        <v>520</v>
      </c>
      <c r="E17" s="989">
        <v>520</v>
      </c>
      <c r="F17" s="1004" t="s">
        <v>2</v>
      </c>
      <c r="G17" s="990">
        <f>IF($I$10="Y",D17,E17)</f>
        <v>520</v>
      </c>
    </row>
    <row r="18" spans="2:4" ht="12.75">
      <c r="B18"/>
      <c r="D18" s="9"/>
    </row>
    <row r="19" spans="2:7" ht="25.5" customHeight="1">
      <c r="B19" s="1085">
        <f>IF($I$10="N",IF($I$11="N","Reminder: Please reset all summary parameters to original values before changing specific parameters.  Specific parameters will only be used in ERR computation when all summary parameters are set to initial values",0),0)</f>
        <v>0</v>
      </c>
      <c r="C19" s="1085"/>
      <c r="D19" s="1085"/>
      <c r="E19" s="1085"/>
      <c r="F19" s="1085"/>
      <c r="G19" s="1085"/>
    </row>
    <row r="20" spans="2:4" ht="12.75">
      <c r="B20"/>
      <c r="D20" s="9"/>
    </row>
    <row r="21" spans="3:5" ht="12.75">
      <c r="C21" s="955" t="s">
        <v>487</v>
      </c>
      <c r="D21" s="956">
        <f>'Summary ERRs'!B88</f>
        <v>0.1527885803804294</v>
      </c>
      <c r="E21" s="957"/>
    </row>
    <row r="22" spans="3:5" s="958" customFormat="1" ht="12.75">
      <c r="C22" s="959"/>
      <c r="D22" s="960"/>
      <c r="E22" s="961"/>
    </row>
    <row r="23" spans="3:4" ht="12.75">
      <c r="C23" s="955" t="s">
        <v>500</v>
      </c>
      <c r="D23" s="962">
        <v>0.153</v>
      </c>
    </row>
    <row r="26" ht="12.75">
      <c r="F26" s="963"/>
    </row>
    <row r="27" ht="12.75">
      <c r="F27" s="963"/>
    </row>
    <row r="33" ht="12.75">
      <c r="F33" s="957"/>
    </row>
    <row r="34" ht="12.75">
      <c r="F34" s="963"/>
    </row>
    <row r="35" ht="12.75">
      <c r="F35" s="963"/>
    </row>
    <row r="71" spans="3:7" ht="12.75">
      <c r="C71" s="1086"/>
      <c r="D71" s="1086"/>
      <c r="E71" s="1086"/>
      <c r="F71" s="922"/>
      <c r="G71" s="922"/>
    </row>
    <row r="72" spans="3:6" ht="32.25" customHeight="1">
      <c r="C72" s="1084" t="s">
        <v>559</v>
      </c>
      <c r="D72" s="1084"/>
      <c r="E72" s="1084"/>
      <c r="F72" s="1084"/>
    </row>
  </sheetData>
  <mergeCells count="7">
    <mergeCell ref="C72:F72"/>
    <mergeCell ref="B19:G19"/>
    <mergeCell ref="C71:E71"/>
    <mergeCell ref="B6:G6"/>
    <mergeCell ref="B8:B9"/>
    <mergeCell ref="C8:C9"/>
    <mergeCell ref="D8:G8"/>
  </mergeCells>
  <conditionalFormatting sqref="B19">
    <cfRule type="cellIs" priority="1" dxfId="0" operator="equal" stopIfTrue="1">
      <formula>0</formula>
    </cfRule>
    <cfRule type="cellIs" priority="2" dxfId="1" operator="notEqual" stopIfTrue="1">
      <formula>0</formula>
    </cfRule>
  </conditionalFormatting>
  <dataValidations count="1">
    <dataValidation type="list" allowBlank="1" showInputMessage="1" showErrorMessage="1" sqref="D14">
      <formula1>$H$1:$H$4</formula1>
    </dataValidation>
  </dataValidations>
  <hyperlinks>
    <hyperlink ref="I14" location="'Project Description'!A1" display="Project Description"/>
    <hyperlink ref="I15" location="'User''s Guide'!A1" display="User's Guide"/>
  </hyperlinks>
  <printOptions/>
  <pageMargins left="0.75" right="0.75" top="1" bottom="1" header="0.5" footer="0.5"/>
  <pageSetup orientation="portrait" paperSize="9"/>
  <drawing r:id="rId2"/>
  <legacy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AE106"/>
  <sheetViews>
    <sheetView workbookViewId="0" topLeftCell="A1">
      <pane xSplit="2" ySplit="7" topLeftCell="C11"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53.421875" style="0" customWidth="1"/>
    <col min="2" max="2" width="19.140625" style="0" customWidth="1"/>
    <col min="3" max="3" width="9.00390625" style="0" customWidth="1"/>
    <col min="4" max="4" width="10.8515625" style="0" customWidth="1"/>
    <col min="5" max="6" width="10.8515625" style="0" bestFit="1" customWidth="1"/>
    <col min="7" max="7" width="9.28125" style="0" bestFit="1" customWidth="1"/>
    <col min="8" max="22" width="10.28125" style="0" bestFit="1" customWidth="1"/>
  </cols>
  <sheetData>
    <row r="1" spans="1:3" ht="12.75">
      <c r="A1" s="967" t="s">
        <v>238</v>
      </c>
      <c r="B1" s="964"/>
      <c r="C1" s="966" t="s">
        <v>236</v>
      </c>
    </row>
    <row r="2" spans="1:13" s="268" customFormat="1" ht="12.75">
      <c r="A2" s="965" t="s">
        <v>237</v>
      </c>
      <c r="B2" s="968"/>
      <c r="C2" s="969"/>
      <c r="D2" s="970"/>
      <c r="H2" s="9" t="s">
        <v>189</v>
      </c>
      <c r="I2" s="9"/>
      <c r="J2" s="9"/>
      <c r="M2" s="971"/>
    </row>
    <row r="3" spans="2:11" ht="12.75">
      <c r="B3" s="459"/>
      <c r="D3" s="470"/>
      <c r="H3" s="9" t="s">
        <v>603</v>
      </c>
      <c r="I3" s="9"/>
      <c r="J3" s="9"/>
      <c r="K3" s="432"/>
    </row>
    <row r="4" spans="1:10" ht="12.75">
      <c r="A4" s="1085">
        <f>IF('ERR &amp; Sensitivity Analysis'!$I$10="N","Note: Current calculations are based on user input and are not the original MCC estimates.",IF('ERR &amp; Sensitivity Analysis'!$I$11="N","Note: Current calculations are based on user input and are not the original MCC estimates.",0))</f>
        <v>0</v>
      </c>
      <c r="B4" s="1085"/>
      <c r="C4" s="1085"/>
      <c r="D4" s="1085"/>
      <c r="E4" s="1085"/>
      <c r="F4" s="1085"/>
      <c r="G4" s="1085"/>
      <c r="H4" s="1085"/>
      <c r="I4" s="1085"/>
      <c r="J4" s="451"/>
    </row>
    <row r="5" spans="1:12" ht="12.75">
      <c r="A5" s="38" t="s">
        <v>355</v>
      </c>
      <c r="B5" s="30"/>
      <c r="D5" s="32"/>
      <c r="E5" s="21"/>
      <c r="F5" s="21"/>
      <c r="G5" s="21"/>
      <c r="I5" s="32"/>
      <c r="J5" s="21"/>
      <c r="K5" s="21"/>
      <c r="L5" s="21"/>
    </row>
    <row r="6" spans="1:27" ht="12.75">
      <c r="A6" s="7"/>
      <c r="B6" s="32"/>
      <c r="C6" s="1093" t="s">
        <v>540</v>
      </c>
      <c r="D6" s="1094"/>
      <c r="E6" s="1094"/>
      <c r="F6" s="1094"/>
      <c r="G6" s="1094"/>
      <c r="H6" s="1094"/>
      <c r="I6" s="1094"/>
      <c r="J6" s="1094"/>
      <c r="K6" s="1094"/>
      <c r="L6" s="1094"/>
      <c r="M6" s="1094"/>
      <c r="N6" s="1094"/>
      <c r="O6" s="1094"/>
      <c r="P6" s="1094"/>
      <c r="Q6" s="1094"/>
      <c r="R6" s="1094"/>
      <c r="S6" s="1094"/>
      <c r="T6" s="1094"/>
      <c r="U6" s="1094"/>
      <c r="V6" s="1094"/>
      <c r="W6" s="1094"/>
      <c r="X6" s="1094"/>
      <c r="Y6" s="1094"/>
      <c r="Z6" s="1094"/>
      <c r="AA6" s="1094"/>
    </row>
    <row r="7" spans="1:31" ht="12.75">
      <c r="A7" s="31"/>
      <c r="B7" s="32"/>
      <c r="C7" s="13">
        <v>1</v>
      </c>
      <c r="D7" s="13">
        <v>2</v>
      </c>
      <c r="E7" s="13">
        <v>3</v>
      </c>
      <c r="F7" s="13">
        <v>4</v>
      </c>
      <c r="G7" s="13">
        <v>5</v>
      </c>
      <c r="H7" s="13">
        <v>6</v>
      </c>
      <c r="I7" s="13">
        <v>7</v>
      </c>
      <c r="J7" s="13">
        <v>8</v>
      </c>
      <c r="K7" s="13">
        <v>9</v>
      </c>
      <c r="L7" s="13">
        <v>10</v>
      </c>
      <c r="M7" s="13">
        <v>11</v>
      </c>
      <c r="N7" s="13">
        <v>12</v>
      </c>
      <c r="O7" s="13">
        <v>13</v>
      </c>
      <c r="P7" s="13">
        <v>14</v>
      </c>
      <c r="Q7" s="13">
        <v>15</v>
      </c>
      <c r="R7" s="13">
        <v>16</v>
      </c>
      <c r="S7" s="13">
        <v>17</v>
      </c>
      <c r="T7" s="13">
        <v>18</v>
      </c>
      <c r="U7" s="13">
        <v>19</v>
      </c>
      <c r="V7" s="102">
        <v>20</v>
      </c>
      <c r="W7" s="128">
        <v>21</v>
      </c>
      <c r="X7" s="128">
        <v>22</v>
      </c>
      <c r="Y7" s="128">
        <v>23</v>
      </c>
      <c r="Z7" s="128">
        <v>24</v>
      </c>
      <c r="AA7" s="128">
        <v>25</v>
      </c>
      <c r="AE7" t="s">
        <v>541</v>
      </c>
    </row>
    <row r="8" spans="1:27" s="176" customFormat="1" ht="12.75">
      <c r="A8" s="160" t="s">
        <v>614</v>
      </c>
      <c r="B8" s="175" t="s">
        <v>641</v>
      </c>
      <c r="C8" s="42"/>
      <c r="D8" s="42"/>
      <c r="E8" s="42"/>
      <c r="F8" s="42"/>
      <c r="G8" s="42"/>
      <c r="H8" s="42"/>
      <c r="I8" s="42"/>
      <c r="J8" s="42"/>
      <c r="K8" s="42"/>
      <c r="L8" s="42"/>
      <c r="M8" s="42"/>
      <c r="N8" s="42"/>
      <c r="O8" s="42"/>
      <c r="P8" s="42"/>
      <c r="Q8" s="42"/>
      <c r="R8" s="42"/>
      <c r="S8" s="42"/>
      <c r="T8" s="42"/>
      <c r="U8" s="42"/>
      <c r="V8" s="16"/>
      <c r="W8" s="203"/>
      <c r="X8" s="203"/>
      <c r="Y8" s="203"/>
      <c r="Z8" s="203"/>
      <c r="AA8" s="203"/>
    </row>
    <row r="9" spans="1:27" s="21" customFormat="1" ht="12.75">
      <c r="A9" s="829" t="str">
        <f>Project_Costs!A7</f>
        <v>A. Alatona Irrigation Project</v>
      </c>
      <c r="B9" s="644"/>
      <c r="C9" s="20"/>
      <c r="D9" s="20"/>
      <c r="E9" s="20"/>
      <c r="F9" s="20"/>
      <c r="G9" s="20"/>
      <c r="H9" s="20"/>
      <c r="I9" s="20"/>
      <c r="J9" s="20"/>
      <c r="K9" s="20"/>
      <c r="L9" s="20"/>
      <c r="M9" s="20"/>
      <c r="N9" s="20"/>
      <c r="O9" s="20"/>
      <c r="P9" s="20"/>
      <c r="Q9" s="20"/>
      <c r="R9" s="20"/>
      <c r="S9" s="20"/>
      <c r="T9" s="20"/>
      <c r="U9" s="20"/>
      <c r="V9" s="15"/>
      <c r="W9" s="466"/>
      <c r="X9" s="466"/>
      <c r="Y9" s="466"/>
      <c r="Z9" s="466"/>
      <c r="AA9" s="466"/>
    </row>
    <row r="10" spans="1:27" s="21" customFormat="1" ht="12.75">
      <c r="A10" s="828" t="str">
        <f>Project_Costs!A8</f>
        <v>1. Niono - Goma Coura Road</v>
      </c>
      <c r="B10" s="458"/>
      <c r="C10" s="20"/>
      <c r="D10" s="20"/>
      <c r="E10" s="20"/>
      <c r="F10" s="20"/>
      <c r="G10" s="20"/>
      <c r="H10" s="20"/>
      <c r="I10" s="20"/>
      <c r="J10" s="20"/>
      <c r="K10" s="20"/>
      <c r="L10" s="20"/>
      <c r="M10" s="20"/>
      <c r="N10" s="20"/>
      <c r="O10" s="20"/>
      <c r="P10" s="20"/>
      <c r="Q10" s="20"/>
      <c r="R10" s="20"/>
      <c r="S10" s="20"/>
      <c r="T10" s="20"/>
      <c r="U10" s="20"/>
      <c r="V10" s="20"/>
      <c r="W10" s="20"/>
      <c r="X10" s="20"/>
      <c r="Y10" s="20"/>
      <c r="Z10" s="20"/>
      <c r="AA10" s="20"/>
    </row>
    <row r="11" spans="1:27" s="21" customFormat="1" ht="12.75">
      <c r="A11" s="827" t="str">
        <f>Project_Costs!A9</f>
        <v>a. Niono-Diabaly Road (Section I)</v>
      </c>
      <c r="B11" s="458">
        <f aca="true" t="shared" si="0" ref="B11:B26">SUM(C11:G11)*-1</f>
        <v>20075.7</v>
      </c>
      <c r="C11" s="20">
        <f>IF($H$96=1,($B$97*(Project_Costs!B9*1000)*-1),0)</f>
        <v>-5143</v>
      </c>
      <c r="D11" s="20">
        <f>IF($H$96=1,($B$97*(Project_Costs!C9*1000)*-1),0)</f>
        <v>-9970</v>
      </c>
      <c r="E11" s="20">
        <f>IF($H$96=1,($B$97*(Project_Costs!D9*1000)*-1),0)</f>
        <v>-4846.7</v>
      </c>
      <c r="F11" s="20">
        <f>IF($H$96=1,($B$97*(Project_Costs!E9*1000)*-1),0)</f>
        <v>-58</v>
      </c>
      <c r="G11" s="20">
        <f>IF($H$96=1,($B$97*(Project_Costs!F9*1000)*-1),0)</f>
        <v>-58</v>
      </c>
      <c r="H11" s="20"/>
      <c r="I11" s="20"/>
      <c r="J11" s="20"/>
      <c r="K11" s="20"/>
      <c r="L11" s="20"/>
      <c r="M11" s="20"/>
      <c r="N11" s="20"/>
      <c r="O11" s="20"/>
      <c r="P11" s="20"/>
      <c r="Q11" s="20"/>
      <c r="R11" s="20"/>
      <c r="S11" s="20"/>
      <c r="T11" s="20"/>
      <c r="U11" s="20"/>
      <c r="V11" s="20"/>
      <c r="W11" s="20"/>
      <c r="X11" s="20"/>
      <c r="Y11" s="20"/>
      <c r="Z11" s="20"/>
      <c r="AA11" s="20"/>
    </row>
    <row r="12" spans="1:27" s="21" customFormat="1" ht="12.75">
      <c r="A12" s="827" t="str">
        <f>Project_Costs!A10</f>
        <v>b. Diabaly-Goma Coura Road (Section II)</v>
      </c>
      <c r="B12" s="458">
        <f t="shared" si="0"/>
        <v>9263.099999999999</v>
      </c>
      <c r="C12" s="20">
        <f>IF($H$96=1,($B$97*(Project_Costs!B10*1000)*-1),0)</f>
        <v>-2033.7</v>
      </c>
      <c r="D12" s="20">
        <f>IF($H$96=1,($B$97*(Project_Costs!C10*1000)*-1),0)</f>
        <v>-4471.7</v>
      </c>
      <c r="E12" s="20">
        <f>IF($H$96=1,($B$97*(Project_Costs!D10*1000)*-1),0)</f>
        <v>-2631.7</v>
      </c>
      <c r="F12" s="20">
        <f>IF($H$96=1,($B$97*(Project_Costs!E10*1000)*-1),0)</f>
        <v>-63</v>
      </c>
      <c r="G12" s="20">
        <f>IF($H$96=1,($B$97*(Project_Costs!F10*1000)*-1),0)</f>
        <v>-63</v>
      </c>
      <c r="H12" s="20"/>
      <c r="I12" s="20"/>
      <c r="J12" s="20"/>
      <c r="K12" s="20"/>
      <c r="L12" s="20"/>
      <c r="M12" s="20"/>
      <c r="N12" s="20"/>
      <c r="O12" s="20"/>
      <c r="P12" s="20"/>
      <c r="Q12" s="20"/>
      <c r="R12" s="20"/>
      <c r="S12" s="20"/>
      <c r="T12" s="20"/>
      <c r="U12" s="20"/>
      <c r="V12" s="20"/>
      <c r="W12" s="20"/>
      <c r="X12" s="20"/>
      <c r="Y12" s="20"/>
      <c r="Z12" s="20"/>
      <c r="AA12" s="20"/>
    </row>
    <row r="13" spans="1:27" s="21" customFormat="1" ht="12.75">
      <c r="A13" s="827" t="s">
        <v>400</v>
      </c>
      <c r="B13" s="458">
        <f>SUM(C13:AA13)*-1</f>
        <v>4000.000000000001</v>
      </c>
      <c r="C13" s="20">
        <v>0</v>
      </c>
      <c r="D13" s="20">
        <v>0</v>
      </c>
      <c r="E13" s="20">
        <v>0</v>
      </c>
      <c r="F13" s="20">
        <v>0</v>
      </c>
      <c r="G13" s="20">
        <v>0</v>
      </c>
      <c r="H13" s="20">
        <f>IF($H$96=1,($B$97*('Road Model'!$B93/1000)),0)</f>
        <v>-38.46153846153846</v>
      </c>
      <c r="I13" s="20">
        <f>IF($H$96=1,($B$97*('Road Model'!$B93/1000)),0)</f>
        <v>-38.46153846153846</v>
      </c>
      <c r="J13" s="20">
        <f>IF($H$96=1,($B$97*('Road Model'!$B93/1000)),0)</f>
        <v>-38.46153846153846</v>
      </c>
      <c r="K13" s="20">
        <f>IF($H$96=1,($B$97*('Road Model'!$B93/1000)),0)</f>
        <v>-38.46153846153846</v>
      </c>
      <c r="L13" s="20">
        <f>IF($H$96=1,($B$97*('Road Model'!$B93/1000)),0)</f>
        <v>-38.46153846153846</v>
      </c>
      <c r="M13" s="20">
        <f>IF($H$96=1,($B$97*('Road Model'!$B93/1000)),0)</f>
        <v>-38.46153846153846</v>
      </c>
      <c r="N13" s="20">
        <f>IF($H$96=1,($B$97*('Road Model'!$B93/1000)),0)</f>
        <v>-38.46153846153846</v>
      </c>
      <c r="O13" s="20">
        <f>IF($H$96=1,($B$97*('Road Model'!$B93/1000)),0)</f>
        <v>-38.46153846153846</v>
      </c>
      <c r="P13" s="20">
        <f>IF($H$96=1,($B$97*('Road Model'!$B93/1000)),0)</f>
        <v>-38.46153846153846</v>
      </c>
      <c r="Q13" s="20">
        <f>IF($H$96=1,($B$97*(('Road Model'!B102)/1000)),0)</f>
        <v>-3269.230769230769</v>
      </c>
      <c r="R13" s="20">
        <f>IF($H$96=1,($B$97*('Road Model'!$B93/1000)),0)</f>
        <v>-38.46153846153846</v>
      </c>
      <c r="S13" s="20">
        <f>IF($H$96=1,($B$97*('Road Model'!$B93/1000)),0)</f>
        <v>-38.46153846153846</v>
      </c>
      <c r="T13" s="20">
        <f>IF($H$96=1,($B$97*('Road Model'!$B93/1000)),0)</f>
        <v>-38.46153846153846</v>
      </c>
      <c r="U13" s="20">
        <f>IF($H$96=1,($B$97*('Road Model'!$B93/1000)),0)</f>
        <v>-38.46153846153846</v>
      </c>
      <c r="V13" s="20">
        <f>IF($H$96=1,($B$97*('Road Model'!$B93/1000)),0)</f>
        <v>-38.46153846153846</v>
      </c>
      <c r="W13" s="20">
        <f>IF($H$96=1,($B$97*('Road Model'!$B93/1000)),0)</f>
        <v>-38.46153846153846</v>
      </c>
      <c r="X13" s="20">
        <f>IF($H$96=1,($B$97*('Road Model'!$B93/1000)),0)</f>
        <v>-38.46153846153846</v>
      </c>
      <c r="Y13" s="20">
        <f>IF($H$96=1,($B$97*('Road Model'!$B93/1000)),0)</f>
        <v>-38.46153846153846</v>
      </c>
      <c r="Z13" s="20">
        <f>IF($H$96=1,($B$97*('Road Model'!$B93/1000)),0)</f>
        <v>-38.46153846153846</v>
      </c>
      <c r="AA13" s="20">
        <f>IF($H$96=1,($B$97*('Road Model'!$B93/1000)),0)</f>
        <v>-38.46153846153846</v>
      </c>
    </row>
    <row r="14" spans="1:27" s="21" customFormat="1" ht="12.75">
      <c r="A14" s="828" t="str">
        <f>Project_Costs!A12</f>
        <v>2. Irrigation and Planning Infrastructure</v>
      </c>
      <c r="B14" s="458"/>
      <c r="C14" s="20"/>
      <c r="D14" s="20"/>
      <c r="E14" s="20"/>
      <c r="F14" s="20"/>
      <c r="G14" s="20"/>
      <c r="H14" s="20"/>
      <c r="I14" s="20"/>
      <c r="J14" s="20"/>
      <c r="K14" s="20"/>
      <c r="L14" s="20"/>
      <c r="M14" s="20"/>
      <c r="N14" s="20"/>
      <c r="O14" s="20"/>
      <c r="P14" s="20"/>
      <c r="Q14" s="20"/>
      <c r="R14" s="20"/>
      <c r="S14" s="20"/>
      <c r="T14" s="20"/>
      <c r="U14" s="20"/>
      <c r="V14" s="15"/>
      <c r="W14" s="466"/>
      <c r="X14" s="466"/>
      <c r="Y14" s="466"/>
      <c r="Z14" s="466"/>
      <c r="AA14" s="466"/>
    </row>
    <row r="15" spans="1:27" s="21" customFormat="1" ht="12.75">
      <c r="A15" s="827" t="str">
        <f>Project_Costs!A13</f>
        <v>a. Main System Capacity Enhancement</v>
      </c>
      <c r="B15" s="458">
        <f t="shared" si="0"/>
        <v>3326.9681876606683</v>
      </c>
      <c r="C15" s="20">
        <f>$B$97*(Project_Costs!B13*1000)*-1</f>
        <v>-970.0016066838045</v>
      </c>
      <c r="D15" s="20">
        <f>$B$97*(Project_Costs!C13*1000)*-1</f>
        <v>-2263.3370822622105</v>
      </c>
      <c r="E15" s="20">
        <f>$B$97*(Project_Costs!D13*1000)*-1</f>
        <v>0</v>
      </c>
      <c r="F15" s="20">
        <f>$B$97*(Project_Costs!E13*1000)*-1</f>
        <v>-18.72589974293059</v>
      </c>
      <c r="G15" s="20">
        <f>$B$97*(Project_Costs!F13*1000)*-1</f>
        <v>-74.90359897172236</v>
      </c>
      <c r="H15" s="20"/>
      <c r="I15" s="20"/>
      <c r="J15" s="20"/>
      <c r="K15" s="20"/>
      <c r="L15" s="20"/>
      <c r="M15" s="20"/>
      <c r="N15" s="20"/>
      <c r="O15" s="20"/>
      <c r="P15" s="20"/>
      <c r="Q15" s="20"/>
      <c r="R15" s="20"/>
      <c r="S15" s="20"/>
      <c r="T15" s="20"/>
      <c r="U15" s="20"/>
      <c r="V15" s="15"/>
      <c r="W15" s="466"/>
      <c r="X15" s="466"/>
      <c r="Y15" s="466"/>
      <c r="Z15" s="466"/>
      <c r="AA15" s="466"/>
    </row>
    <row r="16" spans="1:27" s="21" customFormat="1" ht="12.75">
      <c r="A16" s="827" t="str">
        <f>Project_Costs!A14</f>
        <v>b. Alatona Main System Works</v>
      </c>
      <c r="B16" s="458">
        <f t="shared" si="0"/>
        <v>35156</v>
      </c>
      <c r="C16" s="20">
        <f>$B$97*(Project_Costs!B14*1000)*-1</f>
        <v>-2898.5</v>
      </c>
      <c r="D16" s="20">
        <f>$B$97*(Project_Costs!C14*1000)*-1</f>
        <v>-9213.900000000001</v>
      </c>
      <c r="E16" s="20">
        <f>$B$97*(Project_Costs!D14*1000)*-1</f>
        <v>-15312.4</v>
      </c>
      <c r="F16" s="20">
        <f>$B$97*(Project_Costs!E14*1000)*-1</f>
        <v>-6931.2</v>
      </c>
      <c r="G16" s="20">
        <f>$B$97*(Project_Costs!F14*1000)*-1</f>
        <v>-800</v>
      </c>
      <c r="H16" s="20"/>
      <c r="I16" s="20"/>
      <c r="J16" s="20"/>
      <c r="K16" s="20"/>
      <c r="L16" s="20"/>
      <c r="M16" s="20"/>
      <c r="N16" s="20"/>
      <c r="O16" s="20"/>
      <c r="P16" s="20"/>
      <c r="Q16" s="20"/>
      <c r="R16" s="20"/>
      <c r="S16" s="20"/>
      <c r="T16" s="20"/>
      <c r="U16" s="20"/>
      <c r="V16" s="20"/>
      <c r="W16" s="20"/>
      <c r="X16" s="20"/>
      <c r="Y16" s="20"/>
      <c r="Z16" s="20"/>
      <c r="AA16" s="20"/>
    </row>
    <row r="17" spans="1:27" s="21" customFormat="1" ht="12.75">
      <c r="A17" s="827" t="str">
        <f>Project_Costs!A15</f>
        <v>c. Alatona Distribution Network Works</v>
      </c>
      <c r="B17" s="458">
        <f t="shared" si="0"/>
        <v>66185.3559</v>
      </c>
      <c r="C17" s="20">
        <f>$B$97*(Project_Costs!B15*1000)*-1</f>
        <v>0</v>
      </c>
      <c r="D17" s="20">
        <f>$B$97*(Project_Costs!C15*1000)*-1</f>
        <v>-13703.50536</v>
      </c>
      <c r="E17" s="20">
        <f>$B$97*(Project_Costs!D15*1000)*-1</f>
        <v>-19692.6017</v>
      </c>
      <c r="F17" s="20">
        <f>$B$97*(Project_Costs!E15*1000)*-1</f>
        <v>-25314.33034</v>
      </c>
      <c r="G17" s="20">
        <f>$B$97*(Project_Costs!F15*1000)*-1</f>
        <v>-7474.918500000001</v>
      </c>
      <c r="H17" s="20"/>
      <c r="I17" s="20"/>
      <c r="J17" s="20"/>
      <c r="K17" s="20"/>
      <c r="L17" s="20"/>
      <c r="M17" s="20"/>
      <c r="N17" s="20"/>
      <c r="O17" s="20"/>
      <c r="P17" s="20"/>
      <c r="Q17" s="20"/>
      <c r="R17" s="20"/>
      <c r="S17" s="20"/>
      <c r="T17" s="20"/>
      <c r="U17" s="20"/>
      <c r="V17" s="15"/>
      <c r="W17" s="466"/>
      <c r="X17" s="466"/>
      <c r="Y17" s="466"/>
      <c r="Z17" s="466"/>
      <c r="AA17" s="466"/>
    </row>
    <row r="18" spans="1:27" s="21" customFormat="1" ht="12.75">
      <c r="A18" s="827" t="str">
        <f>Project_Costs!A16</f>
        <v>d. Alatona Main System O&amp;M</v>
      </c>
      <c r="B18" s="458">
        <f t="shared" si="0"/>
        <v>1276</v>
      </c>
      <c r="C18" s="20">
        <f>$B$97*(Project_Costs!B16*1000)*-1</f>
        <v>0</v>
      </c>
      <c r="D18" s="20">
        <f>$B$97*(Project_Costs!C16*1000)*-1</f>
        <v>0</v>
      </c>
      <c r="E18" s="20">
        <f>$B$97*(Project_Costs!D16*1000)*-1</f>
        <v>-212</v>
      </c>
      <c r="F18" s="20">
        <f>$B$97*(Project_Costs!E16*1000)*-1</f>
        <v>-424</v>
      </c>
      <c r="G18" s="20">
        <f>$B$97*(Project_Costs!F16*1000)*-1</f>
        <v>-640</v>
      </c>
      <c r="H18" s="20">
        <f>G18</f>
        <v>-640</v>
      </c>
      <c r="I18" s="20">
        <f aca="true" t="shared" si="1" ref="I18:AA18">H18</f>
        <v>-640</v>
      </c>
      <c r="J18" s="20">
        <f t="shared" si="1"/>
        <v>-640</v>
      </c>
      <c r="K18" s="20">
        <f t="shared" si="1"/>
        <v>-640</v>
      </c>
      <c r="L18" s="20">
        <f t="shared" si="1"/>
        <v>-640</v>
      </c>
      <c r="M18" s="20">
        <f t="shared" si="1"/>
        <v>-640</v>
      </c>
      <c r="N18" s="20">
        <f t="shared" si="1"/>
        <v>-640</v>
      </c>
      <c r="O18" s="20">
        <f t="shared" si="1"/>
        <v>-640</v>
      </c>
      <c r="P18" s="20">
        <f t="shared" si="1"/>
        <v>-640</v>
      </c>
      <c r="Q18" s="20">
        <f t="shared" si="1"/>
        <v>-640</v>
      </c>
      <c r="R18" s="20">
        <f t="shared" si="1"/>
        <v>-640</v>
      </c>
      <c r="S18" s="20">
        <f t="shared" si="1"/>
        <v>-640</v>
      </c>
      <c r="T18" s="20">
        <f t="shared" si="1"/>
        <v>-640</v>
      </c>
      <c r="U18" s="20">
        <f t="shared" si="1"/>
        <v>-640</v>
      </c>
      <c r="V18" s="15">
        <f t="shared" si="1"/>
        <v>-640</v>
      </c>
      <c r="W18" s="15">
        <f t="shared" si="1"/>
        <v>-640</v>
      </c>
      <c r="X18" s="15">
        <f t="shared" si="1"/>
        <v>-640</v>
      </c>
      <c r="Y18" s="15">
        <f t="shared" si="1"/>
        <v>-640</v>
      </c>
      <c r="Z18" s="15">
        <f t="shared" si="1"/>
        <v>-640</v>
      </c>
      <c r="AA18" s="15">
        <f t="shared" si="1"/>
        <v>-640</v>
      </c>
    </row>
    <row r="19" spans="1:27" s="21" customFormat="1" ht="12.75">
      <c r="A19" s="827" t="str">
        <f>Project_Costs!A55</f>
        <v>e. Alatona Distribution System O&amp;M</v>
      </c>
      <c r="B19" s="458">
        <v>0</v>
      </c>
      <c r="C19" s="20">
        <v>0</v>
      </c>
      <c r="D19" s="20">
        <v>0</v>
      </c>
      <c r="E19" s="20">
        <v>0</v>
      </c>
      <c r="F19" s="20">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0">
        <v>0</v>
      </c>
      <c r="X19" s="20">
        <v>0</v>
      </c>
      <c r="Y19" s="20">
        <v>0</v>
      </c>
      <c r="Z19" s="20">
        <v>0</v>
      </c>
      <c r="AA19" s="20">
        <v>0</v>
      </c>
    </row>
    <row r="20" spans="1:27" s="21" customFormat="1" ht="12.75">
      <c r="A20" s="827" t="str">
        <f>Project_Costs!A17</f>
        <v>f. Support to Water Management</v>
      </c>
      <c r="B20" s="458">
        <f>SUM(C20:G20)*-1</f>
        <v>2050</v>
      </c>
      <c r="C20" s="20">
        <f>$B$97*(Project_Costs!B17*1000)*-1</f>
        <v>-170</v>
      </c>
      <c r="D20" s="20">
        <f>$B$97*(Project_Costs!C17*1000)*-1</f>
        <v>-555</v>
      </c>
      <c r="E20" s="20">
        <f>$B$97*(Project_Costs!D17*1000)*-1</f>
        <v>-1090</v>
      </c>
      <c r="F20" s="20">
        <f>$B$97*(Project_Costs!E17*1000)*-1</f>
        <v>-185</v>
      </c>
      <c r="G20" s="20">
        <f>$B$97*(Project_Costs!F17*1000)*-1</f>
        <v>-50</v>
      </c>
      <c r="H20" s="20"/>
      <c r="I20" s="20"/>
      <c r="J20" s="20"/>
      <c r="K20" s="20"/>
      <c r="L20" s="20"/>
      <c r="M20" s="20"/>
      <c r="N20" s="20"/>
      <c r="O20" s="20"/>
      <c r="P20" s="20"/>
      <c r="Q20" s="20"/>
      <c r="R20" s="20"/>
      <c r="S20" s="20"/>
      <c r="T20" s="20"/>
      <c r="U20" s="20"/>
      <c r="V20" s="15"/>
      <c r="W20" s="15"/>
      <c r="X20" s="15"/>
      <c r="Y20" s="15"/>
      <c r="Z20" s="15"/>
      <c r="AA20" s="15"/>
    </row>
    <row r="21" spans="1:27" s="21" customFormat="1" ht="12.75">
      <c r="A21" s="828" t="str">
        <f>Project_Costs!A19</f>
        <v>3. Land Allocation</v>
      </c>
      <c r="B21" s="458"/>
      <c r="C21" s="20"/>
      <c r="D21" s="20"/>
      <c r="E21" s="20"/>
      <c r="F21" s="20"/>
      <c r="G21" s="20"/>
      <c r="H21" s="20"/>
      <c r="I21" s="20"/>
      <c r="J21" s="20"/>
      <c r="K21" s="20"/>
      <c r="L21" s="20"/>
      <c r="M21" s="20"/>
      <c r="N21" s="20"/>
      <c r="O21" s="20"/>
      <c r="P21" s="20"/>
      <c r="Q21" s="20"/>
      <c r="R21" s="20"/>
      <c r="S21" s="20"/>
      <c r="T21" s="20"/>
      <c r="U21" s="20"/>
      <c r="V21" s="15"/>
      <c r="W21" s="466"/>
      <c r="X21" s="466"/>
      <c r="Y21" s="466"/>
      <c r="Z21" s="466"/>
      <c r="AA21" s="466"/>
    </row>
    <row r="22" spans="1:27" s="21" customFormat="1" ht="12.75">
      <c r="A22" s="827" t="str">
        <f>Project_Costs!A20</f>
        <v>a. Land Parcel Creation</v>
      </c>
      <c r="B22" s="458">
        <f t="shared" si="0"/>
        <v>650</v>
      </c>
      <c r="C22" s="20">
        <f>$B$97*(Project_Costs!B20*1000)*-1</f>
        <v>0</v>
      </c>
      <c r="D22" s="20">
        <f>$B$97*(Project_Costs!C20*1000)*-1</f>
        <v>-250</v>
      </c>
      <c r="E22" s="20">
        <f>$B$97*(Project_Costs!D20*1000)*-1</f>
        <v>-200</v>
      </c>
      <c r="F22" s="20">
        <f>$B$97*(Project_Costs!E20*1000)*-1</f>
        <v>-200</v>
      </c>
      <c r="G22" s="20">
        <f>$B$97*(Project_Costs!F20*1000)*-1</f>
        <v>0</v>
      </c>
      <c r="H22" s="20"/>
      <c r="I22" s="20"/>
      <c r="J22" s="20"/>
      <c r="K22" s="20"/>
      <c r="L22" s="20"/>
      <c r="M22" s="20"/>
      <c r="N22" s="20"/>
      <c r="O22" s="20"/>
      <c r="P22" s="20"/>
      <c r="Q22" s="20"/>
      <c r="R22" s="20"/>
      <c r="S22" s="20"/>
      <c r="T22" s="20"/>
      <c r="U22" s="20"/>
      <c r="V22" s="15"/>
      <c r="W22" s="466"/>
      <c r="X22" s="466"/>
      <c r="Y22" s="466"/>
      <c r="Z22" s="466"/>
      <c r="AA22" s="466"/>
    </row>
    <row r="23" spans="1:27" s="21" customFormat="1" ht="12.75">
      <c r="A23" s="827" t="str">
        <f>Project_Costs!A21</f>
        <v>b. Land Rights Education</v>
      </c>
      <c r="B23" s="458">
        <f t="shared" si="0"/>
        <v>1500</v>
      </c>
      <c r="C23" s="20">
        <f>$B$97*(Project_Costs!B21*1000)*-1</f>
        <v>-200</v>
      </c>
      <c r="D23" s="20">
        <f>$B$97*(Project_Costs!C21*1000)*-1</f>
        <v>-400</v>
      </c>
      <c r="E23" s="20">
        <f>$B$97*(Project_Costs!D21*1000)*-1</f>
        <v>-400</v>
      </c>
      <c r="F23" s="20">
        <f>$B$97*(Project_Costs!E21*1000)*-1</f>
        <v>-250</v>
      </c>
      <c r="G23" s="20">
        <f>$B$97*(Project_Costs!F21*1000)*-1</f>
        <v>-250</v>
      </c>
      <c r="H23" s="20"/>
      <c r="I23" s="20"/>
      <c r="J23" s="20"/>
      <c r="K23" s="20"/>
      <c r="L23" s="20"/>
      <c r="M23" s="20"/>
      <c r="N23" s="20"/>
      <c r="O23" s="20"/>
      <c r="P23" s="20"/>
      <c r="Q23" s="20"/>
      <c r="R23" s="20"/>
      <c r="S23" s="20"/>
      <c r="T23" s="20"/>
      <c r="U23" s="20"/>
      <c r="V23" s="15"/>
      <c r="W23" s="466"/>
      <c r="X23" s="466"/>
      <c r="Y23" s="466"/>
      <c r="Z23" s="466"/>
      <c r="AA23" s="466"/>
    </row>
    <row r="24" spans="1:27" s="21" customFormat="1" ht="12.75">
      <c r="A24" s="827" t="str">
        <f>Project_Costs!A22</f>
        <v>c. Registration System Upgrade</v>
      </c>
      <c r="B24" s="458">
        <f>SUM(C24:G24)*-1</f>
        <v>500</v>
      </c>
      <c r="C24" s="20">
        <f>$B$97*(Project_Costs!B22*1000)*-1</f>
        <v>-50</v>
      </c>
      <c r="D24" s="20">
        <f>$B$97*(Project_Costs!C22*1000)*-1</f>
        <v>-150</v>
      </c>
      <c r="E24" s="20">
        <f>$B$97*(Project_Costs!D22*1000)*-1</f>
        <v>-100</v>
      </c>
      <c r="F24" s="20">
        <f>$B$97*(Project_Costs!E22*1000)*-1</f>
        <v>-100</v>
      </c>
      <c r="G24" s="20">
        <f>$B$97*(Project_Costs!F22*1000)*-1</f>
        <v>-100</v>
      </c>
      <c r="H24" s="20"/>
      <c r="I24" s="20"/>
      <c r="J24" s="20"/>
      <c r="K24" s="20"/>
      <c r="L24" s="20"/>
      <c r="M24" s="20"/>
      <c r="N24" s="20"/>
      <c r="O24" s="20"/>
      <c r="P24" s="20"/>
      <c r="Q24" s="20"/>
      <c r="R24" s="20"/>
      <c r="S24" s="20"/>
      <c r="T24" s="20"/>
      <c r="U24" s="20"/>
      <c r="V24" s="15"/>
      <c r="W24" s="466"/>
      <c r="X24" s="466"/>
      <c r="Y24" s="466"/>
      <c r="Z24" s="466"/>
      <c r="AA24" s="466"/>
    </row>
    <row r="25" spans="1:27" s="21" customFormat="1" ht="12.75">
      <c r="A25" s="827" t="str">
        <f>Project_Costs!A23</f>
        <v>d. Land Parcel Allocation and Titling</v>
      </c>
      <c r="B25" s="458">
        <f>SUM(C25:G25)*-1</f>
        <v>650</v>
      </c>
      <c r="C25" s="20">
        <f>$B$97*(Project_Costs!B23*1000)*-1</f>
        <v>0</v>
      </c>
      <c r="D25" s="20">
        <f>$B$97*(Project_Costs!C23*1000)*-1</f>
        <v>-200</v>
      </c>
      <c r="E25" s="20">
        <f>$B$97*(Project_Costs!D23*1000)*-1</f>
        <v>-150</v>
      </c>
      <c r="F25" s="20">
        <f>$B$97*(Project_Costs!E23*1000)*-1</f>
        <v>-150</v>
      </c>
      <c r="G25" s="20">
        <f>$B$97*(Project_Costs!F23*1000)*-1</f>
        <v>-150</v>
      </c>
      <c r="H25" s="20"/>
      <c r="I25" s="20"/>
      <c r="J25" s="20"/>
      <c r="K25" s="20"/>
      <c r="L25" s="20"/>
      <c r="M25" s="20"/>
      <c r="N25" s="20"/>
      <c r="O25" s="20"/>
      <c r="P25" s="20"/>
      <c r="Q25" s="20"/>
      <c r="R25" s="20"/>
      <c r="S25" s="20"/>
      <c r="T25" s="20"/>
      <c r="U25" s="20"/>
      <c r="V25" s="15"/>
      <c r="W25" s="466"/>
      <c r="X25" s="466"/>
      <c r="Y25" s="466"/>
      <c r="Z25" s="466"/>
      <c r="AA25" s="466"/>
    </row>
    <row r="26" spans="1:27" s="21" customFormat="1" ht="12.75">
      <c r="A26" s="827" t="str">
        <f>Project_Costs!A24</f>
        <v>e. Land Revenue Collection and Management</v>
      </c>
      <c r="B26" s="458">
        <f t="shared" si="0"/>
        <v>200</v>
      </c>
      <c r="C26" s="20">
        <f>$B$97*(Project_Costs!B24*1000)*-1</f>
        <v>0</v>
      </c>
      <c r="D26" s="20">
        <f>$B$97*(Project_Costs!C24*1000)*-1</f>
        <v>-100</v>
      </c>
      <c r="E26" s="20">
        <f>$B$97*(Project_Costs!D24*1000)*-1</f>
        <v>-100</v>
      </c>
      <c r="F26" s="20">
        <f>$B$97*(Project_Costs!E24*1000)*-1</f>
        <v>0</v>
      </c>
      <c r="G26" s="20">
        <f>$B$97*(Project_Costs!F24*1000)*-1</f>
        <v>0</v>
      </c>
      <c r="H26" s="20"/>
      <c r="I26" s="20"/>
      <c r="J26" s="20"/>
      <c r="K26" s="20"/>
      <c r="L26" s="20"/>
      <c r="M26" s="20"/>
      <c r="N26" s="20"/>
      <c r="O26" s="20"/>
      <c r="P26" s="20"/>
      <c r="Q26" s="20"/>
      <c r="R26" s="20"/>
      <c r="S26" s="20"/>
      <c r="T26" s="20"/>
      <c r="U26" s="20"/>
      <c r="V26" s="15"/>
      <c r="W26" s="466"/>
      <c r="X26" s="466"/>
      <c r="Y26" s="466"/>
      <c r="Z26" s="466"/>
      <c r="AA26" s="466"/>
    </row>
    <row r="27" spans="1:27" s="21" customFormat="1" ht="12.75">
      <c r="A27" s="828" t="str">
        <f>Project_Costs!A26</f>
        <v>4. Social Infrastructure, Social Services, Resettlement and Settlement</v>
      </c>
      <c r="B27" s="458"/>
      <c r="C27" s="20"/>
      <c r="D27" s="20"/>
      <c r="E27" s="20"/>
      <c r="F27" s="20"/>
      <c r="G27" s="20"/>
      <c r="H27" s="20"/>
      <c r="I27" s="20"/>
      <c r="J27" s="20"/>
      <c r="K27" s="20"/>
      <c r="L27" s="20"/>
      <c r="M27" s="20"/>
      <c r="N27" s="20"/>
      <c r="O27" s="20"/>
      <c r="P27" s="20"/>
      <c r="Q27" s="20"/>
      <c r="R27" s="20"/>
      <c r="S27" s="20"/>
      <c r="T27" s="20"/>
      <c r="U27" s="20"/>
      <c r="V27" s="15"/>
      <c r="W27" s="466"/>
      <c r="X27" s="466"/>
      <c r="Y27" s="466"/>
      <c r="Z27" s="466"/>
      <c r="AA27" s="466"/>
    </row>
    <row r="28" spans="1:27" s="21" customFormat="1" ht="12.75">
      <c r="A28" s="827" t="str">
        <f>Project_Costs!A27</f>
        <v>a. Presettlement</v>
      </c>
      <c r="B28" s="458">
        <f>SUM(C28:G28)*-1</f>
        <v>1273</v>
      </c>
      <c r="C28" s="20">
        <f>$B$97*(Project_Costs!B27*1000)*-1</f>
        <v>-306.5</v>
      </c>
      <c r="D28" s="20">
        <f>$B$97*(Project_Costs!C27*1000)*-1</f>
        <v>-461.5</v>
      </c>
      <c r="E28" s="20">
        <f>$B$97*(Project_Costs!D27*1000)*-1</f>
        <v>-447.5</v>
      </c>
      <c r="F28" s="20">
        <f>$B$97*(Project_Costs!E27*1000)*-1</f>
        <v>-32.5</v>
      </c>
      <c r="G28" s="20">
        <f>$B$97*(Project_Costs!F27*1000)*-1</f>
        <v>-25</v>
      </c>
      <c r="H28" s="20"/>
      <c r="I28" s="20"/>
      <c r="J28" s="20"/>
      <c r="K28" s="20"/>
      <c r="L28" s="20"/>
      <c r="M28" s="20"/>
      <c r="N28" s="20"/>
      <c r="O28" s="20"/>
      <c r="P28" s="20"/>
      <c r="Q28" s="20"/>
      <c r="R28" s="20"/>
      <c r="S28" s="20"/>
      <c r="T28" s="20"/>
      <c r="U28" s="20"/>
      <c r="V28" s="15"/>
      <c r="W28" s="466"/>
      <c r="X28" s="466"/>
      <c r="Y28" s="466"/>
      <c r="Z28" s="466"/>
      <c r="AA28" s="466"/>
    </row>
    <row r="29" spans="1:27" s="21" customFormat="1" ht="12.75">
      <c r="A29" s="827" t="str">
        <f>Project_Costs!A28</f>
        <v>b. Social Infrastructure</v>
      </c>
      <c r="B29" s="458">
        <f>SUM(C29:G29)*-1</f>
        <v>15701</v>
      </c>
      <c r="C29" s="20">
        <f>$B$97*(Project_Costs!B28*1000)*-1</f>
        <v>-2166.2</v>
      </c>
      <c r="D29" s="20">
        <f>$B$97*(Project_Costs!C28*1000)*-1</f>
        <v>-3937.6000000000004</v>
      </c>
      <c r="E29" s="20">
        <f>$B$97*(Project_Costs!D28*1000)*-1</f>
        <v>-3889.6000000000004</v>
      </c>
      <c r="F29" s="20">
        <f>$B$97*(Project_Costs!E28*1000)*-1</f>
        <v>-3030.4</v>
      </c>
      <c r="G29" s="20">
        <f>$B$97*(Project_Costs!F28*1000)*-1</f>
        <v>-2677.2</v>
      </c>
      <c r="H29" s="20"/>
      <c r="I29" s="20"/>
      <c r="J29" s="20"/>
      <c r="K29" s="20"/>
      <c r="L29" s="20"/>
      <c r="M29" s="20"/>
      <c r="N29" s="20"/>
      <c r="O29" s="20"/>
      <c r="P29" s="20"/>
      <c r="Q29" s="20"/>
      <c r="R29" s="20"/>
      <c r="S29" s="20"/>
      <c r="T29" s="20"/>
      <c r="U29" s="20"/>
      <c r="V29" s="15"/>
      <c r="W29" s="466"/>
      <c r="X29" s="466"/>
      <c r="Y29" s="466"/>
      <c r="Z29" s="466"/>
      <c r="AA29" s="466"/>
    </row>
    <row r="30" spans="1:27" s="21" customFormat="1" ht="12.75">
      <c r="A30" s="827" t="str">
        <f>Project_Costs!A29</f>
        <v>c. Health Sector Interventions</v>
      </c>
      <c r="B30" s="458">
        <f>SUM(C30:G30)*-1</f>
        <v>3060.5190000000002</v>
      </c>
      <c r="C30" s="20">
        <f>$B$97*(Project_Costs!B29*1000)*-1</f>
        <v>-542.7729999999999</v>
      </c>
      <c r="D30" s="20">
        <f>$B$97*(Project_Costs!C29*1000)*-1</f>
        <v>-846.373</v>
      </c>
      <c r="E30" s="20">
        <f>$B$97*(Project_Costs!D29*1000)*-1</f>
        <v>-813.573</v>
      </c>
      <c r="F30" s="20">
        <f>$B$97*(Project_Costs!E29*1000)*-1</f>
        <v>-428.9</v>
      </c>
      <c r="G30" s="20">
        <f>$B$97*(Project_Costs!F29*1000)*-1</f>
        <v>-428.9</v>
      </c>
      <c r="H30" s="20"/>
      <c r="I30" s="20"/>
      <c r="J30" s="20"/>
      <c r="K30" s="20"/>
      <c r="L30" s="20"/>
      <c r="M30" s="20"/>
      <c r="N30" s="20"/>
      <c r="O30" s="20"/>
      <c r="P30" s="20"/>
      <c r="Q30" s="20"/>
      <c r="R30" s="20"/>
      <c r="S30" s="20"/>
      <c r="T30" s="20"/>
      <c r="U30" s="20"/>
      <c r="V30" s="15"/>
      <c r="W30" s="466"/>
      <c r="X30" s="466"/>
      <c r="Y30" s="466"/>
      <c r="Z30" s="466"/>
      <c r="AA30" s="466"/>
    </row>
    <row r="31" spans="1:27" s="21" customFormat="1" ht="12.75">
      <c r="A31" s="828" t="str">
        <f>Project_Costs!A31</f>
        <v>5. Agricultural Services</v>
      </c>
      <c r="B31" s="458"/>
      <c r="C31" s="20"/>
      <c r="D31" s="20"/>
      <c r="E31" s="20"/>
      <c r="F31" s="20"/>
      <c r="G31" s="20"/>
      <c r="H31" s="20"/>
      <c r="I31" s="20"/>
      <c r="J31" s="20"/>
      <c r="K31" s="20"/>
      <c r="L31" s="20"/>
      <c r="M31" s="20"/>
      <c r="N31" s="20"/>
      <c r="O31" s="20"/>
      <c r="P31" s="20"/>
      <c r="Q31" s="20"/>
      <c r="R31" s="20"/>
      <c r="S31" s="20"/>
      <c r="T31" s="20"/>
      <c r="U31" s="20"/>
      <c r="V31" s="15"/>
      <c r="W31" s="466"/>
      <c r="X31" s="466"/>
      <c r="Y31" s="466"/>
      <c r="Z31" s="466"/>
      <c r="AA31" s="466"/>
    </row>
    <row r="32" spans="1:27" s="22" customFormat="1" ht="12.75">
      <c r="A32" s="833" t="str">
        <f>Project_Costs!A32</f>
        <v>a. Support for Farmer Organizations</v>
      </c>
      <c r="B32" s="775">
        <f>SUM(C32:G32)*-1</f>
        <v>5200.5</v>
      </c>
      <c r="C32" s="171">
        <f>$B$97*(Project_Costs!B32*1000)*-1</f>
        <v>-86.5</v>
      </c>
      <c r="D32" s="171">
        <f>$B$97*(Project_Costs!C32*1000)*-1</f>
        <v>-156.5</v>
      </c>
      <c r="E32" s="171">
        <f>$B$97*(Project_Costs!D32*1000)*-1</f>
        <v>-1312.5</v>
      </c>
      <c r="F32" s="171">
        <f>$B$97*(Project_Costs!E32*1000)*-1</f>
        <v>-1670</v>
      </c>
      <c r="G32" s="171">
        <f>$B$97*(Project_Costs!F32*1000)*-1</f>
        <v>-1975</v>
      </c>
      <c r="H32" s="171"/>
      <c r="I32" s="171"/>
      <c r="J32" s="171"/>
      <c r="K32" s="171"/>
      <c r="L32" s="171"/>
      <c r="M32" s="171"/>
      <c r="N32" s="171"/>
      <c r="O32" s="171"/>
      <c r="P32" s="171"/>
      <c r="Q32" s="171"/>
      <c r="R32" s="171"/>
      <c r="S32" s="171"/>
      <c r="T32" s="171"/>
      <c r="U32" s="171"/>
      <c r="V32" s="834"/>
      <c r="W32" s="835"/>
      <c r="X32" s="835"/>
      <c r="Y32" s="835"/>
      <c r="Z32" s="835"/>
      <c r="AA32" s="835"/>
    </row>
    <row r="33" spans="1:27" s="22" customFormat="1" ht="12.75">
      <c r="A33" s="833" t="str">
        <f>Project_Costs!A33</f>
        <v>b. Agricultural Extension and Farmer Training</v>
      </c>
      <c r="B33" s="775">
        <f>SUM(C33:G33)*-1</f>
        <v>1928</v>
      </c>
      <c r="C33" s="171">
        <f>$B$97*(Project_Costs!B33*1000)*-1</f>
        <v>-170</v>
      </c>
      <c r="D33" s="171">
        <f>$B$97*(Project_Costs!C33*1000)*-1</f>
        <v>-286</v>
      </c>
      <c r="E33" s="171">
        <f>$B$97*(Project_Costs!D33*1000)*-1</f>
        <v>-386</v>
      </c>
      <c r="F33" s="171">
        <f>$B$97*(Project_Costs!E33*1000)*-1</f>
        <v>-486</v>
      </c>
      <c r="G33" s="171">
        <f>$B$97*(Project_Costs!F33*1000)*-1</f>
        <v>-600</v>
      </c>
      <c r="H33" s="171"/>
      <c r="I33" s="171"/>
      <c r="J33" s="171"/>
      <c r="K33" s="171"/>
      <c r="L33" s="171"/>
      <c r="M33" s="171"/>
      <c r="N33" s="171"/>
      <c r="O33" s="171"/>
      <c r="P33" s="171"/>
      <c r="Q33" s="171"/>
      <c r="R33" s="171"/>
      <c r="S33" s="171"/>
      <c r="T33" s="171"/>
      <c r="U33" s="171"/>
      <c r="V33" s="834"/>
      <c r="W33" s="835"/>
      <c r="X33" s="835"/>
      <c r="Y33" s="835"/>
      <c r="Z33" s="835"/>
      <c r="AA33" s="835"/>
    </row>
    <row r="34" spans="1:27" s="22" customFormat="1" ht="12.75">
      <c r="A34" s="833" t="str">
        <f>Project_Costs!A34</f>
        <v>c. Applied Agricultural Research</v>
      </c>
      <c r="B34" s="775">
        <f>SUM(C34:G34)*-1</f>
        <v>5450</v>
      </c>
      <c r="C34" s="171">
        <f>$B$97*(Project_Costs!B34*1000)*-1</f>
        <v>-1450</v>
      </c>
      <c r="D34" s="171">
        <f>$B$97*(Project_Costs!C34*1000)*-1</f>
        <v>-1450</v>
      </c>
      <c r="E34" s="171">
        <f>$B$97*(Project_Costs!D34*1000)*-1</f>
        <v>-1250</v>
      </c>
      <c r="F34" s="171">
        <f>$B$97*(Project_Costs!E34*1000)*-1</f>
        <v>-650</v>
      </c>
      <c r="G34" s="171">
        <f>$B$97*(Project_Costs!F34*1000)*-1</f>
        <v>-650</v>
      </c>
      <c r="H34" s="171"/>
      <c r="I34" s="171"/>
      <c r="J34" s="171"/>
      <c r="K34" s="171"/>
      <c r="L34" s="171"/>
      <c r="M34" s="171"/>
      <c r="N34" s="171"/>
      <c r="O34" s="171"/>
      <c r="P34" s="171"/>
      <c r="Q34" s="171"/>
      <c r="R34" s="171"/>
      <c r="S34" s="171"/>
      <c r="T34" s="171"/>
      <c r="U34" s="171"/>
      <c r="V34" s="834"/>
      <c r="W34" s="835"/>
      <c r="X34" s="835"/>
      <c r="Y34" s="835"/>
      <c r="Z34" s="835"/>
      <c r="AA34" s="835"/>
    </row>
    <row r="35" spans="1:27" s="21" customFormat="1" ht="12.75">
      <c r="A35" s="828" t="str">
        <f>Project_Costs!A36</f>
        <v>6. Financial Services</v>
      </c>
      <c r="B35" s="458"/>
      <c r="C35" s="20"/>
      <c r="D35" s="20"/>
      <c r="E35" s="20"/>
      <c r="F35" s="20"/>
      <c r="G35" s="20"/>
      <c r="H35" s="20"/>
      <c r="I35" s="20"/>
      <c r="J35" s="20"/>
      <c r="K35" s="20"/>
      <c r="L35" s="20"/>
      <c r="M35" s="20"/>
      <c r="N35" s="20"/>
      <c r="O35" s="20"/>
      <c r="P35" s="20"/>
      <c r="Q35" s="20"/>
      <c r="R35" s="20"/>
      <c r="S35" s="20"/>
      <c r="T35" s="20"/>
      <c r="U35" s="20"/>
      <c r="V35" s="15"/>
      <c r="W35" s="466"/>
      <c r="X35" s="466"/>
      <c r="Y35" s="466"/>
      <c r="Z35" s="466"/>
      <c r="AA35" s="466"/>
    </row>
    <row r="36" spans="1:27" s="21" customFormat="1" ht="12.75">
      <c r="A36" s="833" t="str">
        <f>Project_Costs!A37</f>
        <v>a. Loan Partial Guarantee Program</v>
      </c>
      <c r="B36" s="458">
        <f>SUM(C36:G36)*-1</f>
        <v>6400</v>
      </c>
      <c r="C36" s="20">
        <f>$B$97*(Project_Costs!B37*1000)*-1</f>
        <v>0</v>
      </c>
      <c r="D36" s="20">
        <f>$B$97*(Project_Costs!C37*1000)*-1</f>
        <v>-200</v>
      </c>
      <c r="E36" s="20">
        <f>$B$97*(Project_Costs!D37*1000)*-1</f>
        <v>-1400</v>
      </c>
      <c r="F36" s="20">
        <f>$B$97*(Project_Costs!E37*1000)*-1</f>
        <v>-2100</v>
      </c>
      <c r="G36" s="20">
        <f>$B$97*(Project_Costs!F37*1000)*-1</f>
        <v>-2700</v>
      </c>
      <c r="H36" s="20"/>
      <c r="I36" s="20"/>
      <c r="J36" s="20"/>
      <c r="K36" s="20"/>
      <c r="L36" s="20"/>
      <c r="M36" s="20"/>
      <c r="N36" s="20"/>
      <c r="O36" s="20"/>
      <c r="P36" s="20"/>
      <c r="Q36" s="20"/>
      <c r="R36" s="20"/>
      <c r="S36" s="20"/>
      <c r="T36" s="20"/>
      <c r="U36" s="20"/>
      <c r="V36" s="15"/>
      <c r="W36" s="466"/>
      <c r="X36" s="466"/>
      <c r="Y36" s="466"/>
      <c r="Z36" s="466"/>
      <c r="AA36" s="466"/>
    </row>
    <row r="37" spans="1:27" s="21" customFormat="1" ht="12.75">
      <c r="A37" s="833" t="str">
        <f>Project_Costs!A38</f>
        <v>b. Credit Bureau Strengthening</v>
      </c>
      <c r="B37" s="458">
        <f>SUM(C37:G37)*-1</f>
        <v>200</v>
      </c>
      <c r="C37" s="20">
        <f>$B$97*(Project_Costs!B38*1000)*-1</f>
        <v>-40</v>
      </c>
      <c r="D37" s="20">
        <f>$B$97*(Project_Costs!C38*1000)*-1</f>
        <v>-100</v>
      </c>
      <c r="E37" s="20">
        <f>$B$97*(Project_Costs!D38*1000)*-1</f>
        <v>-60</v>
      </c>
      <c r="F37" s="20">
        <f>$B$97*(Project_Costs!E38*1000)*-1</f>
        <v>0</v>
      </c>
      <c r="G37" s="20">
        <f>$B$97*(Project_Costs!F38*1000)*-1</f>
        <v>0</v>
      </c>
      <c r="H37" s="20"/>
      <c r="I37" s="20"/>
      <c r="J37" s="20"/>
      <c r="K37" s="20"/>
      <c r="L37" s="20"/>
      <c r="M37" s="20"/>
      <c r="N37" s="20"/>
      <c r="O37" s="20"/>
      <c r="P37" s="20"/>
      <c r="Q37" s="20"/>
      <c r="R37" s="20"/>
      <c r="S37" s="20"/>
      <c r="T37" s="20"/>
      <c r="U37" s="20"/>
      <c r="V37" s="15"/>
      <c r="W37" s="466"/>
      <c r="X37" s="466"/>
      <c r="Y37" s="466"/>
      <c r="Z37" s="466"/>
      <c r="AA37" s="466"/>
    </row>
    <row r="38" spans="1:27" s="21" customFormat="1" ht="12.75">
      <c r="A38" s="833" t="str">
        <f>Project_Costs!A39</f>
        <v>c. Financial Institution Capacity Building</v>
      </c>
      <c r="B38" s="458">
        <f>SUM(C38:G38)*-1</f>
        <v>750</v>
      </c>
      <c r="C38" s="20">
        <f>$B$97*(Project_Costs!B39*1000)*-1</f>
        <v>-100</v>
      </c>
      <c r="D38" s="20">
        <f>$B$97*(Project_Costs!C39*1000)*-1</f>
        <v>-200</v>
      </c>
      <c r="E38" s="20">
        <f>$B$97*(Project_Costs!D39*1000)*-1</f>
        <v>-200</v>
      </c>
      <c r="F38" s="20">
        <f>$B$97*(Project_Costs!E39*1000)*-1</f>
        <v>-150</v>
      </c>
      <c r="G38" s="20">
        <f>$B$97*(Project_Costs!F39*1000)*-1</f>
        <v>-100</v>
      </c>
      <c r="H38" s="20"/>
      <c r="I38" s="20"/>
      <c r="J38" s="20"/>
      <c r="K38" s="20"/>
      <c r="L38" s="20"/>
      <c r="M38" s="20"/>
      <c r="N38" s="20"/>
      <c r="O38" s="20"/>
      <c r="P38" s="20"/>
      <c r="Q38" s="20"/>
      <c r="R38" s="20"/>
      <c r="S38" s="20"/>
      <c r="T38" s="20"/>
      <c r="U38" s="20"/>
      <c r="V38" s="15"/>
      <c r="W38" s="466"/>
      <c r="X38" s="466"/>
      <c r="Y38" s="466"/>
      <c r="Z38" s="466"/>
      <c r="AA38" s="466"/>
    </row>
    <row r="39" spans="1:27" s="21" customFormat="1" ht="12.75">
      <c r="A39" s="833" t="str">
        <f>Project_Costs!A40</f>
        <v>d. Support to Farmers</v>
      </c>
      <c r="B39" s="458">
        <f>SUM(C39:G39)*-1</f>
        <v>240</v>
      </c>
      <c r="C39" s="20">
        <f>$B$97*(Project_Costs!B40*1000)*-1</f>
        <v>0</v>
      </c>
      <c r="D39" s="20">
        <f>$B$97*(Project_Costs!C40*1000)*-1</f>
        <v>0</v>
      </c>
      <c r="E39" s="20">
        <f>$B$97*(Project_Costs!D40*1000)*-1</f>
        <v>-80</v>
      </c>
      <c r="F39" s="20">
        <f>$B$97*(Project_Costs!E40*1000)*-1</f>
        <v>-80</v>
      </c>
      <c r="G39" s="20">
        <f>$B$97*(Project_Costs!F40*1000)*-1</f>
        <v>-80</v>
      </c>
      <c r="H39" s="20"/>
      <c r="I39" s="20"/>
      <c r="J39" s="20"/>
      <c r="K39" s="20"/>
      <c r="L39" s="20"/>
      <c r="M39" s="20"/>
      <c r="N39" s="20"/>
      <c r="O39" s="20"/>
      <c r="P39" s="20"/>
      <c r="Q39" s="20"/>
      <c r="R39" s="20"/>
      <c r="S39" s="20"/>
      <c r="T39" s="20"/>
      <c r="U39" s="20"/>
      <c r="V39" s="15"/>
      <c r="W39" s="466"/>
      <c r="X39" s="466"/>
      <c r="Y39" s="466"/>
      <c r="Z39" s="466"/>
      <c r="AA39" s="466"/>
    </row>
    <row r="40" spans="1:27" s="21" customFormat="1" ht="12.75">
      <c r="A40" s="829" t="s">
        <v>392</v>
      </c>
      <c r="B40" s="644"/>
      <c r="C40" s="20"/>
      <c r="D40" s="20"/>
      <c r="E40" s="20"/>
      <c r="F40" s="20"/>
      <c r="G40" s="20"/>
      <c r="H40" s="20"/>
      <c r="I40" s="20"/>
      <c r="J40" s="20"/>
      <c r="K40" s="20"/>
      <c r="L40" s="20"/>
      <c r="M40" s="20"/>
      <c r="N40" s="20"/>
      <c r="O40" s="20"/>
      <c r="P40" s="20"/>
      <c r="Q40" s="20"/>
      <c r="R40" s="20"/>
      <c r="S40" s="20"/>
      <c r="T40" s="20"/>
      <c r="U40" s="20"/>
      <c r="V40" s="15"/>
      <c r="W40" s="466"/>
      <c r="X40" s="466"/>
      <c r="Y40" s="466"/>
      <c r="Z40" s="466"/>
      <c r="AA40" s="466"/>
    </row>
    <row r="41" spans="1:27" s="21" customFormat="1" ht="12.75">
      <c r="A41" s="646" t="s">
        <v>393</v>
      </c>
      <c r="B41" s="458">
        <f>SUM(C41:G41)*-1</f>
        <v>2735.928119956864</v>
      </c>
      <c r="C41" s="20">
        <f>$B$97*(Project_Costs!B45*1000)*-1</f>
        <v>-836.6752660418545</v>
      </c>
      <c r="D41" s="20">
        <f>$B$97*(Project_Costs!C45*1000)*-1</f>
        <v>-290.0474255611762</v>
      </c>
      <c r="E41" s="20">
        <f>$B$97*(Project_Costs!D45*1000)*-1</f>
        <v>-365.3481995049431</v>
      </c>
      <c r="F41" s="20">
        <f>$B$97*(Project_Costs!E45*1000)*-1</f>
        <v>-393.2373750396716</v>
      </c>
      <c r="G41" s="20">
        <f>$B$97*(Project_Costs!F45*1000)*-1</f>
        <v>-850.6198538092186</v>
      </c>
      <c r="H41" s="20"/>
      <c r="I41" s="20"/>
      <c r="J41" s="20"/>
      <c r="K41" s="20"/>
      <c r="L41" s="20"/>
      <c r="M41" s="20"/>
      <c r="N41" s="20"/>
      <c r="O41" s="20"/>
      <c r="P41" s="20"/>
      <c r="Q41" s="20"/>
      <c r="R41" s="20"/>
      <c r="S41" s="20"/>
      <c r="T41" s="20"/>
      <c r="U41" s="20"/>
      <c r="V41" s="15"/>
      <c r="W41" s="466"/>
      <c r="X41" s="466"/>
      <c r="Y41" s="466"/>
      <c r="Z41" s="466"/>
      <c r="AA41" s="466"/>
    </row>
    <row r="42" spans="1:27" s="21" customFormat="1" ht="12.75">
      <c r="A42" s="646" t="s">
        <v>394</v>
      </c>
      <c r="B42" s="458">
        <f>SUM(C42:G42)*-1</f>
        <v>20861.1032999769</v>
      </c>
      <c r="C42" s="20">
        <f>$B$97*(Project_Costs!B46*1000)*-1</f>
        <v>-4573.824787695471</v>
      </c>
      <c r="D42" s="20">
        <f>$B$97*(Project_Costs!C46*1000)*-1</f>
        <v>-4071.819628070358</v>
      </c>
      <c r="E42" s="20">
        <f>$B$97*(Project_Costs!D46*1000)*-1</f>
        <v>-4127.597979139815</v>
      </c>
      <c r="F42" s="20">
        <f>$B$97*(Project_Costs!E46*1000)*-1</f>
        <v>-4016.0412770009007</v>
      </c>
      <c r="G42" s="20">
        <f>$B$97*(Project_Costs!F46*1000)*-1</f>
        <v>-4071.819628070358</v>
      </c>
      <c r="H42" s="20"/>
      <c r="I42" s="20"/>
      <c r="J42" s="20"/>
      <c r="K42" s="20"/>
      <c r="L42" s="20"/>
      <c r="M42" s="20"/>
      <c r="N42" s="20"/>
      <c r="O42" s="20"/>
      <c r="P42" s="20"/>
      <c r="Q42" s="20"/>
      <c r="R42" s="20"/>
      <c r="S42" s="20"/>
      <c r="T42" s="20"/>
      <c r="U42" s="20"/>
      <c r="V42" s="15"/>
      <c r="W42" s="466"/>
      <c r="X42" s="466"/>
      <c r="Y42" s="466"/>
      <c r="Z42" s="466"/>
      <c r="AA42" s="466"/>
    </row>
    <row r="43" spans="1:27" s="21" customFormat="1" ht="12.75">
      <c r="A43" s="645" t="s">
        <v>602</v>
      </c>
      <c r="B43" s="644"/>
      <c r="C43" s="20"/>
      <c r="D43" s="20"/>
      <c r="E43" s="20"/>
      <c r="F43" s="20"/>
      <c r="G43" s="20"/>
      <c r="H43" s="20"/>
      <c r="I43" s="20"/>
      <c r="J43" s="20"/>
      <c r="K43" s="20"/>
      <c r="L43" s="20"/>
      <c r="M43" s="20"/>
      <c r="N43" s="20"/>
      <c r="O43" s="20"/>
      <c r="P43" s="20"/>
      <c r="Q43" s="20"/>
      <c r="R43" s="20"/>
      <c r="S43" s="20"/>
      <c r="T43" s="20"/>
      <c r="U43" s="20"/>
      <c r="V43" s="15"/>
      <c r="W43" s="466"/>
      <c r="X43" s="466"/>
      <c r="Y43" s="466"/>
      <c r="Z43" s="466"/>
      <c r="AA43" s="466"/>
    </row>
    <row r="44" spans="1:27" s="21" customFormat="1" ht="12.75">
      <c r="A44" s="647" t="s">
        <v>177</v>
      </c>
      <c r="B44" s="458">
        <f>SUM(C44:G44)*-1</f>
        <v>26979.195284999998</v>
      </c>
      <c r="C44" s="20">
        <f>$B$97*(Project_Costs!B50*1000)*-1</f>
        <v>-2871.0612999999994</v>
      </c>
      <c r="D44" s="20">
        <f>$B$97*(Project_Costs!C50*1000)*-1</f>
        <v>-8059.767103999999</v>
      </c>
      <c r="E44" s="20">
        <f>$B$97*(Project_Costs!D50*1000)*-1</f>
        <v>-7709.121555</v>
      </c>
      <c r="F44" s="20">
        <f>$B$97*(Project_Costs!E50*1000)*-1</f>
        <v>-5916.283551</v>
      </c>
      <c r="G44" s="20">
        <f>$B$97*(Project_Costs!F50*1000)*-1</f>
        <v>-2422.961775</v>
      </c>
      <c r="H44" s="20"/>
      <c r="I44" s="20"/>
      <c r="J44" s="20"/>
      <c r="K44" s="20"/>
      <c r="L44" s="20"/>
      <c r="M44" s="20"/>
      <c r="N44" s="20"/>
      <c r="O44" s="20"/>
      <c r="P44" s="20"/>
      <c r="Q44" s="20"/>
      <c r="R44" s="20"/>
      <c r="S44" s="20"/>
      <c r="T44" s="20"/>
      <c r="U44" s="20"/>
      <c r="V44" s="15"/>
      <c r="W44" s="466"/>
      <c r="X44" s="466"/>
      <c r="Y44" s="466"/>
      <c r="Z44" s="466"/>
      <c r="AA44" s="466"/>
    </row>
    <row r="45" spans="1:27" ht="12.75">
      <c r="A45" s="167" t="s">
        <v>602</v>
      </c>
      <c r="B45" s="166">
        <f>SUM(B10:B44)</f>
        <v>235612.36979259443</v>
      </c>
      <c r="C45" s="165">
        <f>SUM(C10:C44)*'ERR &amp; Sensitivity Analysis'!$G$10</f>
        <v>-24608.73596042113</v>
      </c>
      <c r="D45" s="165">
        <f>SUM(D10:D44)*'ERR &amp; Sensitivity Analysis'!$G$10</f>
        <v>-61337.04959989374</v>
      </c>
      <c r="E45" s="165">
        <f>SUM(E10:E44)*'ERR &amp; Sensitivity Analysis'!$G$10</f>
        <v>-66776.64243364475</v>
      </c>
      <c r="F45" s="165">
        <f>SUM(F10:F44)*'ERR &amp; Sensitivity Analysis'!$G$10</f>
        <v>-52647.6184427835</v>
      </c>
      <c r="G45" s="165">
        <f>SUM(G10:G44)*'ERR &amp; Sensitivity Analysis'!$G$10</f>
        <v>-26242.3233558513</v>
      </c>
      <c r="H45" s="165">
        <f>SUM(H10:H44)*'ERR &amp; Sensitivity Analysis'!$G$10</f>
        <v>-678.4615384615385</v>
      </c>
      <c r="I45" s="165">
        <f>SUM(I10:I44)*'ERR &amp; Sensitivity Analysis'!$G$10</f>
        <v>-678.4615384615385</v>
      </c>
      <c r="J45" s="165">
        <f>SUM(J10:J44)*'ERR &amp; Sensitivity Analysis'!$G$10</f>
        <v>-678.4615384615385</v>
      </c>
      <c r="K45" s="165">
        <f>SUM(K10:K44)*'ERR &amp; Sensitivity Analysis'!$G$10</f>
        <v>-678.4615384615385</v>
      </c>
      <c r="L45" s="165">
        <f>SUM(L10:L44)*'ERR &amp; Sensitivity Analysis'!$G$10</f>
        <v>-678.4615384615385</v>
      </c>
      <c r="M45" s="165">
        <f>SUM(M10:M44)*'ERR &amp; Sensitivity Analysis'!$G$10</f>
        <v>-678.4615384615385</v>
      </c>
      <c r="N45" s="165">
        <f>SUM(N10:N44)*'ERR &amp; Sensitivity Analysis'!$G$10</f>
        <v>-678.4615384615385</v>
      </c>
      <c r="O45" s="165">
        <f>SUM(O10:O44)*'ERR &amp; Sensitivity Analysis'!$G$10</f>
        <v>-678.4615384615385</v>
      </c>
      <c r="P45" s="165">
        <f>SUM(P10:P44)*'ERR &amp; Sensitivity Analysis'!$G$10</f>
        <v>-678.4615384615385</v>
      </c>
      <c r="Q45" s="165">
        <f>SUM(Q10:Q44)*'ERR &amp; Sensitivity Analysis'!$G$10</f>
        <v>-3909.230769230769</v>
      </c>
      <c r="R45" s="165">
        <f>SUM(R10:R44)*'ERR &amp; Sensitivity Analysis'!$G$10</f>
        <v>-678.4615384615385</v>
      </c>
      <c r="S45" s="165">
        <f>SUM(S10:S44)*'ERR &amp; Sensitivity Analysis'!$G$10</f>
        <v>-678.4615384615385</v>
      </c>
      <c r="T45" s="165">
        <f>SUM(T10:T44)*'ERR &amp; Sensitivity Analysis'!$G$10</f>
        <v>-678.4615384615385</v>
      </c>
      <c r="U45" s="165">
        <f>SUM(U10:U44)*'ERR &amp; Sensitivity Analysis'!$G$10</f>
        <v>-678.4615384615385</v>
      </c>
      <c r="V45" s="165">
        <f>SUM(V10:V44)*'ERR &amp; Sensitivity Analysis'!$G$10</f>
        <v>-678.4615384615385</v>
      </c>
      <c r="W45" s="165">
        <f>SUM(W10:W44)*'ERR &amp; Sensitivity Analysis'!$G$10</f>
        <v>-678.4615384615385</v>
      </c>
      <c r="X45" s="165">
        <f>SUM(X10:X44)*'ERR &amp; Sensitivity Analysis'!$G$10</f>
        <v>-678.4615384615385</v>
      </c>
      <c r="Y45" s="165">
        <f>SUM(Y10:Y44)*'ERR &amp; Sensitivity Analysis'!$G$10</f>
        <v>-678.4615384615385</v>
      </c>
      <c r="Z45" s="165">
        <f>SUM(Z10:Z44)*'ERR &amp; Sensitivity Analysis'!$G$10</f>
        <v>-678.4615384615385</v>
      </c>
      <c r="AA45" s="165">
        <f>SUM(AA10:AA44)*'ERR &amp; Sensitivity Analysis'!$G$10</f>
        <v>-678.4615384615385</v>
      </c>
    </row>
    <row r="46" spans="1:27" s="378" customFormat="1" ht="12.75">
      <c r="A46" s="649"/>
      <c r="B46" s="384"/>
      <c r="C46" s="384"/>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row>
    <row r="47" spans="1:27" ht="26.25" customHeight="1" hidden="1">
      <c r="A47" s="650" t="s">
        <v>188</v>
      </c>
      <c r="B47" s="651">
        <v>179811.01339999997</v>
      </c>
      <c r="C47" s="651">
        <v>-21040.012299999995</v>
      </c>
      <c r="D47" s="162">
        <v>-57400.1823</v>
      </c>
      <c r="E47" s="162">
        <v>-51468.62229999999</v>
      </c>
      <c r="F47" s="162">
        <v>-35168.887</v>
      </c>
      <c r="G47" s="162">
        <v>-14733.3095</v>
      </c>
      <c r="H47" s="162">
        <v>-2880</v>
      </c>
      <c r="I47" s="162">
        <v>-2880</v>
      </c>
      <c r="J47" s="162">
        <v>-2880</v>
      </c>
      <c r="K47" s="162">
        <v>-2880</v>
      </c>
      <c r="L47" s="162">
        <v>-2880</v>
      </c>
      <c r="M47" s="162">
        <v>-2880</v>
      </c>
      <c r="N47" s="162">
        <v>-2880</v>
      </c>
      <c r="O47" s="162">
        <v>-2880</v>
      </c>
      <c r="P47" s="162">
        <v>-2880</v>
      </c>
      <c r="Q47" s="162">
        <v>-5530</v>
      </c>
      <c r="R47" s="162">
        <v>-2880</v>
      </c>
      <c r="S47" s="162">
        <v>-2880</v>
      </c>
      <c r="T47" s="162">
        <v>-2880</v>
      </c>
      <c r="U47" s="162">
        <v>-2880</v>
      </c>
      <c r="V47" s="162">
        <v>-2880</v>
      </c>
      <c r="W47" s="162">
        <v>-2880</v>
      </c>
      <c r="X47" s="162">
        <v>-2880</v>
      </c>
      <c r="Y47" s="162">
        <v>-2880</v>
      </c>
      <c r="Z47" s="162">
        <v>0</v>
      </c>
      <c r="AA47" s="162">
        <v>0</v>
      </c>
    </row>
    <row r="48" spans="1:27" ht="12.75">
      <c r="A48" s="66"/>
      <c r="B48" s="32"/>
      <c r="C48" s="191"/>
      <c r="D48" s="191"/>
      <c r="E48" s="191"/>
      <c r="F48" s="191"/>
      <c r="G48" s="191"/>
      <c r="H48" s="191"/>
      <c r="I48" s="191"/>
      <c r="J48" s="191"/>
      <c r="K48" s="191"/>
      <c r="L48" s="191"/>
      <c r="M48" s="18"/>
      <c r="N48" s="18"/>
      <c r="O48" s="18"/>
      <c r="P48" s="18"/>
      <c r="Q48" s="18"/>
      <c r="R48" s="18"/>
      <c r="S48" s="18"/>
      <c r="T48" s="18"/>
      <c r="U48" s="18"/>
      <c r="AA48" s="18"/>
    </row>
    <row r="49" spans="1:27" ht="12.75">
      <c r="A49" s="192" t="s">
        <v>465</v>
      </c>
      <c r="B49" s="32"/>
      <c r="C49" s="1032">
        <v>0</v>
      </c>
      <c r="D49" s="1032">
        <v>0</v>
      </c>
      <c r="E49" s="1032">
        <v>0.85</v>
      </c>
      <c r="F49" s="1032">
        <v>0.9</v>
      </c>
      <c r="G49" s="1032">
        <v>0.95</v>
      </c>
      <c r="H49" s="1032">
        <v>1</v>
      </c>
      <c r="I49" s="1032">
        <v>1</v>
      </c>
      <c r="J49" s="1032">
        <v>1</v>
      </c>
      <c r="K49" s="1032">
        <v>1</v>
      </c>
      <c r="L49" s="1032">
        <v>1</v>
      </c>
      <c r="M49" s="1104" t="s">
        <v>466</v>
      </c>
      <c r="N49" s="1067"/>
      <c r="O49" s="1067"/>
      <c r="P49" s="1067"/>
      <c r="Q49" s="1067"/>
      <c r="R49" s="1067"/>
      <c r="S49" s="1067"/>
      <c r="T49" s="1067"/>
      <c r="U49" s="1067"/>
      <c r="V49" s="1067"/>
      <c r="W49" s="1067"/>
      <c r="X49" s="1067"/>
      <c r="Y49" s="1067"/>
      <c r="Z49" s="1067"/>
      <c r="AA49" s="1068"/>
    </row>
    <row r="50" spans="1:27" ht="12.75">
      <c r="A50" s="66"/>
      <c r="B50" s="32"/>
      <c r="C50" s="191"/>
      <c r="D50" s="191"/>
      <c r="E50" s="191"/>
      <c r="F50" s="191"/>
      <c r="G50" s="191"/>
      <c r="H50" s="191"/>
      <c r="I50" s="191"/>
      <c r="J50" s="191"/>
      <c r="K50" s="191"/>
      <c r="L50" s="191"/>
      <c r="M50" s="18"/>
      <c r="N50" s="18"/>
      <c r="O50" s="18"/>
      <c r="P50" s="18"/>
      <c r="Q50" s="18"/>
      <c r="R50" s="18"/>
      <c r="S50" s="18"/>
      <c r="T50" s="18"/>
      <c r="U50" s="18"/>
      <c r="AA50" s="18"/>
    </row>
    <row r="51" spans="1:27" ht="12.75">
      <c r="A51" s="1093" t="s">
        <v>639</v>
      </c>
      <c r="B51" s="1097"/>
      <c r="C51" s="27"/>
      <c r="D51" s="28"/>
      <c r="E51" s="28"/>
      <c r="F51" s="28"/>
      <c r="G51" s="28"/>
      <c r="H51" s="28"/>
      <c r="I51" s="28"/>
      <c r="J51" s="28"/>
      <c r="K51" s="28"/>
      <c r="L51" s="28"/>
      <c r="M51" s="28"/>
      <c r="N51" s="28"/>
      <c r="O51" s="28"/>
      <c r="P51" s="28"/>
      <c r="Q51" s="28"/>
      <c r="R51" s="28"/>
      <c r="S51" s="28"/>
      <c r="T51" s="28"/>
      <c r="U51" s="28"/>
      <c r="V51" s="29"/>
      <c r="W51" s="29"/>
      <c r="X51" s="29"/>
      <c r="Y51" s="29"/>
      <c r="Z51" s="29"/>
      <c r="AA51" s="29"/>
    </row>
    <row r="52" spans="1:27" ht="12.75">
      <c r="A52" s="3" t="s">
        <v>179</v>
      </c>
      <c r="B52" s="34"/>
      <c r="C52" s="27"/>
      <c r="D52" s="170">
        <f>IF($B$92=2,'Farm Model Assumptions'!B123,0)*D49</f>
        <v>0</v>
      </c>
      <c r="E52" s="168">
        <f>IF($B$92=2,'Farm Model Assumptions'!C123,IF($B$92=3,'Farm Model Assumptions'!B123,0))*E49</f>
        <v>2502.993441606094</v>
      </c>
      <c r="F52" s="170">
        <f>IF($B$92=2,'Farm Model Assumptions'!D123,IF($B$92=3,'Farm Model Assumptions'!C123,IF($B$92=4,'Farm Model Assumptions'!B123,0)))*F49</f>
        <v>3262.5137649347057</v>
      </c>
      <c r="G52" s="168">
        <f>IF($B$92=2,'Farm Model Assumptions'!E123,IF($B$92=3,'Farm Model Assumptions'!D123,IF($B$92=4,'Farm Model Assumptions'!C123,IF($B$92=5,'Farm Model Assumptions'!B123,0))))*G49</f>
        <v>4111.209126489684</v>
      </c>
      <c r="H52" s="170">
        <f>IF($B$92=2,'Farm Model Assumptions'!F123,IF($B$92=3,'Farm Model Assumptions'!E123,IF($B$92=4,'Farm Model Assumptions'!D123,IF($B$92=5,'Farm Model Assumptions'!C123,0))))*H49</f>
        <v>5052.417946078723</v>
      </c>
      <c r="I52" s="168">
        <f>IF($B$92=2,H52,IF($B$92=3,'Farm Model Assumptions'!F123,IF($B$92=4,'Farm Model Assumptions'!E123,IF($B$92=5,'Farm Model Assumptions'!D123,0))))*I49</f>
        <v>5138.998905906496</v>
      </c>
      <c r="J52" s="170">
        <f>IF($B$92=2,I52,IF($B$92=3,I52,IF($B$92=4,'Farm Model Assumptions'!F123,IF($B$92=5,'Farm Model Assumptions'!E123,0))))*J49</f>
        <v>5138.998905906496</v>
      </c>
      <c r="K52" s="168">
        <f>IF($B$92=2,J52,IF($B$92=3,J52,IF($B$92=4,J52,IF($B$92=5,'Farm Model Assumptions'!F123,0))))*K49</f>
        <v>5138.998905906496</v>
      </c>
      <c r="L52" s="170">
        <f>IF($B$92=2,K52,IF($B$92=3,K52,IF($B$92=4,K52,IF($B$92=5,K52,0))))*L49</f>
        <v>5138.998905906496</v>
      </c>
      <c r="M52" s="168">
        <f aca="true" t="shared" si="2" ref="M52:W52">IF($B$92=2,L52,IF($B$92=3,L52,IF($B$92=4,L52,IF($B$92=5,L52,0))))</f>
        <v>5138.998905906496</v>
      </c>
      <c r="N52" s="170">
        <f t="shared" si="2"/>
        <v>5138.998905906496</v>
      </c>
      <c r="O52" s="168">
        <f t="shared" si="2"/>
        <v>5138.998905906496</v>
      </c>
      <c r="P52" s="170">
        <f t="shared" si="2"/>
        <v>5138.998905906496</v>
      </c>
      <c r="Q52" s="168">
        <f t="shared" si="2"/>
        <v>5138.998905906496</v>
      </c>
      <c r="R52" s="170">
        <f t="shared" si="2"/>
        <v>5138.998905906496</v>
      </c>
      <c r="S52" s="168">
        <f t="shared" si="2"/>
        <v>5138.998905906496</v>
      </c>
      <c r="T52" s="170">
        <f t="shared" si="2"/>
        <v>5138.998905906496</v>
      </c>
      <c r="U52" s="170">
        <f t="shared" si="2"/>
        <v>5138.998905906496</v>
      </c>
      <c r="V52" s="170">
        <f t="shared" si="2"/>
        <v>5138.998905906496</v>
      </c>
      <c r="W52" s="170">
        <f t="shared" si="2"/>
        <v>5138.998905906496</v>
      </c>
      <c r="X52" s="170">
        <f aca="true" t="shared" si="3" ref="X52:AA54">IF($B$92=2,0,IF($B$92=3,W52,IF($B$92=4,W52,IF($B$92=5,W52,0))))</f>
        <v>5138.998905906496</v>
      </c>
      <c r="Y52" s="170">
        <f t="shared" si="3"/>
        <v>5138.998905906496</v>
      </c>
      <c r="Z52" s="170">
        <f t="shared" si="3"/>
        <v>5138.998905906496</v>
      </c>
      <c r="AA52" s="170">
        <f t="shared" si="3"/>
        <v>5138.998905906496</v>
      </c>
    </row>
    <row r="53" spans="1:27" ht="12.75">
      <c r="A53" s="7" t="s">
        <v>180</v>
      </c>
      <c r="B53" s="8"/>
      <c r="C53" s="24"/>
      <c r="D53" s="171">
        <f>IF($B$92=2,'Farm Model Assumptions'!B133,0)*D49</f>
        <v>0</v>
      </c>
      <c r="E53" s="60">
        <f>IF($B$92=2,'Farm Model Assumptions'!C133,IF($B$92=3,'Farm Model Assumptions'!B133,0))*E49</f>
        <v>345.96572665641025</v>
      </c>
      <c r="F53" s="171">
        <f>IF($B$92=2,'Farm Model Assumptions'!D133,IF($B$92=3,'Farm Model Assumptions'!C133,IF($B$92=4,'Farm Model Assumptions'!B133,0)))*F49</f>
        <v>413.57759944615384</v>
      </c>
      <c r="G53" s="60">
        <f>IF($B$92=2,'Farm Model Assumptions'!E133,IF($B$92=3,'Farm Model Assumptions'!D133,IF($B$92=4,'Farm Model Assumptions'!C133,IF($B$92=5,'Farm Model Assumptions'!B133,0))))*G49</f>
        <v>473.9690496717949</v>
      </c>
      <c r="H53" s="171">
        <f>IF($B$92=2,'Farm Model Assumptions'!F133,IF($B$92=3,'Farm Model Assumptions'!E133,IF($B$92=4,'Farm Model Assumptions'!D133,IF($B$92=5,'Farm Model Assumptions'!C133,0))))*H49</f>
        <v>538.2989122051282</v>
      </c>
      <c r="I53" s="60">
        <f>IF($B$92=2,H53,IF($B$92=3,'Farm Model Assumptions'!F133,IF($B$92=4,'Farm Model Assumptions'!E133,IF($B$92=5,'Farm Model Assumptions'!D133,0))))*I49</f>
        <v>564.5549942564102</v>
      </c>
      <c r="J53" s="171">
        <f>IF($B$92=2,I53,IF($B$92=3,I53,IF($B$92=4,'Farm Model Assumptions'!F133,IF($B$92=5,'Farm Model Assumptions'!E133,0))))*J49</f>
        <v>564.5549942564102</v>
      </c>
      <c r="K53" s="60">
        <f>IF($B$92=2,J53,IF($B$92=3,J53,IF($B$92=4,J53,IF($B$92=5,'Farm Model Assumptions'!F133,0))))*K49</f>
        <v>564.5549942564102</v>
      </c>
      <c r="L53" s="171">
        <f>IF($B$92=2,K53,IF($B$92=3,K53,IF($B$92=4,K53,IF($B$92=5,K53,0))))*L49</f>
        <v>564.5549942564102</v>
      </c>
      <c r="M53" s="60">
        <f aca="true" t="shared" si="4" ref="M53:W53">IF($B$92=2,L53,IF($B$92=3,L53,IF($B$92=4,L53,IF($B$92=5,L53,0))))</f>
        <v>564.5549942564102</v>
      </c>
      <c r="N53" s="171">
        <f t="shared" si="4"/>
        <v>564.5549942564102</v>
      </c>
      <c r="O53" s="60">
        <f t="shared" si="4"/>
        <v>564.5549942564102</v>
      </c>
      <c r="P53" s="171">
        <f t="shared" si="4"/>
        <v>564.5549942564102</v>
      </c>
      <c r="Q53" s="60">
        <f t="shared" si="4"/>
        <v>564.5549942564102</v>
      </c>
      <c r="R53" s="171">
        <f t="shared" si="4"/>
        <v>564.5549942564102</v>
      </c>
      <c r="S53" s="60">
        <f t="shared" si="4"/>
        <v>564.5549942564102</v>
      </c>
      <c r="T53" s="171">
        <f t="shared" si="4"/>
        <v>564.5549942564102</v>
      </c>
      <c r="U53" s="171">
        <f t="shared" si="4"/>
        <v>564.5549942564102</v>
      </c>
      <c r="V53" s="171">
        <f t="shared" si="4"/>
        <v>564.5549942564102</v>
      </c>
      <c r="W53" s="171">
        <f t="shared" si="4"/>
        <v>564.5549942564102</v>
      </c>
      <c r="X53" s="171">
        <f t="shared" si="3"/>
        <v>564.5549942564102</v>
      </c>
      <c r="Y53" s="171">
        <f t="shared" si="3"/>
        <v>564.5549942564102</v>
      </c>
      <c r="Z53" s="171">
        <f t="shared" si="3"/>
        <v>564.5549942564102</v>
      </c>
      <c r="AA53" s="171">
        <f t="shared" si="3"/>
        <v>564.5549942564102</v>
      </c>
    </row>
    <row r="54" spans="1:27" ht="12.75">
      <c r="A54" s="7" t="s">
        <v>182</v>
      </c>
      <c r="B54" s="8"/>
      <c r="C54" s="24"/>
      <c r="D54" s="171"/>
      <c r="E54" s="60">
        <f>IF($B$92=2,'Farm Model Assumptions'!B134,0)*E49</f>
        <v>0</v>
      </c>
      <c r="F54" s="171">
        <f>IF($B$92=2,'Farm Model Assumptions'!C134,IF($B$92=3,'Farm Model Assumptions'!B134,0))*F49</f>
        <v>1846.7641355803833</v>
      </c>
      <c r="G54" s="60">
        <f>IF($B$92=2,'Farm Model Assumptions'!D134,IF($B$92=3,'Farm Model Assumptions'!C134,IF($B$92=4,'Farm Model Assumptions'!B134,0)))*G49</f>
        <v>2486.6305775077576</v>
      </c>
      <c r="H54" s="171">
        <f>IF($B$92=2,'Farm Model Assumptions'!E134,IF($B$92=3,'Farm Model Assumptions'!D134,IF($B$92=4,'Farm Model Assumptions'!C134,IF($B$92=5,'Farm Model Assumptions'!B134,0))))*H49</f>
        <v>3116.037603046442</v>
      </c>
      <c r="I54" s="60">
        <f>IF($B$92=2,'Farm Model Assumptions'!F134,IF($B$92=3,'Farm Model Assumptions'!E134,IF($B$92=4,'Farm Model Assumptions'!D134,IF($B$92=5,'Farm Model Assumptions'!C134,0))))*I49</f>
        <v>3528.6203839806194</v>
      </c>
      <c r="J54" s="171">
        <f>IF($B$92=2,I54,IF($B$92=3,'Farm Model Assumptions'!F134,IF($B$92=4,'Farm Model Assumptions'!E134,IF($B$92=5,'Farm Model Assumptions'!D134,0))))*J49</f>
        <v>4055.4743691283475</v>
      </c>
      <c r="K54" s="60">
        <f>IF($B$92=2,J54,IF($B$92=3,J54,IF($B$92=4,'Farm Model Assumptions'!F134,IF($B$92=5,'Farm Model Assumptions'!E134,0))))*K49</f>
        <v>4055.4743691283475</v>
      </c>
      <c r="L54" s="171">
        <f>IF($B$92=2,K54,IF($B$92=3,K54,IF($B$92=4,K54,IF($B$92=5,'Farm Model Assumptions'!F134,0))))*L49</f>
        <v>4055.4743691283475</v>
      </c>
      <c r="M54" s="60">
        <f aca="true" t="shared" si="5" ref="M54:W54">IF($B$92=2,L54,IF($B$92=3,L54,IF($B$92=4,L54,IF($B$92=5,L54,0))))</f>
        <v>4055.4743691283475</v>
      </c>
      <c r="N54" s="171">
        <f t="shared" si="5"/>
        <v>4055.4743691283475</v>
      </c>
      <c r="O54" s="60">
        <f t="shared" si="5"/>
        <v>4055.4743691283475</v>
      </c>
      <c r="P54" s="171">
        <f t="shared" si="5"/>
        <v>4055.4743691283475</v>
      </c>
      <c r="Q54" s="60">
        <f t="shared" si="5"/>
        <v>4055.4743691283475</v>
      </c>
      <c r="R54" s="171">
        <f t="shared" si="5"/>
        <v>4055.4743691283475</v>
      </c>
      <c r="S54" s="60">
        <f t="shared" si="5"/>
        <v>4055.4743691283475</v>
      </c>
      <c r="T54" s="171">
        <f t="shared" si="5"/>
        <v>4055.4743691283475</v>
      </c>
      <c r="U54" s="171">
        <f t="shared" si="5"/>
        <v>4055.4743691283475</v>
      </c>
      <c r="V54" s="171">
        <f t="shared" si="5"/>
        <v>4055.4743691283475</v>
      </c>
      <c r="W54" s="171">
        <f t="shared" si="5"/>
        <v>4055.4743691283475</v>
      </c>
      <c r="X54" s="171">
        <f t="shared" si="3"/>
        <v>4055.4743691283475</v>
      </c>
      <c r="Y54" s="171">
        <f t="shared" si="3"/>
        <v>4055.4743691283475</v>
      </c>
      <c r="Z54" s="171">
        <f t="shared" si="3"/>
        <v>4055.4743691283475</v>
      </c>
      <c r="AA54" s="171">
        <f t="shared" si="3"/>
        <v>4055.4743691283475</v>
      </c>
    </row>
    <row r="55" spans="1:27" ht="12.75">
      <c r="A55" s="7" t="s">
        <v>181</v>
      </c>
      <c r="B55" s="8"/>
      <c r="C55" s="24"/>
      <c r="D55" s="171"/>
      <c r="E55" s="60">
        <f>D52*E49</f>
        <v>0</v>
      </c>
      <c r="F55" s="171">
        <f aca="true" t="shared" si="6" ref="F55:L55">+E52*F49</f>
        <v>2252.6940974454847</v>
      </c>
      <c r="G55" s="60">
        <f t="shared" si="6"/>
        <v>3099.38807668797</v>
      </c>
      <c r="H55" s="171">
        <f t="shared" si="6"/>
        <v>4111.209126489684</v>
      </c>
      <c r="I55" s="60">
        <f t="shared" si="6"/>
        <v>5052.417946078723</v>
      </c>
      <c r="J55" s="171">
        <f t="shared" si="6"/>
        <v>5138.998905906496</v>
      </c>
      <c r="K55" s="60">
        <f t="shared" si="6"/>
        <v>5138.998905906496</v>
      </c>
      <c r="L55" s="171">
        <f t="shared" si="6"/>
        <v>5138.998905906496</v>
      </c>
      <c r="M55" s="60">
        <f aca="true" t="shared" si="7" ref="M55:U55">+L52</f>
        <v>5138.998905906496</v>
      </c>
      <c r="N55" s="171">
        <f t="shared" si="7"/>
        <v>5138.998905906496</v>
      </c>
      <c r="O55" s="60">
        <f t="shared" si="7"/>
        <v>5138.998905906496</v>
      </c>
      <c r="P55" s="171">
        <f t="shared" si="7"/>
        <v>5138.998905906496</v>
      </c>
      <c r="Q55" s="60">
        <f t="shared" si="7"/>
        <v>5138.998905906496</v>
      </c>
      <c r="R55" s="171">
        <f t="shared" si="7"/>
        <v>5138.998905906496</v>
      </c>
      <c r="S55" s="60">
        <f t="shared" si="7"/>
        <v>5138.998905906496</v>
      </c>
      <c r="T55" s="171">
        <f t="shared" si="7"/>
        <v>5138.998905906496</v>
      </c>
      <c r="U55" s="171">
        <f t="shared" si="7"/>
        <v>5138.998905906496</v>
      </c>
      <c r="V55" s="171">
        <f aca="true" t="shared" si="8" ref="V55:AA55">+U52</f>
        <v>5138.998905906496</v>
      </c>
      <c r="W55" s="171">
        <f t="shared" si="8"/>
        <v>5138.998905906496</v>
      </c>
      <c r="X55" s="171">
        <f t="shared" si="8"/>
        <v>5138.998905906496</v>
      </c>
      <c r="Y55" s="171">
        <f t="shared" si="8"/>
        <v>5138.998905906496</v>
      </c>
      <c r="Z55" s="171">
        <f t="shared" si="8"/>
        <v>5138.998905906496</v>
      </c>
      <c r="AA55" s="171">
        <f t="shared" si="8"/>
        <v>5138.998905906496</v>
      </c>
    </row>
    <row r="56" spans="1:27" ht="12.75">
      <c r="A56" s="7" t="s">
        <v>184</v>
      </c>
      <c r="B56" s="8"/>
      <c r="C56" s="24"/>
      <c r="D56" s="171"/>
      <c r="E56" s="60">
        <f>D53*E49</f>
        <v>0</v>
      </c>
      <c r="F56" s="171">
        <f aca="true" t="shared" si="9" ref="F56:L56">+E53*F49</f>
        <v>311.36915399076923</v>
      </c>
      <c r="G56" s="60">
        <f t="shared" si="9"/>
        <v>392.89871947384614</v>
      </c>
      <c r="H56" s="171">
        <f t="shared" si="9"/>
        <v>473.9690496717949</v>
      </c>
      <c r="I56" s="60">
        <f t="shared" si="9"/>
        <v>538.2989122051282</v>
      </c>
      <c r="J56" s="171">
        <f t="shared" si="9"/>
        <v>564.5549942564102</v>
      </c>
      <c r="K56" s="60">
        <f t="shared" si="9"/>
        <v>564.5549942564102</v>
      </c>
      <c r="L56" s="171">
        <f t="shared" si="9"/>
        <v>564.5549942564102</v>
      </c>
      <c r="M56" s="60">
        <f aca="true" t="shared" si="10" ref="M56:U56">+L53</f>
        <v>564.5549942564102</v>
      </c>
      <c r="N56" s="171">
        <f t="shared" si="10"/>
        <v>564.5549942564102</v>
      </c>
      <c r="O56" s="60">
        <f t="shared" si="10"/>
        <v>564.5549942564102</v>
      </c>
      <c r="P56" s="171">
        <f t="shared" si="10"/>
        <v>564.5549942564102</v>
      </c>
      <c r="Q56" s="60">
        <f t="shared" si="10"/>
        <v>564.5549942564102</v>
      </c>
      <c r="R56" s="171">
        <f t="shared" si="10"/>
        <v>564.5549942564102</v>
      </c>
      <c r="S56" s="60">
        <f t="shared" si="10"/>
        <v>564.5549942564102</v>
      </c>
      <c r="T56" s="171">
        <f t="shared" si="10"/>
        <v>564.5549942564102</v>
      </c>
      <c r="U56" s="171">
        <f t="shared" si="10"/>
        <v>564.5549942564102</v>
      </c>
      <c r="V56" s="171">
        <f aca="true" t="shared" si="11" ref="V56:Z57">+U53</f>
        <v>564.5549942564102</v>
      </c>
      <c r="W56" s="171">
        <f t="shared" si="11"/>
        <v>564.5549942564102</v>
      </c>
      <c r="X56" s="171">
        <f t="shared" si="11"/>
        <v>564.5549942564102</v>
      </c>
      <c r="Y56" s="171">
        <f t="shared" si="11"/>
        <v>564.5549942564102</v>
      </c>
      <c r="Z56" s="171">
        <f t="shared" si="11"/>
        <v>564.5549942564102</v>
      </c>
      <c r="AA56" s="171">
        <f>+Z53</f>
        <v>564.5549942564102</v>
      </c>
    </row>
    <row r="57" spans="1:27" ht="12.75">
      <c r="A57" s="7" t="s">
        <v>183</v>
      </c>
      <c r="B57" s="8"/>
      <c r="C57" s="24"/>
      <c r="D57" s="171"/>
      <c r="E57" s="60"/>
      <c r="F57" s="171">
        <f>E54*F49</f>
        <v>0</v>
      </c>
      <c r="G57" s="60">
        <f aca="true" t="shared" si="12" ref="G57:L57">+F54*G49</f>
        <v>1754.425928801364</v>
      </c>
      <c r="H57" s="171">
        <f t="shared" si="12"/>
        <v>2486.6305775077576</v>
      </c>
      <c r="I57" s="60">
        <f t="shared" si="12"/>
        <v>3116.037603046442</v>
      </c>
      <c r="J57" s="171">
        <f t="shared" si="12"/>
        <v>3528.6203839806194</v>
      </c>
      <c r="K57" s="60">
        <f t="shared" si="12"/>
        <v>4055.4743691283475</v>
      </c>
      <c r="L57" s="171">
        <f t="shared" si="12"/>
        <v>4055.4743691283475</v>
      </c>
      <c r="M57" s="60">
        <f aca="true" t="shared" si="13" ref="M57:U57">+L54</f>
        <v>4055.4743691283475</v>
      </c>
      <c r="N57" s="171">
        <f t="shared" si="13"/>
        <v>4055.4743691283475</v>
      </c>
      <c r="O57" s="60">
        <f t="shared" si="13"/>
        <v>4055.4743691283475</v>
      </c>
      <c r="P57" s="171">
        <f t="shared" si="13"/>
        <v>4055.4743691283475</v>
      </c>
      <c r="Q57" s="60">
        <f t="shared" si="13"/>
        <v>4055.4743691283475</v>
      </c>
      <c r="R57" s="171">
        <f t="shared" si="13"/>
        <v>4055.4743691283475</v>
      </c>
      <c r="S57" s="60">
        <f t="shared" si="13"/>
        <v>4055.4743691283475</v>
      </c>
      <c r="T57" s="171">
        <f t="shared" si="13"/>
        <v>4055.4743691283475</v>
      </c>
      <c r="U57" s="171">
        <f t="shared" si="13"/>
        <v>4055.4743691283475</v>
      </c>
      <c r="V57" s="171">
        <f t="shared" si="11"/>
        <v>4055.4743691283475</v>
      </c>
      <c r="W57" s="171">
        <f t="shared" si="11"/>
        <v>4055.4743691283475</v>
      </c>
      <c r="X57" s="171">
        <f t="shared" si="11"/>
        <v>4055.4743691283475</v>
      </c>
      <c r="Y57" s="171">
        <f t="shared" si="11"/>
        <v>4055.4743691283475</v>
      </c>
      <c r="Z57" s="171">
        <f t="shared" si="11"/>
        <v>4055.4743691283475</v>
      </c>
      <c r="AA57" s="171">
        <f>+Z54</f>
        <v>4055.4743691283475</v>
      </c>
    </row>
    <row r="58" spans="1:27" ht="12.75">
      <c r="A58" s="7" t="s">
        <v>185</v>
      </c>
      <c r="B58" s="8"/>
      <c r="C58" s="24"/>
      <c r="D58" s="171"/>
      <c r="E58" s="60"/>
      <c r="F58" s="171">
        <f>D52*F49</f>
        <v>0</v>
      </c>
      <c r="G58" s="60">
        <f aca="true" t="shared" si="14" ref="G58:L58">+E52*G49</f>
        <v>2377.8437695257894</v>
      </c>
      <c r="H58" s="171">
        <f t="shared" si="14"/>
        <v>3262.5137649347057</v>
      </c>
      <c r="I58" s="60">
        <f t="shared" si="14"/>
        <v>4111.209126489684</v>
      </c>
      <c r="J58" s="171">
        <f t="shared" si="14"/>
        <v>5052.417946078723</v>
      </c>
      <c r="K58" s="60">
        <f t="shared" si="14"/>
        <v>5138.998905906496</v>
      </c>
      <c r="L58" s="171">
        <f t="shared" si="14"/>
        <v>5138.998905906496</v>
      </c>
      <c r="M58" s="60">
        <f aca="true" t="shared" si="15" ref="M58:U58">+K52</f>
        <v>5138.998905906496</v>
      </c>
      <c r="N58" s="171">
        <f t="shared" si="15"/>
        <v>5138.998905906496</v>
      </c>
      <c r="O58" s="60">
        <f t="shared" si="15"/>
        <v>5138.998905906496</v>
      </c>
      <c r="P58" s="171">
        <f t="shared" si="15"/>
        <v>5138.998905906496</v>
      </c>
      <c r="Q58" s="60">
        <f t="shared" si="15"/>
        <v>5138.998905906496</v>
      </c>
      <c r="R58" s="171">
        <f t="shared" si="15"/>
        <v>5138.998905906496</v>
      </c>
      <c r="S58" s="60">
        <f t="shared" si="15"/>
        <v>5138.998905906496</v>
      </c>
      <c r="T58" s="171">
        <f t="shared" si="15"/>
        <v>5138.998905906496</v>
      </c>
      <c r="U58" s="171">
        <f t="shared" si="15"/>
        <v>5138.998905906496</v>
      </c>
      <c r="V58" s="171">
        <f aca="true" t="shared" si="16" ref="V58:AA60">+T52</f>
        <v>5138.998905906496</v>
      </c>
      <c r="W58" s="171">
        <f t="shared" si="16"/>
        <v>5138.998905906496</v>
      </c>
      <c r="X58" s="171">
        <f t="shared" si="16"/>
        <v>5138.998905906496</v>
      </c>
      <c r="Y58" s="171">
        <f t="shared" si="16"/>
        <v>5138.998905906496</v>
      </c>
      <c r="Z58" s="171">
        <f t="shared" si="16"/>
        <v>5138.998905906496</v>
      </c>
      <c r="AA58" s="171">
        <f t="shared" si="16"/>
        <v>5138.998905906496</v>
      </c>
    </row>
    <row r="59" spans="1:27" ht="12.75">
      <c r="A59" s="7" t="s">
        <v>187</v>
      </c>
      <c r="B59" s="8"/>
      <c r="C59" s="24"/>
      <c r="D59" s="20"/>
      <c r="E59" s="18"/>
      <c r="F59" s="20">
        <f>D53*F49</f>
        <v>0</v>
      </c>
      <c r="G59" s="18">
        <f aca="true" t="shared" si="17" ref="G59:L59">+E53*G49</f>
        <v>328.66744032358974</v>
      </c>
      <c r="H59" s="20">
        <f t="shared" si="17"/>
        <v>413.57759944615384</v>
      </c>
      <c r="I59" s="18">
        <f t="shared" si="17"/>
        <v>473.9690496717949</v>
      </c>
      <c r="J59" s="20">
        <f t="shared" si="17"/>
        <v>538.2989122051282</v>
      </c>
      <c r="K59" s="18">
        <f t="shared" si="17"/>
        <v>564.5549942564102</v>
      </c>
      <c r="L59" s="20">
        <f t="shared" si="17"/>
        <v>564.5549942564102</v>
      </c>
      <c r="M59" s="18">
        <f aca="true" t="shared" si="18" ref="M59:U60">+K53</f>
        <v>564.5549942564102</v>
      </c>
      <c r="N59" s="20">
        <f t="shared" si="18"/>
        <v>564.5549942564102</v>
      </c>
      <c r="O59" s="18">
        <f t="shared" si="18"/>
        <v>564.5549942564102</v>
      </c>
      <c r="P59" s="20">
        <f t="shared" si="18"/>
        <v>564.5549942564102</v>
      </c>
      <c r="Q59" s="18">
        <f t="shared" si="18"/>
        <v>564.5549942564102</v>
      </c>
      <c r="R59" s="20">
        <f t="shared" si="18"/>
        <v>564.5549942564102</v>
      </c>
      <c r="S59" s="18">
        <f t="shared" si="18"/>
        <v>564.5549942564102</v>
      </c>
      <c r="T59" s="20">
        <f t="shared" si="18"/>
        <v>564.5549942564102</v>
      </c>
      <c r="U59" s="20">
        <f t="shared" si="18"/>
        <v>564.5549942564102</v>
      </c>
      <c r="V59" s="20">
        <f t="shared" si="16"/>
        <v>564.5549942564102</v>
      </c>
      <c r="W59" s="20">
        <f t="shared" si="16"/>
        <v>564.5549942564102</v>
      </c>
      <c r="X59" s="20">
        <f t="shared" si="16"/>
        <v>564.5549942564102</v>
      </c>
      <c r="Y59" s="20">
        <f t="shared" si="16"/>
        <v>564.5549942564102</v>
      </c>
      <c r="Z59" s="20">
        <f t="shared" si="16"/>
        <v>564.5549942564102</v>
      </c>
      <c r="AA59" s="20">
        <f t="shared" si="16"/>
        <v>564.5549942564102</v>
      </c>
    </row>
    <row r="60" spans="1:29" ht="12.75">
      <c r="A60" s="7" t="s">
        <v>186</v>
      </c>
      <c r="B60" s="8"/>
      <c r="C60" s="24"/>
      <c r="D60" s="20"/>
      <c r="E60" s="18"/>
      <c r="F60" s="20"/>
      <c r="G60" s="18">
        <f aca="true" t="shared" si="19" ref="G60:L60">+E54*G49</f>
        <v>0</v>
      </c>
      <c r="H60" s="20">
        <f t="shared" si="19"/>
        <v>1846.7641355803833</v>
      </c>
      <c r="I60" s="18">
        <f t="shared" si="19"/>
        <v>2486.6305775077576</v>
      </c>
      <c r="J60" s="20">
        <f t="shared" si="19"/>
        <v>3116.037603046442</v>
      </c>
      <c r="K60" s="18">
        <f t="shared" si="19"/>
        <v>3528.6203839806194</v>
      </c>
      <c r="L60" s="20">
        <f t="shared" si="19"/>
        <v>4055.4743691283475</v>
      </c>
      <c r="M60" s="18">
        <f t="shared" si="18"/>
        <v>4055.4743691283475</v>
      </c>
      <c r="N60" s="20">
        <f t="shared" si="18"/>
        <v>4055.4743691283475</v>
      </c>
      <c r="O60" s="18">
        <f t="shared" si="18"/>
        <v>4055.4743691283475</v>
      </c>
      <c r="P60" s="20">
        <f t="shared" si="18"/>
        <v>4055.4743691283475</v>
      </c>
      <c r="Q60" s="18">
        <f t="shared" si="18"/>
        <v>4055.4743691283475</v>
      </c>
      <c r="R60" s="20">
        <f t="shared" si="18"/>
        <v>4055.4743691283475</v>
      </c>
      <c r="S60" s="18">
        <f t="shared" si="18"/>
        <v>4055.4743691283475</v>
      </c>
      <c r="T60" s="20">
        <f t="shared" si="18"/>
        <v>4055.4743691283475</v>
      </c>
      <c r="U60" s="20">
        <f t="shared" si="18"/>
        <v>4055.4743691283475</v>
      </c>
      <c r="V60" s="20">
        <f t="shared" si="16"/>
        <v>4055.4743691283475</v>
      </c>
      <c r="W60" s="20">
        <f t="shared" si="16"/>
        <v>4055.4743691283475</v>
      </c>
      <c r="X60" s="20">
        <f t="shared" si="16"/>
        <v>4055.4743691283475</v>
      </c>
      <c r="Y60" s="20">
        <f t="shared" si="16"/>
        <v>4055.4743691283475</v>
      </c>
      <c r="Z60" s="20">
        <f t="shared" si="16"/>
        <v>4055.4743691283475</v>
      </c>
      <c r="AA60" s="20">
        <f t="shared" si="16"/>
        <v>4055.4743691283475</v>
      </c>
      <c r="AB60" s="1"/>
      <c r="AC60" s="1"/>
    </row>
    <row r="61" spans="1:27" ht="12.75" hidden="1">
      <c r="A61" s="7" t="s">
        <v>605</v>
      </c>
      <c r="B61" s="8"/>
      <c r="C61" s="24"/>
      <c r="D61" s="20"/>
      <c r="E61" s="18">
        <f>IF($B$92=2,'Farm Model Assumptions'!H32,0)</f>
        <v>0</v>
      </c>
      <c r="F61" s="20">
        <f>IF($B$92=2,'Farm Model Assumptions'!I32,IF($B$92=3,'Farm Model Assumptions'!H32,0))</f>
        <v>0</v>
      </c>
      <c r="G61" s="18">
        <f>IF($B$92=2,'Farm Model Assumptions'!J32,IF($B$92=3,'Farm Model Assumptions'!I32,IF($B$92=4,'Farm Model Assumptions'!H32,0)))</f>
        <v>0</v>
      </c>
      <c r="H61" s="20">
        <f>IF($B$92=2,'Farm Model Assumptions'!K32,IF($B$92=3,'Farm Model Assumptions'!J32,IF($B$92=4,'Farm Model Assumptions'!I32,IF($B$92=5,'Farm Model Assumptions'!H32,0))))</f>
        <v>0</v>
      </c>
      <c r="I61" s="18">
        <f>IF($B$92=2,H61,IF($B$92=3,'Farm Model Assumptions'!K32,IF($B$92=4,'Farm Model Assumptions'!J32,IF($B$92=5,'Farm Model Assumptions'!I32,0))))</f>
        <v>0</v>
      </c>
      <c r="J61" s="20">
        <f>IF($B$92=2,I61,IF($B$92=3,I61,IF($B$92=4,'Farm Model Assumptions'!K32,IF($B$92=5,'Farm Model Assumptions'!J32,0))))</f>
        <v>0</v>
      </c>
      <c r="K61" s="18">
        <f>IF($B$92=2,J61,IF($B$92=3,J61,IF($B$92=4,J61,IF($B$92=5,'Farm Model Assumptions'!K32,0))))</f>
        <v>0</v>
      </c>
      <c r="L61" s="20">
        <f aca="true" t="shared" si="20" ref="L61:V61">IF($B$92=2,K61,IF($B$92=3,K61,IF($B$92=4,K61,IF($B$92=5,K61,0))))</f>
        <v>0</v>
      </c>
      <c r="M61" s="18">
        <f t="shared" si="20"/>
        <v>0</v>
      </c>
      <c r="N61" s="20">
        <f t="shared" si="20"/>
        <v>0</v>
      </c>
      <c r="O61" s="18">
        <f t="shared" si="20"/>
        <v>0</v>
      </c>
      <c r="P61" s="20">
        <f t="shared" si="20"/>
        <v>0</v>
      </c>
      <c r="Q61" s="18">
        <f t="shared" si="20"/>
        <v>0</v>
      </c>
      <c r="R61" s="20">
        <f t="shared" si="20"/>
        <v>0</v>
      </c>
      <c r="S61" s="18">
        <f t="shared" si="20"/>
        <v>0</v>
      </c>
      <c r="T61" s="20">
        <f t="shared" si="20"/>
        <v>0</v>
      </c>
      <c r="U61" s="20">
        <f t="shared" si="20"/>
        <v>0</v>
      </c>
      <c r="V61" s="20">
        <f t="shared" si="20"/>
        <v>0</v>
      </c>
      <c r="W61" s="20">
        <f>IF($B$92=2,V61,IF($B$92=3,V61,IF($B$92=4,V61,IF($B$92=5,V61,0))))</f>
        <v>0</v>
      </c>
      <c r="X61" s="20">
        <f>IF($B$92=2,0,IF($B$92=3,W61,IF($B$92=4,W61,IF($B$92=5,W61,0))))</f>
        <v>0</v>
      </c>
      <c r="Y61" s="20">
        <f>IF($B$92=2,0,IF($B$92=3,0,IF($B$92=4,X61,IF($B$92=5,X61,0))))</f>
        <v>0</v>
      </c>
      <c r="Z61" s="20">
        <f>IF($B$92=2,0,IF($B$92=3,0,IF($B$92=4,0,IF($B$92=5,Y61,0))))</f>
        <v>0</v>
      </c>
      <c r="AA61" s="20">
        <f>IF($B$92=2,0,IF($B$92=3,0,IF($B$92=4,0,IF($B$92=5,Z61,0))))</f>
        <v>0</v>
      </c>
    </row>
    <row r="62" spans="1:27" ht="12.75" hidden="1">
      <c r="A62" s="7" t="s">
        <v>606</v>
      </c>
      <c r="B62" s="8"/>
      <c r="C62" s="24"/>
      <c r="D62" s="20"/>
      <c r="E62" s="18"/>
      <c r="F62" s="20">
        <f>E61</f>
        <v>0</v>
      </c>
      <c r="G62" s="18">
        <f>+F61</f>
        <v>0</v>
      </c>
      <c r="H62" s="20">
        <f>+G61</f>
        <v>0</v>
      </c>
      <c r="I62" s="18">
        <f>+H61</f>
        <v>0</v>
      </c>
      <c r="J62" s="20">
        <f>+I61</f>
        <v>0</v>
      </c>
      <c r="K62" s="18">
        <f>+J61</f>
        <v>0</v>
      </c>
      <c r="L62" s="20">
        <f aca="true" t="shared" si="21" ref="L62:V63">+K61</f>
        <v>0</v>
      </c>
      <c r="M62" s="18">
        <f t="shared" si="21"/>
        <v>0</v>
      </c>
      <c r="N62" s="20">
        <f t="shared" si="21"/>
        <v>0</v>
      </c>
      <c r="O62" s="18">
        <f t="shared" si="21"/>
        <v>0</v>
      </c>
      <c r="P62" s="20">
        <f t="shared" si="21"/>
        <v>0</v>
      </c>
      <c r="Q62" s="18">
        <f t="shared" si="21"/>
        <v>0</v>
      </c>
      <c r="R62" s="20">
        <f t="shared" si="21"/>
        <v>0</v>
      </c>
      <c r="S62" s="18">
        <f>+R61</f>
        <v>0</v>
      </c>
      <c r="T62" s="20">
        <f t="shared" si="21"/>
        <v>0</v>
      </c>
      <c r="U62" s="20">
        <f t="shared" si="21"/>
        <v>0</v>
      </c>
      <c r="V62" s="20">
        <f t="shared" si="21"/>
        <v>0</v>
      </c>
      <c r="W62" s="20">
        <f aca="true" t="shared" si="22" ref="W62:AA63">+V61</f>
        <v>0</v>
      </c>
      <c r="X62" s="20">
        <f t="shared" si="22"/>
        <v>0</v>
      </c>
      <c r="Y62" s="20">
        <f t="shared" si="22"/>
        <v>0</v>
      </c>
      <c r="Z62" s="20">
        <f t="shared" si="22"/>
        <v>0</v>
      </c>
      <c r="AA62" s="20">
        <f t="shared" si="22"/>
        <v>0</v>
      </c>
    </row>
    <row r="63" spans="1:27" ht="12.75" hidden="1">
      <c r="A63" s="5" t="s">
        <v>607</v>
      </c>
      <c r="B63" s="6"/>
      <c r="C63" s="169"/>
      <c r="D63" s="37"/>
      <c r="E63" s="19"/>
      <c r="F63" s="37"/>
      <c r="G63" s="19">
        <f>E61</f>
        <v>0</v>
      </c>
      <c r="H63" s="37">
        <f>+F61</f>
        <v>0</v>
      </c>
      <c r="I63" s="19">
        <f>+G61</f>
        <v>0</v>
      </c>
      <c r="J63" s="37">
        <f>+H61</f>
        <v>0</v>
      </c>
      <c r="K63" s="19">
        <f>+I61</f>
        <v>0</v>
      </c>
      <c r="L63" s="37">
        <f t="shared" si="21"/>
        <v>0</v>
      </c>
      <c r="M63" s="19">
        <f t="shared" si="21"/>
        <v>0</v>
      </c>
      <c r="N63" s="37">
        <f t="shared" si="21"/>
        <v>0</v>
      </c>
      <c r="O63" s="19">
        <f t="shared" si="21"/>
        <v>0</v>
      </c>
      <c r="P63" s="37">
        <f t="shared" si="21"/>
        <v>0</v>
      </c>
      <c r="Q63" s="19">
        <f t="shared" si="21"/>
        <v>0</v>
      </c>
      <c r="R63" s="37">
        <f t="shared" si="21"/>
        <v>0</v>
      </c>
      <c r="S63" s="19">
        <f t="shared" si="21"/>
        <v>0</v>
      </c>
      <c r="T63" s="37">
        <f>+S62</f>
        <v>0</v>
      </c>
      <c r="U63" s="37">
        <f t="shared" si="21"/>
        <v>0</v>
      </c>
      <c r="V63" s="37">
        <f t="shared" si="21"/>
        <v>0</v>
      </c>
      <c r="W63" s="37">
        <f t="shared" si="22"/>
        <v>0</v>
      </c>
      <c r="X63" s="37">
        <f t="shared" si="22"/>
        <v>0</v>
      </c>
      <c r="Y63" s="37">
        <f t="shared" si="22"/>
        <v>0</v>
      </c>
      <c r="Z63" s="37">
        <f t="shared" si="22"/>
        <v>0</v>
      </c>
      <c r="AA63" s="37">
        <f t="shared" si="22"/>
        <v>0</v>
      </c>
    </row>
    <row r="64" spans="1:27" ht="12.75" hidden="1">
      <c r="A64" s="7" t="s">
        <v>35</v>
      </c>
      <c r="B64" s="8"/>
      <c r="C64" s="24"/>
      <c r="D64" s="20"/>
      <c r="E64" s="18">
        <f>IF($B$92=2,'Farm Model Assumptions'!L10,0)</f>
        <v>0</v>
      </c>
      <c r="F64" s="20">
        <f>IF($B$92=2,'Farm Model Assumptions'!M10,IF($B$92=3,'Farm Model Assumptions'!L10,0))</f>
        <v>0</v>
      </c>
      <c r="G64" s="20">
        <f>IF($B$92=2,'Farm Model Assumptions'!N10,IF($B$92=3,'Farm Model Assumptions'!M10,IF($B$92=4,'Farm Model Assumptions'!L10,0)))</f>
        <v>0</v>
      </c>
      <c r="H64" s="20">
        <f>IF($B$92=2,'Farm Model Assumptions'!O10,IF($B$92=3,'Farm Model Assumptions'!N10,IF($B$92=4,'Farm Model Assumptions'!M10,IF($B$92=5,'Farm Model Assumptions'!L10,0))))</f>
        <v>0</v>
      </c>
      <c r="I64" s="20">
        <f>IF($B$92=2,'Farm Model Assumptions'!P10,IF($B$92=3,'Farm Model Assumptions'!O10,IF($B$92=4,'Farm Model Assumptions'!N10,IF($B$92=5,'Farm Model Assumptions'!M10,0))))</f>
        <v>0</v>
      </c>
      <c r="J64" s="20">
        <f>IF($B$92=2,'Farm Model Assumptions'!Q10,IF($B$92=3,'Farm Model Assumptions'!P10,IF($B$92=4,'Farm Model Assumptions'!O10,IF($B$92=5,'Farm Model Assumptions'!N10,0))))</f>
        <v>0</v>
      </c>
      <c r="K64" s="20">
        <f>IF($B$92=2,J64,IF($B$92=3,'Farm Model Assumptions'!Q10,IF($B$92=4,'Farm Model Assumptions'!P10,IF($B$92=5,'Farm Model Assumptions'!O10,0))))</f>
        <v>0</v>
      </c>
      <c r="L64" s="20">
        <f>IF($B$92=2,K64,IF($B$92=3,K64,IF($B$92=4,'Farm Model Assumptions'!Q10,IF($B$92=5,'Farm Model Assumptions'!P10,0))))</f>
        <v>0</v>
      </c>
      <c r="M64" s="20">
        <f>IF($B$92=2,L64,IF($B$92=3,L64,IF($B$92=4,L64,IF($B$92=5,'Farm Model Assumptions'!Q10,0))))</f>
        <v>0</v>
      </c>
      <c r="N64" s="20">
        <f>IF($B$92=2,M64,IF($B$92=3,M64,IF($B$92=4,M64,IF($B$92=5,M64,0))))</f>
        <v>0</v>
      </c>
      <c r="O64" s="18">
        <f aca="true" t="shared" si="23" ref="O64:W64">IF($B$92=2,N64,IF($B$92=3,N64,IF($B$92=4,N64,IF($B$92=5,N64,0))))</f>
        <v>0</v>
      </c>
      <c r="P64" s="20">
        <f t="shared" si="23"/>
        <v>0</v>
      </c>
      <c r="Q64" s="18">
        <f t="shared" si="23"/>
        <v>0</v>
      </c>
      <c r="R64" s="20">
        <f t="shared" si="23"/>
        <v>0</v>
      </c>
      <c r="S64" s="18">
        <f t="shared" si="23"/>
        <v>0</v>
      </c>
      <c r="T64" s="20">
        <f t="shared" si="23"/>
        <v>0</v>
      </c>
      <c r="U64" s="20">
        <f t="shared" si="23"/>
        <v>0</v>
      </c>
      <c r="V64" s="20">
        <f t="shared" si="23"/>
        <v>0</v>
      </c>
      <c r="W64" s="20">
        <f t="shared" si="23"/>
        <v>0</v>
      </c>
      <c r="X64" s="20">
        <f>IF($B$92=2,0,IF($B$92=3,W64,IF($B$92=4,W64,IF($B$92=5,W64,0))))</f>
        <v>0</v>
      </c>
      <c r="Y64" s="20">
        <f>IF($B$92=2,0,IF($B$92=3,0,IF($B$92=4,X64,IF($B$92=5,X64,0))))</f>
        <v>0</v>
      </c>
      <c r="Z64" s="20">
        <f>IF($B$92=2,0,IF($B$92=3,0,IF($B$92=4,0,IF($B$92=5,Y64,0))))</f>
        <v>0</v>
      </c>
      <c r="AA64" s="20">
        <f>IF($B$92=2,0,IF($B$92=3,0,IF($B$92=4,0,IF($B$92=5,Z64,0))))</f>
        <v>0</v>
      </c>
    </row>
    <row r="65" spans="1:27" ht="12.75" hidden="1">
      <c r="A65" s="7" t="s">
        <v>36</v>
      </c>
      <c r="B65" s="8"/>
      <c r="C65" s="24"/>
      <c r="D65" s="20"/>
      <c r="E65" s="18"/>
      <c r="F65" s="20">
        <f>E64</f>
        <v>0</v>
      </c>
      <c r="G65" s="18">
        <f aca="true" t="shared" si="24" ref="G65:AA66">F64</f>
        <v>0</v>
      </c>
      <c r="H65" s="20">
        <f t="shared" si="24"/>
        <v>0</v>
      </c>
      <c r="I65" s="18">
        <f t="shared" si="24"/>
        <v>0</v>
      </c>
      <c r="J65" s="20">
        <f t="shared" si="24"/>
        <v>0</v>
      </c>
      <c r="K65" s="18">
        <f t="shared" si="24"/>
        <v>0</v>
      </c>
      <c r="L65" s="20">
        <f t="shared" si="24"/>
        <v>0</v>
      </c>
      <c r="M65" s="20">
        <f t="shared" si="24"/>
        <v>0</v>
      </c>
      <c r="N65" s="20">
        <f t="shared" si="24"/>
        <v>0</v>
      </c>
      <c r="O65" s="18">
        <f t="shared" si="24"/>
        <v>0</v>
      </c>
      <c r="P65" s="20">
        <f t="shared" si="24"/>
        <v>0</v>
      </c>
      <c r="Q65" s="18">
        <f t="shared" si="24"/>
        <v>0</v>
      </c>
      <c r="R65" s="20">
        <f t="shared" si="24"/>
        <v>0</v>
      </c>
      <c r="S65" s="18">
        <f t="shared" si="24"/>
        <v>0</v>
      </c>
      <c r="T65" s="20">
        <f t="shared" si="24"/>
        <v>0</v>
      </c>
      <c r="U65" s="20">
        <f t="shared" si="24"/>
        <v>0</v>
      </c>
      <c r="V65" s="20">
        <f t="shared" si="24"/>
        <v>0</v>
      </c>
      <c r="W65" s="20">
        <f t="shared" si="24"/>
        <v>0</v>
      </c>
      <c r="X65" s="20">
        <f t="shared" si="24"/>
        <v>0</v>
      </c>
      <c r="Y65" s="20">
        <f t="shared" si="24"/>
        <v>0</v>
      </c>
      <c r="Z65" s="20">
        <f t="shared" si="24"/>
        <v>0</v>
      </c>
      <c r="AA65" s="20">
        <f t="shared" si="24"/>
        <v>0</v>
      </c>
    </row>
    <row r="66" spans="1:27" ht="12.75" hidden="1">
      <c r="A66" s="7" t="s">
        <v>37</v>
      </c>
      <c r="B66" s="8"/>
      <c r="C66" s="24"/>
      <c r="D66" s="20"/>
      <c r="E66" s="18"/>
      <c r="F66" s="20"/>
      <c r="G66" s="18">
        <f>F65</f>
        <v>0</v>
      </c>
      <c r="H66" s="20">
        <f t="shared" si="24"/>
        <v>0</v>
      </c>
      <c r="I66" s="18">
        <f t="shared" si="24"/>
        <v>0</v>
      </c>
      <c r="J66" s="20">
        <f t="shared" si="24"/>
        <v>0</v>
      </c>
      <c r="K66" s="18">
        <f t="shared" si="24"/>
        <v>0</v>
      </c>
      <c r="L66" s="20">
        <f t="shared" si="24"/>
        <v>0</v>
      </c>
      <c r="M66" s="18">
        <f t="shared" si="24"/>
        <v>0</v>
      </c>
      <c r="N66" s="20">
        <f t="shared" si="24"/>
        <v>0</v>
      </c>
      <c r="O66" s="18">
        <f t="shared" si="24"/>
        <v>0</v>
      </c>
      <c r="P66" s="20">
        <f t="shared" si="24"/>
        <v>0</v>
      </c>
      <c r="Q66" s="18">
        <f t="shared" si="24"/>
        <v>0</v>
      </c>
      <c r="R66" s="20">
        <f t="shared" si="24"/>
        <v>0</v>
      </c>
      <c r="S66" s="18">
        <f t="shared" si="24"/>
        <v>0</v>
      </c>
      <c r="T66" s="20">
        <f t="shared" si="24"/>
        <v>0</v>
      </c>
      <c r="U66" s="20">
        <f t="shared" si="24"/>
        <v>0</v>
      </c>
      <c r="V66" s="20">
        <f t="shared" si="24"/>
        <v>0</v>
      </c>
      <c r="W66" s="20">
        <f t="shared" si="24"/>
        <v>0</v>
      </c>
      <c r="X66" s="20">
        <f t="shared" si="24"/>
        <v>0</v>
      </c>
      <c r="Y66" s="20">
        <f t="shared" si="24"/>
        <v>0</v>
      </c>
      <c r="Z66" s="20">
        <f t="shared" si="24"/>
        <v>0</v>
      </c>
      <c r="AA66" s="20">
        <f t="shared" si="24"/>
        <v>0</v>
      </c>
    </row>
    <row r="67" spans="1:27" ht="12.75" hidden="1">
      <c r="A67" s="7" t="s">
        <v>38</v>
      </c>
      <c r="B67" s="8"/>
      <c r="C67" s="24"/>
      <c r="D67" s="20"/>
      <c r="E67" s="18"/>
      <c r="F67" s="20"/>
      <c r="G67" s="18"/>
      <c r="H67" s="20"/>
      <c r="I67" s="18"/>
      <c r="J67" s="20"/>
      <c r="K67" s="18"/>
      <c r="L67" s="20">
        <f>'Farm Model Assumptions'!L15:N15</f>
        <v>0</v>
      </c>
      <c r="M67" s="18">
        <f>L67</f>
        <v>0</v>
      </c>
      <c r="N67" s="20">
        <f aca="true" t="shared" si="25" ref="N67:W67">M67</f>
        <v>0</v>
      </c>
      <c r="O67" s="18">
        <f t="shared" si="25"/>
        <v>0</v>
      </c>
      <c r="P67" s="20">
        <f t="shared" si="25"/>
        <v>0</v>
      </c>
      <c r="Q67" s="18">
        <f t="shared" si="25"/>
        <v>0</v>
      </c>
      <c r="R67" s="20">
        <f t="shared" si="25"/>
        <v>0</v>
      </c>
      <c r="S67" s="18">
        <f t="shared" si="25"/>
        <v>0</v>
      </c>
      <c r="T67" s="20">
        <f t="shared" si="25"/>
        <v>0</v>
      </c>
      <c r="U67" s="20">
        <f t="shared" si="25"/>
        <v>0</v>
      </c>
      <c r="V67" s="20">
        <f t="shared" si="25"/>
        <v>0</v>
      </c>
      <c r="W67" s="20">
        <f t="shared" si="25"/>
        <v>0</v>
      </c>
      <c r="X67" s="20">
        <f>IF($B$92=2,0,IF($B$92=3,W67,IF($B$92=4,W67,IF($B$92=5,W67,0))))</f>
        <v>0</v>
      </c>
      <c r="Y67" s="20">
        <f>IF($B$92=2,0,IF($B$92=3,0,IF($B$92=4,X67,IF($B$92=5,X67,0))))</f>
        <v>0</v>
      </c>
      <c r="Z67" s="20">
        <f>IF($B$92=2,0,IF($B$92=3,0,IF($B$92=4,0,IF($B$92=5,Y67,0))))</f>
        <v>0</v>
      </c>
      <c r="AA67" s="20">
        <f>IF($B$92=2,0,IF($B$92=3,0,IF($B$92=4,0,IF($B$92=5,Z67,0))))</f>
        <v>0</v>
      </c>
    </row>
    <row r="68" spans="1:27" ht="12.75" hidden="1">
      <c r="A68" s="7" t="s">
        <v>39</v>
      </c>
      <c r="B68" s="8"/>
      <c r="C68" s="24"/>
      <c r="D68" s="20"/>
      <c r="E68" s="18"/>
      <c r="F68" s="20"/>
      <c r="G68" s="18"/>
      <c r="H68" s="20"/>
      <c r="I68" s="18"/>
      <c r="J68" s="20"/>
      <c r="K68" s="18"/>
      <c r="L68" s="20"/>
      <c r="M68" s="18">
        <f>L67</f>
        <v>0</v>
      </c>
      <c r="N68" s="20">
        <f aca="true" t="shared" si="26" ref="N68:AA69">M67</f>
        <v>0</v>
      </c>
      <c r="O68" s="18">
        <f t="shared" si="26"/>
        <v>0</v>
      </c>
      <c r="P68" s="20">
        <f t="shared" si="26"/>
        <v>0</v>
      </c>
      <c r="Q68" s="18">
        <f t="shared" si="26"/>
        <v>0</v>
      </c>
      <c r="R68" s="20">
        <f t="shared" si="26"/>
        <v>0</v>
      </c>
      <c r="S68" s="18">
        <f t="shared" si="26"/>
        <v>0</v>
      </c>
      <c r="T68" s="20">
        <f t="shared" si="26"/>
        <v>0</v>
      </c>
      <c r="U68" s="20">
        <f t="shared" si="26"/>
        <v>0</v>
      </c>
      <c r="V68" s="20">
        <f t="shared" si="26"/>
        <v>0</v>
      </c>
      <c r="W68" s="20">
        <f t="shared" si="26"/>
        <v>0</v>
      </c>
      <c r="X68" s="20">
        <f t="shared" si="26"/>
        <v>0</v>
      </c>
      <c r="Y68" s="20">
        <f t="shared" si="26"/>
        <v>0</v>
      </c>
      <c r="Z68" s="20">
        <f t="shared" si="26"/>
        <v>0</v>
      </c>
      <c r="AA68" s="20">
        <f t="shared" si="26"/>
        <v>0</v>
      </c>
    </row>
    <row r="69" spans="1:27" ht="12.75" hidden="1">
      <c r="A69" s="7" t="s">
        <v>40</v>
      </c>
      <c r="B69" s="8"/>
      <c r="C69" s="24"/>
      <c r="D69" s="20"/>
      <c r="E69" s="18"/>
      <c r="F69" s="20"/>
      <c r="G69" s="18"/>
      <c r="H69" s="20"/>
      <c r="I69" s="18"/>
      <c r="J69" s="20"/>
      <c r="K69" s="18"/>
      <c r="L69" s="20"/>
      <c r="M69" s="18"/>
      <c r="N69" s="20">
        <f>M68</f>
        <v>0</v>
      </c>
      <c r="O69" s="18">
        <f t="shared" si="26"/>
        <v>0</v>
      </c>
      <c r="P69" s="20">
        <f t="shared" si="26"/>
        <v>0</v>
      </c>
      <c r="Q69" s="18">
        <f t="shared" si="26"/>
        <v>0</v>
      </c>
      <c r="R69" s="20">
        <f t="shared" si="26"/>
        <v>0</v>
      </c>
      <c r="S69" s="18">
        <f t="shared" si="26"/>
        <v>0</v>
      </c>
      <c r="T69" s="20">
        <f t="shared" si="26"/>
        <v>0</v>
      </c>
      <c r="U69" s="20">
        <f t="shared" si="26"/>
        <v>0</v>
      </c>
      <c r="V69" s="20">
        <f t="shared" si="26"/>
        <v>0</v>
      </c>
      <c r="W69" s="20">
        <f t="shared" si="26"/>
        <v>0</v>
      </c>
      <c r="X69" s="20">
        <f t="shared" si="26"/>
        <v>0</v>
      </c>
      <c r="Y69" s="20">
        <f t="shared" si="26"/>
        <v>0</v>
      </c>
      <c r="Z69" s="20">
        <f t="shared" si="26"/>
        <v>0</v>
      </c>
      <c r="AA69" s="20">
        <f t="shared" si="26"/>
        <v>0</v>
      </c>
    </row>
    <row r="70" spans="1:27" ht="12.75">
      <c r="A70" s="3" t="s">
        <v>202</v>
      </c>
      <c r="B70" s="4"/>
      <c r="C70" s="27">
        <f>+C52+C53+C55+C56+C58+C59</f>
        <v>0</v>
      </c>
      <c r="D70" s="36">
        <f aca="true" t="shared" si="27" ref="D70:V70">+D52+D53+D55+D56+D58+D59</f>
        <v>0</v>
      </c>
      <c r="E70" s="28">
        <f t="shared" si="27"/>
        <v>2848.9591682625046</v>
      </c>
      <c r="F70" s="36">
        <f t="shared" si="27"/>
        <v>6240.154615817114</v>
      </c>
      <c r="G70" s="28">
        <f t="shared" si="27"/>
        <v>10783.976182172675</v>
      </c>
      <c r="H70" s="36">
        <f t="shared" si="27"/>
        <v>13851.98639882619</v>
      </c>
      <c r="I70" s="28">
        <f t="shared" si="27"/>
        <v>15879.448934608234</v>
      </c>
      <c r="J70" s="36">
        <f t="shared" si="27"/>
        <v>16997.824658609665</v>
      </c>
      <c r="K70" s="28">
        <f t="shared" si="27"/>
        <v>17110.661700488716</v>
      </c>
      <c r="L70" s="36">
        <f t="shared" si="27"/>
        <v>17110.661700488716</v>
      </c>
      <c r="M70" s="28">
        <f t="shared" si="27"/>
        <v>17110.661700488716</v>
      </c>
      <c r="N70" s="36">
        <f t="shared" si="27"/>
        <v>17110.661700488716</v>
      </c>
      <c r="O70" s="28">
        <f t="shared" si="27"/>
        <v>17110.661700488716</v>
      </c>
      <c r="P70" s="36">
        <f t="shared" si="27"/>
        <v>17110.661700488716</v>
      </c>
      <c r="Q70" s="28">
        <f t="shared" si="27"/>
        <v>17110.661700488716</v>
      </c>
      <c r="R70" s="36">
        <f t="shared" si="27"/>
        <v>17110.661700488716</v>
      </c>
      <c r="S70" s="28">
        <f t="shared" si="27"/>
        <v>17110.661700488716</v>
      </c>
      <c r="T70" s="36">
        <f t="shared" si="27"/>
        <v>17110.661700488716</v>
      </c>
      <c r="U70" s="36">
        <f t="shared" si="27"/>
        <v>17110.661700488716</v>
      </c>
      <c r="V70" s="36">
        <f t="shared" si="27"/>
        <v>17110.661700488716</v>
      </c>
      <c r="W70" s="36">
        <f>+W52+W53+W55+W56+W58+W59</f>
        <v>17110.661700488716</v>
      </c>
      <c r="X70" s="36">
        <f>+X52+X53+X55+X56+X58+X59</f>
        <v>17110.661700488716</v>
      </c>
      <c r="Y70" s="36">
        <f>+Y52+Y53+Y55+Y56+Y58+Y59</f>
        <v>17110.661700488716</v>
      </c>
      <c r="Z70" s="36">
        <f>+Z52+Z53+Z55+Z56+Z58+Z59</f>
        <v>17110.661700488716</v>
      </c>
      <c r="AA70" s="36">
        <f>+AA52+AA53+AA55+AA56+AA58+AA59</f>
        <v>17110.661700488716</v>
      </c>
    </row>
    <row r="71" spans="1:27" ht="12.75">
      <c r="A71" s="7" t="s">
        <v>190</v>
      </c>
      <c r="B71" s="8"/>
      <c r="C71" s="24">
        <f>+C54+C57+C60+C61+C62+C63</f>
        <v>0</v>
      </c>
      <c r="D71" s="20">
        <f>+D54+D57+D60+D61+D62+D63+SUM(D64:D69)</f>
        <v>0</v>
      </c>
      <c r="E71" s="18">
        <f aca="true" t="shared" si="28" ref="E71:Z71">+E54+E57+E60+E61+E62+E63+SUM(E64:E69)</f>
        <v>0</v>
      </c>
      <c r="F71" s="20">
        <f t="shared" si="28"/>
        <v>1846.7641355803833</v>
      </c>
      <c r="G71" s="18">
        <f>+G54+G57+G60+G61+G62+G63+SUM(G64:G69)</f>
        <v>4241.056506309122</v>
      </c>
      <c r="H71" s="20">
        <f t="shared" si="28"/>
        <v>7449.432316134583</v>
      </c>
      <c r="I71" s="18">
        <f t="shared" si="28"/>
        <v>9131.28856453482</v>
      </c>
      <c r="J71" s="20">
        <f t="shared" si="28"/>
        <v>10700.132356155409</v>
      </c>
      <c r="K71" s="18">
        <f t="shared" si="28"/>
        <v>11639.569122237313</v>
      </c>
      <c r="L71" s="20">
        <f t="shared" si="28"/>
        <v>12166.423107385042</v>
      </c>
      <c r="M71" s="18">
        <f t="shared" si="28"/>
        <v>12166.423107385042</v>
      </c>
      <c r="N71" s="20">
        <f t="shared" si="28"/>
        <v>12166.423107385042</v>
      </c>
      <c r="O71" s="18">
        <f t="shared" si="28"/>
        <v>12166.423107385042</v>
      </c>
      <c r="P71" s="20">
        <f t="shared" si="28"/>
        <v>12166.423107385042</v>
      </c>
      <c r="Q71" s="18">
        <f t="shared" si="28"/>
        <v>12166.423107385042</v>
      </c>
      <c r="R71" s="20">
        <f t="shared" si="28"/>
        <v>12166.423107385042</v>
      </c>
      <c r="S71" s="18">
        <f t="shared" si="28"/>
        <v>12166.423107385042</v>
      </c>
      <c r="T71" s="20">
        <f t="shared" si="28"/>
        <v>12166.423107385042</v>
      </c>
      <c r="U71" s="20">
        <f t="shared" si="28"/>
        <v>12166.423107385042</v>
      </c>
      <c r="V71" s="20">
        <f t="shared" si="28"/>
        <v>12166.423107385042</v>
      </c>
      <c r="W71" s="20">
        <f t="shared" si="28"/>
        <v>12166.423107385042</v>
      </c>
      <c r="X71" s="20">
        <f t="shared" si="28"/>
        <v>12166.423107385042</v>
      </c>
      <c r="Y71" s="20">
        <f t="shared" si="28"/>
        <v>12166.423107385042</v>
      </c>
      <c r="Z71" s="20">
        <f t="shared" si="28"/>
        <v>12166.423107385042</v>
      </c>
      <c r="AA71" s="20">
        <f>+AA54+AA57+AA60+AA61+AA62+AA63+SUM(AA64:AA69)</f>
        <v>12166.423107385042</v>
      </c>
    </row>
    <row r="72" spans="1:27" ht="12.75">
      <c r="A72" s="190" t="s">
        <v>809</v>
      </c>
      <c r="B72" s="161"/>
      <c r="C72" s="159">
        <f>SUM(C70:C71)</f>
        <v>0</v>
      </c>
      <c r="D72" s="162">
        <f aca="true" t="shared" si="29" ref="D72:V72">SUM(D70:D71)</f>
        <v>0</v>
      </c>
      <c r="E72" s="158">
        <f>SUM(E70:E71)</f>
        <v>2848.9591682625046</v>
      </c>
      <c r="F72" s="162">
        <f>SUM(F70:F71)</f>
        <v>8086.9187513974975</v>
      </c>
      <c r="G72" s="158">
        <f>SUM(G70:G71)</f>
        <v>15025.032688481797</v>
      </c>
      <c r="H72" s="162">
        <f t="shared" si="29"/>
        <v>21301.41871496077</v>
      </c>
      <c r="I72" s="158">
        <f>SUM(I70:I71)</f>
        <v>25010.737499143055</v>
      </c>
      <c r="J72" s="162">
        <f t="shared" si="29"/>
        <v>27697.957014765074</v>
      </c>
      <c r="K72" s="158">
        <f t="shared" si="29"/>
        <v>28750.23082272603</v>
      </c>
      <c r="L72" s="162">
        <f t="shared" si="29"/>
        <v>29277.084807873758</v>
      </c>
      <c r="M72" s="158">
        <f t="shared" si="29"/>
        <v>29277.084807873758</v>
      </c>
      <c r="N72" s="162">
        <f t="shared" si="29"/>
        <v>29277.084807873758</v>
      </c>
      <c r="O72" s="158">
        <f t="shared" si="29"/>
        <v>29277.084807873758</v>
      </c>
      <c r="P72" s="162">
        <f t="shared" si="29"/>
        <v>29277.084807873758</v>
      </c>
      <c r="Q72" s="158">
        <f t="shared" si="29"/>
        <v>29277.084807873758</v>
      </c>
      <c r="R72" s="162">
        <f t="shared" si="29"/>
        <v>29277.084807873758</v>
      </c>
      <c r="S72" s="158">
        <f t="shared" si="29"/>
        <v>29277.084807873758</v>
      </c>
      <c r="T72" s="162">
        <f t="shared" si="29"/>
        <v>29277.084807873758</v>
      </c>
      <c r="U72" s="162">
        <f t="shared" si="29"/>
        <v>29277.084807873758</v>
      </c>
      <c r="V72" s="162">
        <f t="shared" si="29"/>
        <v>29277.084807873758</v>
      </c>
      <c r="W72" s="162">
        <f>SUM(W70:W71)</f>
        <v>29277.084807873758</v>
      </c>
      <c r="X72" s="162">
        <f>SUM(X70:X71)</f>
        <v>29277.084807873758</v>
      </c>
      <c r="Y72" s="162">
        <f>SUM(Y70:Y71)</f>
        <v>29277.084807873758</v>
      </c>
      <c r="Z72" s="162">
        <f>SUM(Z70:Z71)</f>
        <v>29277.084807873758</v>
      </c>
      <c r="AA72" s="162">
        <f>SUM(AA70:AA71)</f>
        <v>29277.084807873758</v>
      </c>
    </row>
    <row r="73" spans="1:23" ht="12.75">
      <c r="A73" s="379"/>
      <c r="B73" s="8"/>
      <c r="C73" s="380"/>
      <c r="D73" s="381"/>
      <c r="E73" s="381"/>
      <c r="F73" s="381"/>
      <c r="G73" s="381"/>
      <c r="H73" s="381"/>
      <c r="I73" s="381"/>
      <c r="J73" s="381"/>
      <c r="K73" s="381"/>
      <c r="L73" s="381"/>
      <c r="M73" s="381"/>
      <c r="N73" s="381"/>
      <c r="O73" s="381"/>
      <c r="P73" s="381"/>
      <c r="Q73" s="381"/>
      <c r="R73" s="381"/>
      <c r="S73" s="381"/>
      <c r="T73" s="381"/>
      <c r="U73" s="381"/>
      <c r="V73" s="381"/>
      <c r="W73" s="1"/>
    </row>
    <row r="74" spans="1:27" ht="12.75">
      <c r="A74" s="1093" t="s">
        <v>810</v>
      </c>
      <c r="B74" s="1097"/>
      <c r="C74" s="44"/>
      <c r="D74" s="26"/>
      <c r="E74" s="26"/>
      <c r="F74" s="26"/>
      <c r="G74" s="26"/>
      <c r="H74" s="26"/>
      <c r="I74" s="26"/>
      <c r="J74" s="26"/>
      <c r="K74" s="26"/>
      <c r="L74" s="26"/>
      <c r="M74" s="26"/>
      <c r="N74" s="26"/>
      <c r="O74" s="26"/>
      <c r="P74" s="26"/>
      <c r="Q74" s="26"/>
      <c r="R74" s="26"/>
      <c r="S74" s="26"/>
      <c r="T74" s="26"/>
      <c r="U74" s="26"/>
      <c r="V74" s="16"/>
      <c r="W74" s="16"/>
      <c r="X74" s="16"/>
      <c r="Y74" s="16"/>
      <c r="Z74" s="16"/>
      <c r="AA74" s="16"/>
    </row>
    <row r="75" spans="1:27" ht="12.75">
      <c r="A75" s="3" t="s">
        <v>203</v>
      </c>
      <c r="B75" s="208"/>
      <c r="C75" s="36">
        <f aca="true" t="shared" si="30" ref="C75:U75">(C70*$B$90)+((C70*$B$90)*$B$91)</f>
        <v>0</v>
      </c>
      <c r="D75" s="28">
        <f t="shared" si="30"/>
        <v>0</v>
      </c>
      <c r="E75" s="27">
        <f>(E70*$B$90)+((E70*$B$90)*$B$91)</f>
        <v>2421.6152930231287</v>
      </c>
      <c r="F75" s="27">
        <f t="shared" si="30"/>
        <v>5304.131423444547</v>
      </c>
      <c r="G75" s="27">
        <f t="shared" si="30"/>
        <v>9166.379754846774</v>
      </c>
      <c r="H75" s="27">
        <f t="shared" si="30"/>
        <v>11774.18843900226</v>
      </c>
      <c r="I75" s="27">
        <f t="shared" si="30"/>
        <v>13497.531594416998</v>
      </c>
      <c r="J75" s="27">
        <f t="shared" si="30"/>
        <v>14448.150959818215</v>
      </c>
      <c r="K75" s="27">
        <f t="shared" si="30"/>
        <v>14544.062445415408</v>
      </c>
      <c r="L75" s="27">
        <f t="shared" si="30"/>
        <v>14544.062445415408</v>
      </c>
      <c r="M75" s="27">
        <f t="shared" si="30"/>
        <v>14544.062445415408</v>
      </c>
      <c r="N75" s="27">
        <f t="shared" si="30"/>
        <v>14544.062445415408</v>
      </c>
      <c r="O75" s="27">
        <f t="shared" si="30"/>
        <v>14544.062445415408</v>
      </c>
      <c r="P75" s="27">
        <f t="shared" si="30"/>
        <v>14544.062445415408</v>
      </c>
      <c r="Q75" s="27">
        <f t="shared" si="30"/>
        <v>14544.062445415408</v>
      </c>
      <c r="R75" s="27">
        <f>(R70*$B$90)+((R70*$B$90)*$B$91)</f>
        <v>14544.062445415408</v>
      </c>
      <c r="S75" s="27">
        <f t="shared" si="30"/>
        <v>14544.062445415408</v>
      </c>
      <c r="T75" s="27">
        <f t="shared" si="30"/>
        <v>14544.062445415408</v>
      </c>
      <c r="U75" s="27">
        <f t="shared" si="30"/>
        <v>14544.062445415408</v>
      </c>
      <c r="V75" s="36">
        <f aca="true" t="shared" si="31" ref="V75:AA75">(V70*$B$90)+((V70*$B$90)*$B$91)</f>
        <v>14544.062445415408</v>
      </c>
      <c r="W75" s="36">
        <f t="shared" si="31"/>
        <v>14544.062445415408</v>
      </c>
      <c r="X75" s="36">
        <f t="shared" si="31"/>
        <v>14544.062445415408</v>
      </c>
      <c r="Y75" s="36">
        <f t="shared" si="31"/>
        <v>14544.062445415408</v>
      </c>
      <c r="Z75" s="36">
        <f t="shared" si="31"/>
        <v>14544.062445415408</v>
      </c>
      <c r="AA75" s="36">
        <f t="shared" si="31"/>
        <v>14544.062445415408</v>
      </c>
    </row>
    <row r="76" spans="1:27" ht="12.75">
      <c r="A76" s="7" t="s">
        <v>191</v>
      </c>
      <c r="B76" s="209"/>
      <c r="C76" s="20">
        <f aca="true" t="shared" si="32" ref="C76:V76">(C71*$B$90)+((C71*$B$90)*$B$91)</f>
        <v>0</v>
      </c>
      <c r="D76" s="18">
        <f t="shared" si="32"/>
        <v>0</v>
      </c>
      <c r="E76" s="24">
        <f t="shared" si="32"/>
        <v>0</v>
      </c>
      <c r="F76" s="24">
        <f t="shared" si="32"/>
        <v>1569.7495152433257</v>
      </c>
      <c r="G76" s="24">
        <f t="shared" si="32"/>
        <v>3604.898030362753</v>
      </c>
      <c r="H76" s="24">
        <f t="shared" si="32"/>
        <v>6332.017468714395</v>
      </c>
      <c r="I76" s="24">
        <f t="shared" si="32"/>
        <v>7761.595279854597</v>
      </c>
      <c r="J76" s="24">
        <f t="shared" si="32"/>
        <v>9095.112502732098</v>
      </c>
      <c r="K76" s="24">
        <f t="shared" si="32"/>
        <v>9893.633753901717</v>
      </c>
      <c r="L76" s="24">
        <f t="shared" si="32"/>
        <v>10341.459641277286</v>
      </c>
      <c r="M76" s="24">
        <f t="shared" si="32"/>
        <v>10341.459641277286</v>
      </c>
      <c r="N76" s="24">
        <f t="shared" si="32"/>
        <v>10341.459641277286</v>
      </c>
      <c r="O76" s="24">
        <f t="shared" si="32"/>
        <v>10341.459641277286</v>
      </c>
      <c r="P76" s="24">
        <f t="shared" si="32"/>
        <v>10341.459641277286</v>
      </c>
      <c r="Q76" s="24">
        <f t="shared" si="32"/>
        <v>10341.459641277286</v>
      </c>
      <c r="R76" s="24">
        <f t="shared" si="32"/>
        <v>10341.459641277286</v>
      </c>
      <c r="S76" s="24">
        <f t="shared" si="32"/>
        <v>10341.459641277286</v>
      </c>
      <c r="T76" s="24">
        <f t="shared" si="32"/>
        <v>10341.459641277286</v>
      </c>
      <c r="U76" s="24">
        <f t="shared" si="32"/>
        <v>10341.459641277286</v>
      </c>
      <c r="V76" s="20">
        <f t="shared" si="32"/>
        <v>10341.459641277286</v>
      </c>
      <c r="W76" s="20">
        <f>(W71*$B$90)+((W71*$B$90)*$B$91)</f>
        <v>10341.459641277286</v>
      </c>
      <c r="X76" s="20">
        <f>(X71*$B$90)+((X71*$B$90)*$B$91)</f>
        <v>10341.459641277286</v>
      </c>
      <c r="Y76" s="20">
        <f>(Y71*$B$90)+((Y71*$B$90)*$B$91)</f>
        <v>10341.459641277286</v>
      </c>
      <c r="Z76" s="20">
        <f>(Z71*$B$90)+((Z71*$B$90)*$B$91)</f>
        <v>10341.459641277286</v>
      </c>
      <c r="AA76" s="20">
        <f>(AA71*$B$90)+((AA71*$B$90)*$B$91)</f>
        <v>10341.459641277286</v>
      </c>
    </row>
    <row r="77" spans="1:27" ht="12.75">
      <c r="A77" s="7" t="s">
        <v>350</v>
      </c>
      <c r="B77" s="209"/>
      <c r="C77" s="20">
        <v>0</v>
      </c>
      <c r="D77" s="18">
        <v>0</v>
      </c>
      <c r="E77" s="24">
        <v>0</v>
      </c>
      <c r="F77" s="24">
        <f>E77*2</f>
        <v>0</v>
      </c>
      <c r="G77" s="24">
        <f>F77+E77</f>
        <v>0</v>
      </c>
      <c r="H77" s="24">
        <f>G77+F77</f>
        <v>0</v>
      </c>
      <c r="I77" s="24">
        <f>H77</f>
        <v>0</v>
      </c>
      <c r="J77" s="24">
        <f aca="true" t="shared" si="33" ref="J77:AA77">I77</f>
        <v>0</v>
      </c>
      <c r="K77" s="24">
        <f t="shared" si="33"/>
        <v>0</v>
      </c>
      <c r="L77" s="24">
        <f t="shared" si="33"/>
        <v>0</v>
      </c>
      <c r="M77" s="24">
        <f t="shared" si="33"/>
        <v>0</v>
      </c>
      <c r="N77" s="24">
        <f t="shared" si="33"/>
        <v>0</v>
      </c>
      <c r="O77" s="24">
        <f t="shared" si="33"/>
        <v>0</v>
      </c>
      <c r="P77" s="24">
        <f t="shared" si="33"/>
        <v>0</v>
      </c>
      <c r="Q77" s="24">
        <f t="shared" si="33"/>
        <v>0</v>
      </c>
      <c r="R77" s="24">
        <f t="shared" si="33"/>
        <v>0</v>
      </c>
      <c r="S77" s="24">
        <f t="shared" si="33"/>
        <v>0</v>
      </c>
      <c r="T77" s="24">
        <f t="shared" si="33"/>
        <v>0</v>
      </c>
      <c r="U77" s="24">
        <f t="shared" si="33"/>
        <v>0</v>
      </c>
      <c r="V77" s="24">
        <f t="shared" si="33"/>
        <v>0</v>
      </c>
      <c r="W77" s="24">
        <f t="shared" si="33"/>
        <v>0</v>
      </c>
      <c r="X77" s="24">
        <f t="shared" si="33"/>
        <v>0</v>
      </c>
      <c r="Y77" s="24">
        <f t="shared" si="33"/>
        <v>0</v>
      </c>
      <c r="Z77" s="24">
        <f t="shared" si="33"/>
        <v>0</v>
      </c>
      <c r="AA77" s="20">
        <f t="shared" si="33"/>
        <v>0</v>
      </c>
    </row>
    <row r="78" spans="1:27" ht="12.75">
      <c r="A78" s="7" t="s">
        <v>351</v>
      </c>
      <c r="B78" s="209"/>
      <c r="C78" s="20"/>
      <c r="D78" s="18"/>
      <c r="E78" s="24"/>
      <c r="F78" s="24"/>
      <c r="G78" s="24"/>
      <c r="H78" s="24">
        <f>((0.8*B36)/(B29+B30))*H77</f>
        <v>0</v>
      </c>
      <c r="I78" s="24">
        <f>H78</f>
        <v>0</v>
      </c>
      <c r="J78" s="24">
        <f aca="true" t="shared" si="34" ref="J78:AA78">I78</f>
        <v>0</v>
      </c>
      <c r="K78" s="24">
        <f t="shared" si="34"/>
        <v>0</v>
      </c>
      <c r="L78" s="24">
        <f t="shared" si="34"/>
        <v>0</v>
      </c>
      <c r="M78" s="24">
        <f t="shared" si="34"/>
        <v>0</v>
      </c>
      <c r="N78" s="24">
        <f t="shared" si="34"/>
        <v>0</v>
      </c>
      <c r="O78" s="24">
        <f t="shared" si="34"/>
        <v>0</v>
      </c>
      <c r="P78" s="24">
        <f t="shared" si="34"/>
        <v>0</v>
      </c>
      <c r="Q78" s="24">
        <f t="shared" si="34"/>
        <v>0</v>
      </c>
      <c r="R78" s="24">
        <f t="shared" si="34"/>
        <v>0</v>
      </c>
      <c r="S78" s="24">
        <f t="shared" si="34"/>
        <v>0</v>
      </c>
      <c r="T78" s="24">
        <f t="shared" si="34"/>
        <v>0</v>
      </c>
      <c r="U78" s="24">
        <f t="shared" si="34"/>
        <v>0</v>
      </c>
      <c r="V78" s="24">
        <f t="shared" si="34"/>
        <v>0</v>
      </c>
      <c r="W78" s="24">
        <f t="shared" si="34"/>
        <v>0</v>
      </c>
      <c r="X78" s="24">
        <f t="shared" si="34"/>
        <v>0</v>
      </c>
      <c r="Y78" s="24">
        <f t="shared" si="34"/>
        <v>0</v>
      </c>
      <c r="Z78" s="24">
        <f t="shared" si="34"/>
        <v>0</v>
      </c>
      <c r="AA78" s="37">
        <f t="shared" si="34"/>
        <v>0</v>
      </c>
    </row>
    <row r="79" spans="1:27" ht="12.75">
      <c r="A79" s="386" t="s">
        <v>811</v>
      </c>
      <c r="B79" s="387"/>
      <c r="C79" s="388">
        <f aca="true" t="shared" si="35" ref="C79:AA79">SUM(C75:C78)</f>
        <v>0</v>
      </c>
      <c r="D79" s="388">
        <f t="shared" si="35"/>
        <v>0</v>
      </c>
      <c r="E79" s="388">
        <f t="shared" si="35"/>
        <v>2421.6152930231287</v>
      </c>
      <c r="F79" s="388">
        <f t="shared" si="35"/>
        <v>6873.880938687873</v>
      </c>
      <c r="G79" s="388">
        <f t="shared" si="35"/>
        <v>12771.277785209528</v>
      </c>
      <c r="H79" s="388">
        <f t="shared" si="35"/>
        <v>18106.205907716656</v>
      </c>
      <c r="I79" s="388">
        <f t="shared" si="35"/>
        <v>21259.126874271595</v>
      </c>
      <c r="J79" s="388">
        <f t="shared" si="35"/>
        <v>23543.263462550312</v>
      </c>
      <c r="K79" s="388">
        <f t="shared" si="35"/>
        <v>24437.696199317124</v>
      </c>
      <c r="L79" s="388">
        <f t="shared" si="35"/>
        <v>24885.522086692694</v>
      </c>
      <c r="M79" s="388">
        <f t="shared" si="35"/>
        <v>24885.522086692694</v>
      </c>
      <c r="N79" s="388">
        <f t="shared" si="35"/>
        <v>24885.522086692694</v>
      </c>
      <c r="O79" s="388">
        <f t="shared" si="35"/>
        <v>24885.522086692694</v>
      </c>
      <c r="P79" s="388">
        <f t="shared" si="35"/>
        <v>24885.522086692694</v>
      </c>
      <c r="Q79" s="388">
        <f t="shared" si="35"/>
        <v>24885.522086692694</v>
      </c>
      <c r="R79" s="388">
        <f t="shared" si="35"/>
        <v>24885.522086692694</v>
      </c>
      <c r="S79" s="389">
        <f t="shared" si="35"/>
        <v>24885.522086692694</v>
      </c>
      <c r="T79" s="389">
        <f t="shared" si="35"/>
        <v>24885.522086692694</v>
      </c>
      <c r="U79" s="389">
        <f t="shared" si="35"/>
        <v>24885.522086692694</v>
      </c>
      <c r="V79" s="388">
        <f t="shared" si="35"/>
        <v>24885.522086692694</v>
      </c>
      <c r="W79" s="388">
        <f t="shared" si="35"/>
        <v>24885.522086692694</v>
      </c>
      <c r="X79" s="388">
        <f t="shared" si="35"/>
        <v>24885.522086692694</v>
      </c>
      <c r="Y79" s="388">
        <f t="shared" si="35"/>
        <v>24885.522086692694</v>
      </c>
      <c r="Z79" s="388">
        <f t="shared" si="35"/>
        <v>24885.522086692694</v>
      </c>
      <c r="AA79" s="388">
        <f t="shared" si="35"/>
        <v>24885.522086692694</v>
      </c>
    </row>
    <row r="80" spans="1:27" ht="12.75">
      <c r="A80" s="382"/>
      <c r="B80" s="22"/>
      <c r="C80" s="383"/>
      <c r="D80" s="384"/>
      <c r="E80" s="384"/>
      <c r="F80" s="384"/>
      <c r="G80" s="384"/>
      <c r="H80" s="384"/>
      <c r="I80" s="384"/>
      <c r="J80" s="384"/>
      <c r="K80" s="384"/>
      <c r="L80" s="384"/>
      <c r="M80" s="384"/>
      <c r="N80" s="384"/>
      <c r="O80" s="384"/>
      <c r="P80" s="384"/>
      <c r="Q80" s="384"/>
      <c r="R80" s="384"/>
      <c r="S80" s="384"/>
      <c r="T80" s="384"/>
      <c r="U80" s="384"/>
      <c r="V80" s="385"/>
      <c r="W80" s="385"/>
      <c r="X80" s="385"/>
      <c r="Y80" s="385"/>
      <c r="Z80" s="385"/>
      <c r="AA80" s="385"/>
    </row>
    <row r="81" spans="1:27" s="378" customFormat="1" ht="12.75">
      <c r="A81" s="1100" t="s">
        <v>815</v>
      </c>
      <c r="B81" s="1101"/>
      <c r="C81" s="389"/>
      <c r="D81" s="392"/>
      <c r="E81" s="392"/>
      <c r="F81" s="392"/>
      <c r="G81" s="392"/>
      <c r="H81" s="392"/>
      <c r="I81" s="392"/>
      <c r="J81" s="392"/>
      <c r="K81" s="392"/>
      <c r="L81" s="392"/>
      <c r="M81" s="392"/>
      <c r="N81" s="392"/>
      <c r="O81" s="392"/>
      <c r="P81" s="392"/>
      <c r="Q81" s="392"/>
      <c r="R81" s="392"/>
      <c r="S81" s="392"/>
      <c r="T81" s="392"/>
      <c r="U81" s="392"/>
      <c r="V81" s="393"/>
      <c r="W81" s="393"/>
      <c r="X81" s="393"/>
      <c r="Y81" s="393"/>
      <c r="Z81" s="393"/>
      <c r="AA81" s="393"/>
    </row>
    <row r="82" spans="1:27" s="378" customFormat="1" ht="12.75">
      <c r="A82" s="390" t="s">
        <v>812</v>
      </c>
      <c r="B82" s="391"/>
      <c r="C82" s="388">
        <f>IF($H$96=1,('Road Model'!$O$88+'Road Model'!$D$88)/1000,0)</f>
        <v>61.53846153846154</v>
      </c>
      <c r="D82" s="388">
        <f>IF($H$96=1,('Road Model'!$O$89+'Road Model'!$D$89)/1000,0)</f>
        <v>61.53846153846154</v>
      </c>
      <c r="E82" s="388">
        <f>IF($H$96=1,('Road Model'!$O$90+'Road Model'!$D$90)/1000,0)</f>
        <v>61.53846153846154</v>
      </c>
      <c r="F82" s="388">
        <f>IF($H$96=1,('Road Model'!$O$91+'Road Model'!$D$91)/1000,0)</f>
        <v>2329.8432173388187</v>
      </c>
      <c r="G82" s="388">
        <f>IF($H$96=1,('Road Model'!$O$92+'Road Model'!$D$92)/1000,0)</f>
        <v>2662.7550824829436</v>
      </c>
      <c r="H82" s="388">
        <f>IF($H$96=1,('Road Model'!$O$93+'Road Model'!$D$93)/1000,0)</f>
        <v>2950.142210369743</v>
      </c>
      <c r="I82" s="388">
        <f>IF($H$96=1,('Road Model'!$O$94+'Road Model'!$D$94)/1000,0)</f>
        <v>3289.0833897815155</v>
      </c>
      <c r="J82" s="388">
        <f>IF($H$96=1,('Road Model'!$O$95+'Road Model'!$D$95)/1000,0)</f>
        <v>3514.0279783374176</v>
      </c>
      <c r="K82" s="388">
        <f>IF($H$96=1,('Road Model'!$O$96+'Road Model'!$D$96)/1000,0)</f>
        <v>3693.8432951408086</v>
      </c>
      <c r="L82" s="388">
        <f>IF($H$96=1,('Road Model'!$O$97+'Road Model'!$D$97)/1000,0)</f>
        <v>3828.147558482711</v>
      </c>
      <c r="M82" s="388">
        <f>IF($H$96=1,('Road Model'!$O$98+'Road Model'!$D$98)/1000,0)</f>
        <v>3971.561699845107</v>
      </c>
      <c r="N82" s="388">
        <f>IF($H$96=1,('Road Model'!$O$99+'Road Model'!$D$99)/1000,0)</f>
        <v>4120.799058871077</v>
      </c>
      <c r="O82" s="388">
        <f>IF($H$96=1,('Road Model'!$O$100+'Road Model'!$D$100)/1000,0)</f>
        <v>4276.110371761667</v>
      </c>
      <c r="P82" s="388">
        <f>IF($H$96=1,('Road Model'!$O$101+'Road Model'!$D$101)/1000,0)</f>
        <v>4437.7576987875045</v>
      </c>
      <c r="Q82" s="388">
        <f>IF($H$96=1,('Road Model'!$O$102+'Road Model'!$D$102)/1000,0)</f>
        <v>4606.0149541100745</v>
      </c>
      <c r="R82" s="388">
        <f>IF($H$96=1,('Road Model'!$O$103+'Road Model'!$D$103)/1000,0)</f>
        <v>4781.168461002574</v>
      </c>
      <c r="S82" s="388">
        <f>IF($H$96=1,('Road Model'!$O$104+'Road Model'!$D$104)/1000,0)</f>
        <v>4963.517533707618</v>
      </c>
      <c r="T82" s="388">
        <f>IF($H$96=1,('Road Model'!$O$105+'Road Model'!$D$105)/1000,0)</f>
        <v>5153.375087229871</v>
      </c>
      <c r="U82" s="388">
        <f>IF($H$96=1,('Road Model'!$O$106+'Road Model'!$D$106)/1000,0)</f>
        <v>5351.068276425647</v>
      </c>
      <c r="V82" s="388">
        <f>IF($H$96=1,('Road Model'!$O$107+'Road Model'!$D$107)/1000,0)</f>
        <v>5556.939165818549</v>
      </c>
      <c r="W82" s="388">
        <f>IF($H$96=1,('Road Model'!$O$108+'Road Model'!$D$108)/1000,0)</f>
        <v>5771.345431640554</v>
      </c>
      <c r="X82" s="388">
        <f>IF($H$96=1,('Road Model'!$O$109+'Road Model'!$D$109)/1000,0)</f>
        <v>5994.6610976718985</v>
      </c>
      <c r="Y82" s="388">
        <f>IF($H$96=1,('Road Model'!$O$110+'Road Model'!$D$110)/1000,0)</f>
        <v>6227.277306530597</v>
      </c>
      <c r="Z82" s="388">
        <f>IF($H$96=1,('Road Model'!$O$111+'Road Model'!$D$111)/1000,0)</f>
        <v>6469.603128143791</v>
      </c>
      <c r="AA82" s="388">
        <f>IF($H$96=1,('Road Model'!$O$112+'Road Model'!$D$112)/1000,0)</f>
        <v>6722.066407218554</v>
      </c>
    </row>
    <row r="83" spans="1:27" ht="12.75">
      <c r="A83" s="35"/>
      <c r="B83" s="8"/>
      <c r="C83" s="24"/>
      <c r="D83" s="18"/>
      <c r="E83" s="18"/>
      <c r="F83" s="18"/>
      <c r="G83" s="18"/>
      <c r="H83" s="18"/>
      <c r="I83" s="18"/>
      <c r="J83" s="18"/>
      <c r="K83" s="18"/>
      <c r="L83" s="18"/>
      <c r="M83" s="18"/>
      <c r="N83" s="18"/>
      <c r="O83" s="18"/>
      <c r="P83" s="18"/>
      <c r="Q83" s="18"/>
      <c r="R83" s="18"/>
      <c r="S83" s="18"/>
      <c r="T83" s="18"/>
      <c r="U83" s="18"/>
      <c r="V83" s="15"/>
      <c r="W83" s="15"/>
      <c r="X83" s="15"/>
      <c r="Y83" s="15"/>
      <c r="Z83" s="15"/>
      <c r="AA83" s="15"/>
    </row>
    <row r="84" spans="1:27" ht="12.75">
      <c r="A84" s="1098" t="s">
        <v>640</v>
      </c>
      <c r="B84" s="1099"/>
      <c r="C84" s="165">
        <f>(C82+C79)*'ERR &amp; Sensitivity Analysis'!$G$11</f>
        <v>61.53846153846154</v>
      </c>
      <c r="D84" s="165">
        <f>(D82+D79)*'ERR &amp; Sensitivity Analysis'!$G$11</f>
        <v>61.53846153846154</v>
      </c>
      <c r="E84" s="165">
        <f>(E82+E79)*'ERR &amp; Sensitivity Analysis'!$G$11</f>
        <v>2483.15375456159</v>
      </c>
      <c r="F84" s="165">
        <f>(F82+F79)*'ERR &amp; Sensitivity Analysis'!$G$11</f>
        <v>9203.724156026692</v>
      </c>
      <c r="G84" s="165">
        <f>(G82+G79)*'ERR &amp; Sensitivity Analysis'!$G$11</f>
        <v>15434.032867692471</v>
      </c>
      <c r="H84" s="165">
        <f>(H82+H79)*'ERR &amp; Sensitivity Analysis'!$G$11</f>
        <v>21056.3481180864</v>
      </c>
      <c r="I84" s="165">
        <f>(I82+I79)*'ERR &amp; Sensitivity Analysis'!$G$11</f>
        <v>24548.21026405311</v>
      </c>
      <c r="J84" s="165">
        <f>(J82+J79)*'ERR &amp; Sensitivity Analysis'!$G$11</f>
        <v>27057.29144088773</v>
      </c>
      <c r="K84" s="165">
        <f>(K82+K79)*'ERR &amp; Sensitivity Analysis'!$G$11</f>
        <v>28131.53949445793</v>
      </c>
      <c r="L84" s="165">
        <f>(L82+L79)*'ERR &amp; Sensitivity Analysis'!$G$11</f>
        <v>28713.669645175403</v>
      </c>
      <c r="M84" s="165">
        <f>(M82+M79)*'ERR &amp; Sensitivity Analysis'!$G$11</f>
        <v>28857.0837865378</v>
      </c>
      <c r="N84" s="165">
        <f>(N82+N79)*'ERR &amp; Sensitivity Analysis'!$G$11</f>
        <v>29006.321145563772</v>
      </c>
      <c r="O84" s="165">
        <f>(O82+O79)*'ERR &amp; Sensitivity Analysis'!$G$11</f>
        <v>29161.63245845436</v>
      </c>
      <c r="P84" s="165">
        <f>(P82+P79)*'ERR &amp; Sensitivity Analysis'!$G$11</f>
        <v>29323.279785480197</v>
      </c>
      <c r="Q84" s="165">
        <f>(Q82+Q79)*'ERR &amp; Sensitivity Analysis'!$G$11</f>
        <v>29491.537040802767</v>
      </c>
      <c r="R84" s="165">
        <f>(R82+R79)*'ERR &amp; Sensitivity Analysis'!$G$11</f>
        <v>29666.690547695267</v>
      </c>
      <c r="S84" s="165">
        <f>(S82+S79)*'ERR &amp; Sensitivity Analysis'!$G$11</f>
        <v>29849.039620400312</v>
      </c>
      <c r="T84" s="165">
        <f>(T82+T79)*'ERR &amp; Sensitivity Analysis'!$G$11</f>
        <v>30038.897173922564</v>
      </c>
      <c r="U84" s="165">
        <f>(U82+U79)*'ERR &amp; Sensitivity Analysis'!$G$11</f>
        <v>30236.59036311834</v>
      </c>
      <c r="V84" s="165">
        <f>(V82+V79)*'ERR &amp; Sensitivity Analysis'!$G$11</f>
        <v>30442.461252511242</v>
      </c>
      <c r="W84" s="165">
        <f>(W82+W79)*'ERR &amp; Sensitivity Analysis'!$G$11</f>
        <v>30656.86751833325</v>
      </c>
      <c r="X84" s="165">
        <f>(X82+X79)*'ERR &amp; Sensitivity Analysis'!$G$11</f>
        <v>30880.183184364592</v>
      </c>
      <c r="Y84" s="165">
        <f>(Y82+Y79)*'ERR &amp; Sensitivity Analysis'!$G$11</f>
        <v>31112.799393223293</v>
      </c>
      <c r="Z84" s="165">
        <f>(Z82+Z79)*'ERR &amp; Sensitivity Analysis'!$G$11</f>
        <v>31355.125214836484</v>
      </c>
      <c r="AA84" s="165">
        <f>(AA82+AA79)*'ERR &amp; Sensitivity Analysis'!$G$11</f>
        <v>31607.588493911247</v>
      </c>
    </row>
    <row r="85" spans="1:27" ht="13.5" thickBot="1">
      <c r="A85" s="35"/>
      <c r="B85" s="8"/>
      <c r="C85" s="24"/>
      <c r="D85" s="18"/>
      <c r="E85" s="18"/>
      <c r="F85" s="18"/>
      <c r="G85" s="18"/>
      <c r="H85" s="18"/>
      <c r="I85" s="18"/>
      <c r="J85" s="18"/>
      <c r="K85" s="18"/>
      <c r="L85" s="18"/>
      <c r="M85" s="18"/>
      <c r="N85" s="18"/>
      <c r="O85" s="18"/>
      <c r="P85" s="18"/>
      <c r="Q85" s="18"/>
      <c r="R85" s="18"/>
      <c r="S85" s="18"/>
      <c r="T85" s="18"/>
      <c r="U85" s="18"/>
      <c r="V85" s="15"/>
      <c r="W85" s="15"/>
      <c r="X85" s="15"/>
      <c r="Y85" s="15"/>
      <c r="Z85" s="15"/>
      <c r="AA85" s="15"/>
    </row>
    <row r="86" spans="1:27" s="21" customFormat="1" ht="12.75">
      <c r="A86" s="43" t="s">
        <v>654</v>
      </c>
      <c r="B86" s="973" t="s">
        <v>236</v>
      </c>
      <c r="C86" s="26"/>
      <c r="D86" s="26"/>
      <c r="E86" s="26"/>
      <c r="F86" s="26"/>
      <c r="G86" s="26"/>
      <c r="H86" s="26"/>
      <c r="I86" s="26"/>
      <c r="J86" s="26"/>
      <c r="K86" s="26"/>
      <c r="L86" s="26"/>
      <c r="M86" s="26"/>
      <c r="N86" s="26"/>
      <c r="O86" s="26"/>
      <c r="P86" s="26"/>
      <c r="Q86" s="26"/>
      <c r="R86" s="26"/>
      <c r="S86" s="26"/>
      <c r="T86" s="26"/>
      <c r="U86" s="26"/>
      <c r="V86" s="16"/>
      <c r="W86" s="16"/>
      <c r="X86" s="16"/>
      <c r="Y86" s="16"/>
      <c r="Z86" s="16"/>
      <c r="AA86" s="16"/>
    </row>
    <row r="87" spans="1:27" s="21" customFormat="1" ht="12.75">
      <c r="A87" s="163" t="s">
        <v>475</v>
      </c>
      <c r="B87" s="974">
        <f>+IRR(C87:AA87)</f>
        <v>0.08980186348160676</v>
      </c>
      <c r="C87" s="972">
        <f aca="true" t="shared" si="36" ref="C87:AA87">+C45+C84</f>
        <v>-24547.19749888267</v>
      </c>
      <c r="D87" s="164">
        <f t="shared" si="36"/>
        <v>-61275.51113835528</v>
      </c>
      <c r="E87" s="164">
        <f t="shared" si="36"/>
        <v>-64293.488679083166</v>
      </c>
      <c r="F87" s="164">
        <f t="shared" si="36"/>
        <v>-43443.89428675681</v>
      </c>
      <c r="G87" s="164">
        <f t="shared" si="36"/>
        <v>-10808.290488158827</v>
      </c>
      <c r="H87" s="164">
        <f t="shared" si="36"/>
        <v>20377.88657962486</v>
      </c>
      <c r="I87" s="164">
        <f t="shared" si="36"/>
        <v>23869.74872559157</v>
      </c>
      <c r="J87" s="164">
        <f t="shared" si="36"/>
        <v>26378.82990242619</v>
      </c>
      <c r="K87" s="164">
        <f t="shared" si="36"/>
        <v>27453.077955996392</v>
      </c>
      <c r="L87" s="164">
        <f t="shared" si="36"/>
        <v>28035.208106713864</v>
      </c>
      <c r="M87" s="164">
        <f t="shared" si="36"/>
        <v>28178.622248076263</v>
      </c>
      <c r="N87" s="164">
        <f t="shared" si="36"/>
        <v>28327.859607102233</v>
      </c>
      <c r="O87" s="164">
        <f t="shared" si="36"/>
        <v>28483.170919992823</v>
      </c>
      <c r="P87" s="164">
        <f t="shared" si="36"/>
        <v>28644.81824701866</v>
      </c>
      <c r="Q87" s="164">
        <f t="shared" si="36"/>
        <v>25582.306271571997</v>
      </c>
      <c r="R87" s="164">
        <f t="shared" si="36"/>
        <v>28988.229009233728</v>
      </c>
      <c r="S87" s="164">
        <f t="shared" si="36"/>
        <v>29170.578081938773</v>
      </c>
      <c r="T87" s="164">
        <f t="shared" si="36"/>
        <v>29360.435635461025</v>
      </c>
      <c r="U87" s="164">
        <f t="shared" si="36"/>
        <v>29558.1288246568</v>
      </c>
      <c r="V87" s="164">
        <f t="shared" si="36"/>
        <v>29763.999714049703</v>
      </c>
      <c r="W87" s="164">
        <f t="shared" si="36"/>
        <v>29978.40597987171</v>
      </c>
      <c r="X87" s="164">
        <f t="shared" si="36"/>
        <v>30201.721645903053</v>
      </c>
      <c r="Y87" s="164">
        <f t="shared" si="36"/>
        <v>30434.337854761754</v>
      </c>
      <c r="Z87" s="165">
        <f t="shared" si="36"/>
        <v>30676.663676374945</v>
      </c>
      <c r="AA87" s="165">
        <f t="shared" si="36"/>
        <v>30929.12695544971</v>
      </c>
    </row>
    <row r="88" spans="1:27" s="21" customFormat="1" ht="13.5" thickBot="1">
      <c r="A88" s="163" t="s">
        <v>474</v>
      </c>
      <c r="B88" s="979">
        <f>IRR(C88:AA88)</f>
        <v>0.1527885803804294</v>
      </c>
      <c r="C88" s="980">
        <f>Econ_Analysis_MSI!AD8</f>
        <v>-30547.19749888267</v>
      </c>
      <c r="D88" s="980">
        <f>Econ_Analysis_MSI!AD9</f>
        <v>-67275.51113835527</v>
      </c>
      <c r="E88" s="980">
        <f>Econ_Analysis_MSI!AD10</f>
        <v>-64293.488679083166</v>
      </c>
      <c r="F88" s="980">
        <f>Econ_Analysis_MSI!AD11</f>
        <v>-43443.89428675681</v>
      </c>
      <c r="G88" s="980">
        <f>Econ_Analysis_MSI!AD12</f>
        <v>-10808.290488158827</v>
      </c>
      <c r="H88" s="980">
        <f>Econ_Analysis_MSI!AD13</f>
        <v>20377.88657962486</v>
      </c>
      <c r="I88" s="980">
        <f>Econ_Analysis_MSI!AD14</f>
        <v>35344.748725591555</v>
      </c>
      <c r="J88" s="980">
        <f>Econ_Analysis_MSI!AD15</f>
        <v>37853.82990242618</v>
      </c>
      <c r="K88" s="980">
        <f>Econ_Analysis_MSI!AD16</f>
        <v>50403.07795599638</v>
      </c>
      <c r="L88" s="980">
        <f>Econ_Analysis_MSI!AD17</f>
        <v>50985.20810671385</v>
      </c>
      <c r="M88" s="980">
        <f>Econ_Analysis_MSI!AD18</f>
        <v>62603.622248076266</v>
      </c>
      <c r="N88" s="980">
        <f>Econ_Analysis_MSI!AD19</f>
        <v>62752.85960710223</v>
      </c>
      <c r="O88" s="980">
        <f>Econ_Analysis_MSI!AD20</f>
        <v>62908.17091999282</v>
      </c>
      <c r="P88" s="980">
        <f>Econ_Analysis_MSI!AD21</f>
        <v>63069.81824701866</v>
      </c>
      <c r="Q88" s="980">
        <f>Econ_Analysis_MSI!AD22</f>
        <v>60007.306271572</v>
      </c>
      <c r="R88" s="980">
        <f>Econ_Analysis_MSI!AD23</f>
        <v>63413.22900923373</v>
      </c>
      <c r="S88" s="980">
        <f>Econ_Analysis_MSI!AD24</f>
        <v>63595.57808193877</v>
      </c>
      <c r="T88" s="980">
        <f>Econ_Analysis_MSI!AD25</f>
        <v>63785.43563546102</v>
      </c>
      <c r="U88" s="980">
        <f>Econ_Analysis_MSI!AD26</f>
        <v>63983.1288246568</v>
      </c>
      <c r="V88" s="980">
        <f>Econ_Analysis_MSI!AD27</f>
        <v>64188.9997140497</v>
      </c>
      <c r="W88" s="981">
        <f>Econ_Analysis_MSI!AD28</f>
        <v>64403.405979871706</v>
      </c>
      <c r="X88" s="981">
        <f>Econ_Analysis_MSI!AD29</f>
        <v>64626.72164590305</v>
      </c>
      <c r="Y88" s="981">
        <f>Econ_Analysis_MSI!AD30</f>
        <v>64859.337854761754</v>
      </c>
      <c r="Z88" s="981">
        <f>Econ_Analysis_MSI!AD31</f>
        <v>65101.66367637494</v>
      </c>
      <c r="AA88" s="981">
        <f>Econ_Analysis_MSI!AD32</f>
        <v>98504.12695544971</v>
      </c>
    </row>
    <row r="89" spans="1:22" ht="13.5" thickBot="1">
      <c r="A89" s="35"/>
      <c r="B89" s="223"/>
      <c r="C89" s="24"/>
      <c r="D89" s="18"/>
      <c r="E89" s="191"/>
      <c r="F89" s="191"/>
      <c r="G89" s="191"/>
      <c r="H89" s="191"/>
      <c r="I89" s="191"/>
      <c r="J89" s="191"/>
      <c r="K89" s="191"/>
      <c r="L89" s="191"/>
      <c r="M89" s="191"/>
      <c r="N89" s="191"/>
      <c r="O89" s="191"/>
      <c r="P89" s="191"/>
      <c r="Q89" s="191"/>
      <c r="R89" s="191"/>
      <c r="S89" s="191"/>
      <c r="T89" s="191"/>
      <c r="U89" s="191"/>
      <c r="V89" s="191"/>
    </row>
    <row r="90" spans="1:22" ht="13.5" thickBot="1">
      <c r="A90" s="172" t="s">
        <v>622</v>
      </c>
      <c r="B90" s="977">
        <v>0.85</v>
      </c>
      <c r="D90" s="514" t="s">
        <v>59</v>
      </c>
      <c r="E90" s="60"/>
      <c r="F90" s="60"/>
      <c r="G90" s="60"/>
      <c r="H90" s="60"/>
      <c r="I90" s="60"/>
      <c r="O90" s="60"/>
      <c r="P90" s="60"/>
      <c r="Q90" s="60"/>
      <c r="R90" s="60"/>
      <c r="S90" s="60"/>
      <c r="T90" s="60"/>
      <c r="U90" s="60"/>
      <c r="V90" s="60"/>
    </row>
    <row r="91" spans="1:22" ht="13.5" thickBot="1">
      <c r="A91" s="174" t="s">
        <v>623</v>
      </c>
      <c r="B91" s="978">
        <v>0</v>
      </c>
      <c r="D91" s="515" t="s">
        <v>60</v>
      </c>
      <c r="E91" s="516"/>
      <c r="F91" s="516"/>
      <c r="G91" s="516"/>
      <c r="H91" s="982">
        <v>1</v>
      </c>
      <c r="I91" s="60"/>
      <c r="M91" s="18"/>
      <c r="N91" s="18"/>
      <c r="O91" s="18"/>
      <c r="P91" s="18"/>
      <c r="Q91" s="18"/>
      <c r="R91" s="18"/>
      <c r="S91" s="18"/>
      <c r="T91" s="18"/>
      <c r="U91" s="18"/>
      <c r="V91" s="18"/>
    </row>
    <row r="92" spans="1:22" ht="13.5" thickBot="1">
      <c r="A92" s="173" t="s">
        <v>638</v>
      </c>
      <c r="B92" s="1001">
        <v>3</v>
      </c>
      <c r="C92" s="18"/>
      <c r="D92" s="60"/>
      <c r="E92" s="22"/>
      <c r="F92" s="60"/>
      <c r="G92" s="60"/>
      <c r="H92" s="60"/>
      <c r="I92" s="60"/>
      <c r="M92" s="18"/>
      <c r="N92" s="18"/>
      <c r="O92" s="18"/>
      <c r="P92" s="18"/>
      <c r="Q92" s="18"/>
      <c r="R92" s="18"/>
      <c r="S92" s="18"/>
      <c r="T92" s="18"/>
      <c r="U92" s="18"/>
      <c r="V92" s="18"/>
    </row>
    <row r="93" spans="1:22" ht="13.5" thickBot="1">
      <c r="A93" s="174" t="s">
        <v>643</v>
      </c>
      <c r="B93" s="976">
        <v>2</v>
      </c>
      <c r="C93" s="678" t="s">
        <v>399</v>
      </c>
      <c r="D93" s="678"/>
      <c r="E93" s="678"/>
      <c r="F93" s="678"/>
      <c r="G93" s="678"/>
      <c r="H93" s="678"/>
      <c r="I93" s="678"/>
      <c r="J93" s="678"/>
      <c r="K93" s="678"/>
      <c r="L93" s="678"/>
      <c r="M93" s="678"/>
      <c r="N93" s="678"/>
      <c r="O93" s="678"/>
      <c r="P93" s="678"/>
      <c r="Q93" s="18"/>
      <c r="R93" s="18"/>
      <c r="S93" s="18"/>
      <c r="T93" s="18"/>
      <c r="U93" s="18"/>
      <c r="V93" s="18"/>
    </row>
    <row r="94" spans="1:22" ht="12.75">
      <c r="A94" s="192"/>
      <c r="B94" s="648"/>
      <c r="C94" s="18"/>
      <c r="D94" s="18"/>
      <c r="E94" s="18"/>
      <c r="F94" s="18"/>
      <c r="G94" s="18"/>
      <c r="H94" s="18"/>
      <c r="I94" s="18"/>
      <c r="J94" s="18"/>
      <c r="K94" s="18"/>
      <c r="L94" s="18"/>
      <c r="M94" s="18"/>
      <c r="N94" s="18"/>
      <c r="O94" s="18"/>
      <c r="P94" s="18"/>
      <c r="Q94" s="18"/>
      <c r="R94" s="18"/>
      <c r="S94" s="18"/>
      <c r="T94" s="18"/>
      <c r="U94" s="18"/>
      <c r="V94" s="18"/>
    </row>
    <row r="95" spans="1:22" ht="13.5" thickBot="1">
      <c r="A95" s="192" t="s">
        <v>644</v>
      </c>
      <c r="B95" s="196"/>
      <c r="C95" s="18"/>
      <c r="D95" s="381" t="s">
        <v>813</v>
      </c>
      <c r="E95" s="18"/>
      <c r="F95" s="18"/>
      <c r="G95" s="18"/>
      <c r="H95" s="18"/>
      <c r="I95" s="18"/>
      <c r="J95" s="9" t="s">
        <v>342</v>
      </c>
      <c r="M95" s="18"/>
      <c r="N95" s="18"/>
      <c r="O95" s="18"/>
      <c r="P95" s="18"/>
      <c r="Q95" s="18"/>
      <c r="R95" s="18"/>
      <c r="S95" s="18"/>
      <c r="T95" s="18"/>
      <c r="U95" s="18"/>
      <c r="V95" s="18"/>
    </row>
    <row r="96" spans="1:22" ht="13.5" thickBot="1">
      <c r="A96" s="193" t="s">
        <v>62</v>
      </c>
      <c r="B96" s="987">
        <v>1</v>
      </c>
      <c r="C96" s="18"/>
      <c r="D96" s="1095" t="s">
        <v>814</v>
      </c>
      <c r="E96" s="1096"/>
      <c r="F96" s="1096"/>
      <c r="G96" s="63"/>
      <c r="H96" s="982">
        <v>1</v>
      </c>
      <c r="I96" s="18"/>
      <c r="J96" s="1102" t="s">
        <v>345</v>
      </c>
      <c r="K96" s="1103"/>
      <c r="L96" s="982">
        <v>1</v>
      </c>
      <c r="M96" s="18"/>
      <c r="N96" s="18"/>
      <c r="O96" s="18"/>
      <c r="P96" s="18"/>
      <c r="Q96" s="18"/>
      <c r="R96" s="18"/>
      <c r="S96" s="18"/>
      <c r="T96" s="18"/>
      <c r="U96" s="18"/>
      <c r="V96" s="18"/>
    </row>
    <row r="97" spans="1:22" ht="13.5" thickBot="1">
      <c r="A97" s="151" t="s">
        <v>645</v>
      </c>
      <c r="B97" s="975">
        <v>1</v>
      </c>
      <c r="C97" s="18"/>
      <c r="I97" s="18"/>
      <c r="J97" s="60">
        <v>1</v>
      </c>
      <c r="K97" s="995" t="s">
        <v>325</v>
      </c>
      <c r="L97" s="157"/>
      <c r="M97" s="18"/>
      <c r="N97" s="18"/>
      <c r="O97" s="18"/>
      <c r="P97" s="18"/>
      <c r="Q97" s="18"/>
      <c r="R97" s="18"/>
      <c r="S97" s="18"/>
      <c r="T97" s="18"/>
      <c r="U97" s="18"/>
      <c r="V97" s="18"/>
    </row>
    <row r="98" spans="1:22" ht="13.5" thickBot="1">
      <c r="A98" s="194" t="s">
        <v>646</v>
      </c>
      <c r="B98" s="1052">
        <f>'ERR &amp; Sensitivity Analysis'!G15</f>
        <v>1</v>
      </c>
      <c r="C98" s="18"/>
      <c r="D98" s="9" t="s">
        <v>863</v>
      </c>
      <c r="I98" s="18"/>
      <c r="J98" s="18">
        <v>2</v>
      </c>
      <c r="K98" s="996" t="s">
        <v>324</v>
      </c>
      <c r="L98" s="18"/>
      <c r="M98" s="18"/>
      <c r="N98" s="18"/>
      <c r="O98" s="18"/>
      <c r="P98" s="18"/>
      <c r="Q98" s="18"/>
      <c r="R98" s="18"/>
      <c r="S98" s="18"/>
      <c r="T98" s="18"/>
      <c r="U98" s="18"/>
      <c r="V98" s="18"/>
    </row>
    <row r="99" spans="1:22" s="21" customFormat="1" ht="13.5" thickBot="1">
      <c r="A99" s="194" t="s">
        <v>63</v>
      </c>
      <c r="B99" s="1052">
        <f>'ERR &amp; Sensitivity Analysis'!G16</f>
        <v>1</v>
      </c>
      <c r="C99" s="41"/>
      <c r="D99" s="206" t="s">
        <v>250</v>
      </c>
      <c r="E99" s="63"/>
      <c r="F99" s="738"/>
      <c r="G99" s="739"/>
      <c r="H99" s="994">
        <f>'ERR &amp; Sensitivity Analysis'!G17</f>
        <v>520</v>
      </c>
      <c r="J99" s="40"/>
      <c r="K99" s="40"/>
      <c r="L99" s="997">
        <f>IF(L96=2,"Note: Only economic prices were considered in the final analysis.","")</f>
      </c>
      <c r="M99" s="40"/>
      <c r="N99" s="40"/>
      <c r="O99" s="40"/>
      <c r="P99" s="40"/>
      <c r="Q99" s="40"/>
      <c r="R99" s="40"/>
      <c r="S99" s="40"/>
      <c r="T99" s="40"/>
      <c r="U99" s="40"/>
      <c r="V99" s="40"/>
    </row>
    <row r="100" spans="1:3" ht="13.5" thickBot="1">
      <c r="A100" s="22"/>
      <c r="C100" s="2"/>
    </row>
    <row r="101" spans="1:10" ht="12.75">
      <c r="A101" s="207" t="s">
        <v>653</v>
      </c>
      <c r="B101" s="82">
        <v>1</v>
      </c>
      <c r="C101" s="197" t="s">
        <v>285</v>
      </c>
      <c r="D101" s="71"/>
      <c r="E101" s="71"/>
      <c r="F101" s="71"/>
      <c r="G101" s="71"/>
      <c r="H101" s="71"/>
      <c r="I101" s="71"/>
      <c r="J101" s="83"/>
    </row>
    <row r="102" spans="2:10" ht="13.5" thickBot="1">
      <c r="B102" s="189">
        <v>2</v>
      </c>
      <c r="C102" s="198" t="s">
        <v>894</v>
      </c>
      <c r="D102" s="72"/>
      <c r="E102" s="72"/>
      <c r="F102" s="72"/>
      <c r="G102" s="72"/>
      <c r="H102" s="72"/>
      <c r="I102" s="72"/>
      <c r="J102" s="77"/>
    </row>
    <row r="103" spans="2:10" ht="12.75">
      <c r="B103" s="82">
        <v>3</v>
      </c>
      <c r="C103" s="197" t="s">
        <v>287</v>
      </c>
      <c r="D103" s="662"/>
      <c r="E103" s="71"/>
      <c r="F103" s="71"/>
      <c r="G103" s="71"/>
      <c r="H103" s="71"/>
      <c r="I103" s="71"/>
      <c r="J103" s="83"/>
    </row>
    <row r="104" spans="2:10" ht="13.5" thickBot="1">
      <c r="B104" s="189">
        <v>4</v>
      </c>
      <c r="C104" s="198" t="s">
        <v>647</v>
      </c>
      <c r="D104" s="72"/>
      <c r="E104" s="72"/>
      <c r="F104" s="72"/>
      <c r="G104" s="72"/>
      <c r="H104" s="72"/>
      <c r="I104" s="72"/>
      <c r="J104" s="77"/>
    </row>
    <row r="105" spans="2:10" ht="12.75">
      <c r="B105" s="97">
        <v>5</v>
      </c>
      <c r="C105" s="199" t="s">
        <v>286</v>
      </c>
      <c r="D105" s="200"/>
      <c r="E105" s="71"/>
      <c r="F105" s="71"/>
      <c r="G105" s="71"/>
      <c r="H105" s="71"/>
      <c r="I105" s="71"/>
      <c r="J105" s="83"/>
    </row>
    <row r="106" spans="1:10" ht="13.5" thickBot="1">
      <c r="A106" s="9"/>
      <c r="B106" s="88"/>
      <c r="C106" s="201" t="s">
        <v>895</v>
      </c>
      <c r="D106" s="72"/>
      <c r="E106" s="72"/>
      <c r="F106" s="72"/>
      <c r="G106" s="72"/>
      <c r="H106" s="72"/>
      <c r="I106" s="72"/>
      <c r="J106" s="77"/>
    </row>
  </sheetData>
  <mergeCells count="9">
    <mergeCell ref="A4:I4"/>
    <mergeCell ref="C6:AA6"/>
    <mergeCell ref="D96:F96"/>
    <mergeCell ref="A74:B74"/>
    <mergeCell ref="A51:B51"/>
    <mergeCell ref="A84:B84"/>
    <mergeCell ref="A81:B81"/>
    <mergeCell ref="J96:K96"/>
    <mergeCell ref="M49:AA49"/>
  </mergeCells>
  <conditionalFormatting sqref="A4">
    <cfRule type="cellIs" priority="1" dxfId="0" operator="equal" stopIfTrue="1">
      <formula>0</formula>
    </cfRule>
    <cfRule type="cellIs" priority="2" dxfId="1" operator="notEqual" stopIfTrue="1">
      <formula>0</formula>
    </cfRule>
  </conditionalFormatting>
  <dataValidations count="1">
    <dataValidation type="list" allowBlank="1" showInputMessage="1" showErrorMessage="1" sqref="L96">
      <formula1>$J$97:$J$98</formula1>
    </dataValidation>
  </dataValidations>
  <printOptions horizontalCentered="1" verticalCentered="1"/>
  <pageMargins left="0.75" right="0.75" top="1" bottom="1" header="0.5" footer="0.5"/>
  <pageSetup fitToHeight="1" fitToWidth="1" horizontalDpi="600" verticalDpi="600" orientation="landscape" scale="46" r:id="rId4"/>
  <drawing r:id="rId3"/>
  <legacyDrawing r:id="rId2"/>
</worksheet>
</file>

<file path=xl/worksheets/sheet5.xml><?xml version="1.0" encoding="utf-8"?>
<worksheet xmlns="http://schemas.openxmlformats.org/spreadsheetml/2006/main" xmlns:r="http://schemas.openxmlformats.org/officeDocument/2006/relationships">
  <sheetPr codeName="Sheet2">
    <pageSetUpPr fitToPage="1"/>
  </sheetPr>
  <dimension ref="A1:AL140"/>
  <sheetViews>
    <sheetView workbookViewId="0" topLeftCell="A1">
      <selection activeCell="A2" sqref="A2:IV2"/>
    </sheetView>
  </sheetViews>
  <sheetFormatPr defaultColWidth="9.140625" defaultRowHeight="12.75"/>
  <cols>
    <col min="1" max="1" width="22.421875" style="0" customWidth="1"/>
    <col min="4" max="4" width="10.28125" style="0" customWidth="1"/>
    <col min="6" max="6" width="12.8515625" style="0" customWidth="1"/>
    <col min="7" max="7" width="9.57421875" style="0" customWidth="1"/>
    <col min="8" max="8" width="18.57421875" style="0" customWidth="1"/>
    <col min="9" max="9" width="11.421875" style="0" customWidth="1"/>
    <col min="10" max="10" width="15.00390625" style="0" customWidth="1"/>
    <col min="11" max="11" width="11.28125" style="0" customWidth="1"/>
    <col min="12" max="12" width="14.8515625" style="0" customWidth="1"/>
    <col min="13" max="13" width="9.28125" style="0" customWidth="1"/>
    <col min="14" max="14" width="12.7109375" style="0" customWidth="1"/>
    <col min="15" max="15" width="22.7109375" style="0" customWidth="1"/>
    <col min="16" max="16" width="18.8515625" style="0" customWidth="1"/>
    <col min="17" max="17" width="25.00390625" style="0" customWidth="1"/>
    <col min="18" max="18" width="18.421875" style="0" customWidth="1"/>
  </cols>
  <sheetData>
    <row r="1" spans="1:9" ht="12.75">
      <c r="A1" s="1085">
        <f>IF('ERR &amp; Sensitivity Analysis'!$I$10="N","Note: Current calculations are based on user input and are not the original MCC estimates.",IF('ERR &amp; Sensitivity Analysis'!$I$11="N","Note: Current calculations are based on user input and are not the original MCC estimates.",0))</f>
        <v>0</v>
      </c>
      <c r="B1" s="1085"/>
      <c r="C1" s="1085"/>
      <c r="D1" s="1085"/>
      <c r="E1" s="1085"/>
      <c r="F1" s="1085"/>
      <c r="G1" s="1085"/>
      <c r="H1" s="1085"/>
      <c r="I1" s="1085"/>
    </row>
    <row r="2" spans="1:7" s="268" customFormat="1" ht="23.25">
      <c r="A2" s="924" t="s">
        <v>511</v>
      </c>
      <c r="C2" s="925"/>
      <c r="G2" s="1005"/>
    </row>
    <row r="3" spans="1:7" s="268" customFormat="1" ht="15" customHeight="1">
      <c r="A3" s="924"/>
      <c r="C3" s="925"/>
      <c r="G3" s="1005"/>
    </row>
    <row r="4" spans="1:22" ht="12.75">
      <c r="A4" s="9" t="s">
        <v>542</v>
      </c>
      <c r="B4" s="9"/>
      <c r="C4" s="9"/>
      <c r="D4" s="9"/>
      <c r="F4" s="643" t="s">
        <v>166</v>
      </c>
      <c r="G4" s="643"/>
      <c r="H4" s="643"/>
      <c r="I4" s="643"/>
      <c r="V4" s="45"/>
    </row>
    <row r="5" ht="12.75">
      <c r="A5" t="s">
        <v>164</v>
      </c>
    </row>
    <row r="6" spans="1:27" ht="12.75">
      <c r="A6" t="s">
        <v>165</v>
      </c>
      <c r="F6" s="1066" t="s">
        <v>194</v>
      </c>
      <c r="G6" s="1066"/>
      <c r="H6" s="1066"/>
      <c r="I6" s="1066"/>
      <c r="AA6" s="21"/>
    </row>
    <row r="7" spans="6:27" ht="13.5" thickBot="1">
      <c r="F7" s="1199"/>
      <c r="G7" s="1199"/>
      <c r="H7" s="1199"/>
      <c r="I7" s="1199"/>
      <c r="AA7" s="21"/>
    </row>
    <row r="8" spans="1:17" ht="13.5" thickBot="1">
      <c r="A8" s="1056" t="s">
        <v>543</v>
      </c>
      <c r="B8" s="1062"/>
      <c r="C8" s="1062"/>
      <c r="D8" s="1063"/>
      <c r="F8" s="639" t="s">
        <v>544</v>
      </c>
      <c r="G8" s="639"/>
      <c r="H8" s="637"/>
      <c r="I8" s="637"/>
      <c r="L8" s="640"/>
      <c r="M8" s="640"/>
      <c r="N8" s="640"/>
      <c r="O8" s="640"/>
      <c r="P8" s="640"/>
      <c r="Q8" s="640"/>
    </row>
    <row r="9" spans="1:17" ht="12.75">
      <c r="A9" s="11" t="s">
        <v>546</v>
      </c>
      <c r="B9" s="89" t="s">
        <v>545</v>
      </c>
      <c r="C9" s="6" t="s">
        <v>547</v>
      </c>
      <c r="D9" s="90" t="s">
        <v>613</v>
      </c>
      <c r="E9" s="58" t="s">
        <v>309</v>
      </c>
      <c r="F9" s="633" t="s">
        <v>548</v>
      </c>
      <c r="G9" s="638" t="s">
        <v>545</v>
      </c>
      <c r="H9" s="638"/>
      <c r="I9" s="634" t="s">
        <v>549</v>
      </c>
      <c r="L9" s="641"/>
      <c r="M9" s="641"/>
      <c r="N9" s="641"/>
      <c r="O9" s="641"/>
      <c r="P9" s="641"/>
      <c r="Q9" s="641"/>
    </row>
    <row r="10" spans="1:17" ht="12.75">
      <c r="A10" s="91">
        <v>5</v>
      </c>
      <c r="B10" s="665">
        <v>400</v>
      </c>
      <c r="C10" s="666">
        <f>+B10*A10</f>
        <v>2000</v>
      </c>
      <c r="D10" s="667">
        <f>+C10/$C$17</f>
        <v>0.1250015625195315</v>
      </c>
      <c r="E10" s="9" t="s">
        <v>310</v>
      </c>
      <c r="F10" s="633" t="s">
        <v>546</v>
      </c>
      <c r="G10" s="634" t="s">
        <v>550</v>
      </c>
      <c r="H10" s="634" t="s">
        <v>553</v>
      </c>
      <c r="I10" s="634" t="s">
        <v>554</v>
      </c>
      <c r="L10" s="241"/>
      <c r="M10" s="241"/>
      <c r="N10" s="241"/>
      <c r="O10" s="241"/>
      <c r="P10" s="241"/>
      <c r="Q10" s="241"/>
    </row>
    <row r="11" spans="1:17" ht="12.75">
      <c r="A11" s="91">
        <v>5</v>
      </c>
      <c r="B11" s="665">
        <v>800</v>
      </c>
      <c r="C11" s="666">
        <f>B11*A11</f>
        <v>4000</v>
      </c>
      <c r="D11" s="667">
        <f>+C11/$C$17</f>
        <v>0.250003125039063</v>
      </c>
      <c r="E11" s="9" t="s">
        <v>311</v>
      </c>
      <c r="F11" s="633"/>
      <c r="G11" s="634"/>
      <c r="H11" s="634"/>
      <c r="I11" s="634"/>
      <c r="L11" s="241"/>
      <c r="M11" s="241"/>
      <c r="N11" s="241"/>
      <c r="O11" s="241"/>
      <c r="P11" s="241"/>
      <c r="Q11" s="241"/>
    </row>
    <row r="12" spans="1:17" ht="12.75">
      <c r="A12" s="91">
        <v>10</v>
      </c>
      <c r="B12" s="665">
        <v>500</v>
      </c>
      <c r="C12" s="666">
        <f>+B12*A12</f>
        <v>5000</v>
      </c>
      <c r="D12" s="667">
        <f>+C12/$C$17</f>
        <v>0.31250390629882874</v>
      </c>
      <c r="F12" s="635"/>
      <c r="G12" s="634"/>
      <c r="H12" s="634"/>
      <c r="I12" s="634"/>
      <c r="L12" s="22"/>
      <c r="M12" s="22"/>
      <c r="N12" s="22"/>
      <c r="O12" s="22"/>
      <c r="P12" s="22"/>
      <c r="Q12" s="22"/>
    </row>
    <row r="13" spans="1:17" ht="12.75">
      <c r="A13" s="91">
        <v>30</v>
      </c>
      <c r="B13" s="743">
        <v>70</v>
      </c>
      <c r="C13" s="666">
        <f>+B13*A13</f>
        <v>2100</v>
      </c>
      <c r="D13" s="667">
        <f>+C13/$C$17</f>
        <v>0.13125164064550807</v>
      </c>
      <c r="F13" s="635"/>
      <c r="G13" s="634"/>
      <c r="H13" s="634"/>
      <c r="I13" s="634"/>
      <c r="L13" s="640"/>
      <c r="M13" s="640"/>
      <c r="N13" s="640"/>
      <c r="O13" s="22"/>
      <c r="P13" s="22"/>
      <c r="Q13" s="22"/>
    </row>
    <row r="14" spans="1:17" ht="13.5" customHeight="1" thickBot="1">
      <c r="A14" s="91">
        <v>60</v>
      </c>
      <c r="B14" s="744">
        <v>48.33</v>
      </c>
      <c r="C14" s="666">
        <f>+B14*A14</f>
        <v>2899.7999999999997</v>
      </c>
      <c r="D14" s="667">
        <f>+C14/$C$17</f>
        <v>0.18123976549706872</v>
      </c>
      <c r="F14" s="635"/>
      <c r="G14" s="634"/>
      <c r="H14" s="634"/>
      <c r="I14" s="634"/>
      <c r="J14" s="1023"/>
      <c r="K14" s="1023"/>
      <c r="L14" s="1023"/>
      <c r="M14" s="640"/>
      <c r="N14" s="640"/>
      <c r="O14" s="22"/>
      <c r="P14" s="22"/>
      <c r="Q14" s="22"/>
    </row>
    <row r="15" spans="1:17" ht="13.5" customHeight="1" hidden="1">
      <c r="A15" s="91"/>
      <c r="B15" s="665"/>
      <c r="C15" s="666"/>
      <c r="D15" s="667"/>
      <c r="F15" s="635"/>
      <c r="G15" s="634"/>
      <c r="H15" s="634"/>
      <c r="I15" s="634"/>
      <c r="J15" s="1023"/>
      <c r="K15" s="1023"/>
      <c r="L15" s="1023"/>
      <c r="M15" s="642"/>
      <c r="N15" s="642"/>
      <c r="O15" s="22"/>
      <c r="P15" s="22"/>
      <c r="Q15" s="22"/>
    </row>
    <row r="16" spans="1:17" ht="13.5" customHeight="1" hidden="1" thickBot="1">
      <c r="A16" s="91"/>
      <c r="B16" s="665"/>
      <c r="C16" s="666"/>
      <c r="D16" s="667"/>
      <c r="F16" s="635"/>
      <c r="G16" s="634"/>
      <c r="H16" s="634"/>
      <c r="I16" s="634"/>
      <c r="J16" s="1023"/>
      <c r="K16" s="1023"/>
      <c r="L16" s="1023"/>
      <c r="M16" s="22"/>
      <c r="N16" s="22"/>
      <c r="O16" s="22"/>
      <c r="P16" s="22"/>
      <c r="Q16" s="22"/>
    </row>
    <row r="17" spans="1:12" ht="13.5" thickBot="1">
      <c r="A17" s="104" t="s">
        <v>549</v>
      </c>
      <c r="B17" s="745">
        <f>SUM(B10:B16)</f>
        <v>1818.33</v>
      </c>
      <c r="C17" s="668">
        <f>SUM(C10:C16)</f>
        <v>15999.8</v>
      </c>
      <c r="D17" s="669">
        <f>SUM(D10:D16)</f>
        <v>1</v>
      </c>
      <c r="F17" s="636"/>
      <c r="G17" s="633"/>
      <c r="H17" s="633"/>
      <c r="I17" s="636"/>
      <c r="J17" s="1023"/>
      <c r="K17" s="1023"/>
      <c r="L17" s="1023"/>
    </row>
    <row r="18" spans="1:12" ht="12.75">
      <c r="A18" t="s">
        <v>633</v>
      </c>
      <c r="B18" s="670">
        <f>D10+D11+D12</f>
        <v>0.6875085938574232</v>
      </c>
      <c r="C18" s="664"/>
      <c r="D18" s="664"/>
      <c r="F18" s="22"/>
      <c r="G18" s="22"/>
      <c r="H18" s="22"/>
      <c r="I18" s="22"/>
      <c r="J18" s="1023"/>
      <c r="K18" s="1023"/>
      <c r="L18" s="1023"/>
    </row>
    <row r="19" spans="1:6" ht="12.75">
      <c r="A19" s="664" t="s">
        <v>197</v>
      </c>
      <c r="B19" s="664"/>
      <c r="C19" s="664"/>
      <c r="D19" s="664"/>
      <c r="E19" s="664"/>
      <c r="F19" s="664"/>
    </row>
    <row r="20" spans="1:11" ht="13.5" hidden="1" thickBot="1">
      <c r="A20" s="1055" t="s">
        <v>612</v>
      </c>
      <c r="B20" s="1105"/>
      <c r="C20" s="1105"/>
      <c r="D20" s="1106"/>
      <c r="F20" s="569"/>
      <c r="G20" s="589"/>
      <c r="H20" s="1055" t="s">
        <v>604</v>
      </c>
      <c r="I20" s="1105"/>
      <c r="J20" s="1105"/>
      <c r="K20" s="1106"/>
    </row>
    <row r="21" spans="1:11" ht="12.75" hidden="1">
      <c r="A21" s="570"/>
      <c r="B21" s="1107" t="s">
        <v>545</v>
      </c>
      <c r="C21" s="1108"/>
      <c r="D21" s="579" t="s">
        <v>549</v>
      </c>
      <c r="F21" s="577"/>
      <c r="G21" s="590"/>
      <c r="H21" s="578" t="s">
        <v>566</v>
      </c>
      <c r="I21" s="591" t="s">
        <v>567</v>
      </c>
      <c r="J21" s="591" t="s">
        <v>568</v>
      </c>
      <c r="K21" s="592" t="s">
        <v>569</v>
      </c>
    </row>
    <row r="22" spans="1:11" ht="12.75" hidden="1">
      <c r="A22" s="572" t="s">
        <v>634</v>
      </c>
      <c r="B22" s="573" t="s">
        <v>550</v>
      </c>
      <c r="C22" s="580" t="s">
        <v>551</v>
      </c>
      <c r="D22" s="581" t="s">
        <v>552</v>
      </c>
      <c r="F22" s="593"/>
      <c r="G22" s="594"/>
      <c r="H22" s="595"/>
      <c r="I22" s="596"/>
      <c r="J22" s="596"/>
      <c r="K22" s="597"/>
    </row>
    <row r="23" spans="1:11" ht="12.75" hidden="1">
      <c r="A23" s="582"/>
      <c r="B23" s="528"/>
      <c r="C23" s="583"/>
      <c r="D23" s="584"/>
      <c r="F23" s="598"/>
      <c r="G23" s="599"/>
      <c r="H23" s="528"/>
      <c r="I23" s="583"/>
      <c r="J23" s="583"/>
      <c r="K23" s="571"/>
    </row>
    <row r="24" spans="1:11" ht="12.75" hidden="1">
      <c r="A24" s="574"/>
      <c r="B24" s="528"/>
      <c r="C24" s="583"/>
      <c r="D24" s="584"/>
      <c r="F24" s="598"/>
      <c r="G24" s="599"/>
      <c r="H24" s="600"/>
      <c r="I24" s="601"/>
      <c r="J24" s="601"/>
      <c r="K24" s="602"/>
    </row>
    <row r="25" spans="1:11" ht="12.75" hidden="1">
      <c r="A25" s="574"/>
      <c r="B25" s="528"/>
      <c r="C25" s="583"/>
      <c r="D25" s="584"/>
      <c r="F25" s="598"/>
      <c r="G25" s="599"/>
      <c r="H25" s="600"/>
      <c r="I25" s="601"/>
      <c r="J25" s="601"/>
      <c r="K25" s="602"/>
    </row>
    <row r="26" spans="1:11" ht="12.75" hidden="1">
      <c r="A26" s="574"/>
      <c r="B26" s="528"/>
      <c r="C26" s="583"/>
      <c r="D26" s="584"/>
      <c r="F26" s="598"/>
      <c r="G26" s="599"/>
      <c r="H26" s="600"/>
      <c r="I26" s="601"/>
      <c r="J26" s="601"/>
      <c r="K26" s="602"/>
    </row>
    <row r="27" spans="1:11" ht="13.5" hidden="1" thickBot="1">
      <c r="A27" s="574"/>
      <c r="B27" s="528"/>
      <c r="C27" s="583"/>
      <c r="D27" s="584"/>
      <c r="F27" s="598"/>
      <c r="G27" s="599"/>
      <c r="H27" s="600"/>
      <c r="I27" s="601"/>
      <c r="J27" s="601"/>
      <c r="K27" s="602"/>
    </row>
    <row r="28" spans="1:11" ht="13.5" hidden="1" thickBot="1">
      <c r="A28" s="575"/>
      <c r="B28" s="585"/>
      <c r="C28" s="586"/>
      <c r="D28" s="587"/>
      <c r="F28" s="598"/>
      <c r="G28" s="599"/>
      <c r="H28" s="600"/>
      <c r="I28" s="601"/>
      <c r="J28" s="601"/>
      <c r="K28" s="602"/>
    </row>
    <row r="29" spans="1:12" ht="13.5" hidden="1" thickBot="1">
      <c r="A29" s="576"/>
      <c r="B29" s="524"/>
      <c r="C29" s="524"/>
      <c r="D29" s="588"/>
      <c r="F29" s="603"/>
      <c r="G29" s="604"/>
      <c r="H29" s="605"/>
      <c r="I29" s="606"/>
      <c r="J29" s="606"/>
      <c r="K29" s="607"/>
      <c r="L29" s="114"/>
    </row>
    <row r="30" spans="1:11" ht="12.75" hidden="1">
      <c r="A30" s="576"/>
      <c r="B30" s="576"/>
      <c r="C30" s="576"/>
      <c r="F30" s="608"/>
      <c r="G30" s="609"/>
      <c r="H30" s="610"/>
      <c r="I30" s="611"/>
      <c r="J30" s="611"/>
      <c r="K30" s="612"/>
    </row>
    <row r="31" spans="1:11" ht="13.5" hidden="1" thickBot="1">
      <c r="A31" s="576"/>
      <c r="B31" s="576"/>
      <c r="C31" s="576"/>
      <c r="F31" s="603"/>
      <c r="G31" s="604"/>
      <c r="H31" s="613"/>
      <c r="I31" s="614"/>
      <c r="J31" s="614"/>
      <c r="K31" s="615"/>
    </row>
    <row r="32" spans="6:11" ht="13.5" hidden="1" thickBot="1">
      <c r="F32" s="603"/>
      <c r="G32" s="604"/>
      <c r="H32" s="613"/>
      <c r="I32" s="614"/>
      <c r="J32" s="614"/>
      <c r="K32" s="615"/>
    </row>
    <row r="33" ht="12.75" hidden="1"/>
    <row r="34" ht="12.75" hidden="1"/>
    <row r="36" spans="1:14" ht="13.5" thickBot="1">
      <c r="A36" t="s">
        <v>632</v>
      </c>
      <c r="B36" s="70"/>
      <c r="C36" s="69"/>
      <c r="D36" s="21"/>
      <c r="E36" s="21"/>
      <c r="F36" s="21"/>
      <c r="G36" s="21"/>
      <c r="H36" s="21"/>
      <c r="I36" s="178" t="s">
        <v>32</v>
      </c>
      <c r="N36" s="178" t="s">
        <v>32</v>
      </c>
    </row>
    <row r="37" spans="1:19" ht="13.5" thickBot="1">
      <c r="A37" s="1056" t="s">
        <v>242</v>
      </c>
      <c r="B37" s="1057"/>
      <c r="C37" s="1057"/>
      <c r="D37" s="1057"/>
      <c r="E37" s="1057"/>
      <c r="F37" s="1058"/>
      <c r="G37" s="33"/>
      <c r="H37" s="33"/>
      <c r="I37" s="1059" t="s">
        <v>243</v>
      </c>
      <c r="J37" s="1060"/>
      <c r="K37" s="1064" t="s">
        <v>193</v>
      </c>
      <c r="L37" s="1065"/>
      <c r="N37" t="s">
        <v>243</v>
      </c>
      <c r="O37" s="33"/>
      <c r="R37" s="33"/>
      <c r="S37" s="33"/>
    </row>
    <row r="38" spans="1:18" ht="26.25" customHeight="1" thickBot="1">
      <c r="A38" s="100" t="s">
        <v>573</v>
      </c>
      <c r="B38" s="263" t="s">
        <v>566</v>
      </c>
      <c r="C38" s="99" t="s">
        <v>567</v>
      </c>
      <c r="D38" s="99" t="s">
        <v>568</v>
      </c>
      <c r="E38" s="99" t="s">
        <v>569</v>
      </c>
      <c r="F38" s="99" t="s">
        <v>570</v>
      </c>
      <c r="G38" s="179"/>
      <c r="H38" s="724" t="s">
        <v>573</v>
      </c>
      <c r="I38" s="725" t="s">
        <v>284</v>
      </c>
      <c r="J38" s="726" t="s">
        <v>283</v>
      </c>
      <c r="K38" s="727" t="s">
        <v>281</v>
      </c>
      <c r="L38" s="728" t="s">
        <v>282</v>
      </c>
      <c r="M38" s="50"/>
      <c r="N38" s="181" t="s">
        <v>573</v>
      </c>
      <c r="O38" s="182" t="s">
        <v>34</v>
      </c>
      <c r="P38" s="183" t="s">
        <v>33</v>
      </c>
      <c r="Q38" s="179"/>
      <c r="R38" s="179"/>
    </row>
    <row r="39" spans="1:29" ht="12.75">
      <c r="A39" s="97" t="s">
        <v>561</v>
      </c>
      <c r="B39" s="729">
        <f>IF('Summary ERRs'!$B$93&lt;&gt;4,I39,1)</f>
        <v>0.858</v>
      </c>
      <c r="C39" s="722">
        <f aca="true" t="shared" si="0" ref="C39:E47">(0.25*($F39-$B39))+B39</f>
        <v>0.8734999999999999</v>
      </c>
      <c r="D39" s="722">
        <f t="shared" si="0"/>
        <v>0.889</v>
      </c>
      <c r="E39" s="722">
        <f t="shared" si="0"/>
        <v>0.9045000000000001</v>
      </c>
      <c r="F39" s="730">
        <f>IF('Summary ERRs'!$B$93=1,'Farm Model Assumptions'!J39,IF('Summary ERRs'!$B$93=2,'Farm Model Assumptions'!K39,IF('Summary ERRs'!$B$93=3,'Farm Model Assumptions'!L39,IF('Summary ERRs'!$B$93=4,1,""))))</f>
        <v>0.92</v>
      </c>
      <c r="G39" s="787"/>
      <c r="H39" s="187" t="str">
        <f>A39</f>
        <v>Rainy season Paddy</v>
      </c>
      <c r="I39" s="706">
        <v>0.858</v>
      </c>
      <c r="J39" s="707">
        <v>0.92</v>
      </c>
      <c r="K39" s="708">
        <v>0.92</v>
      </c>
      <c r="L39" s="709">
        <v>0.92</v>
      </c>
      <c r="M39" s="46"/>
      <c r="N39" s="187" t="str">
        <f>H39</f>
        <v>Rainy season Paddy</v>
      </c>
      <c r="O39" s="706">
        <v>0.9882</v>
      </c>
      <c r="P39" s="711">
        <v>0.858</v>
      </c>
      <c r="Q39" s="482"/>
      <c r="R39" s="59"/>
      <c r="AC39" s="49"/>
    </row>
    <row r="40" spans="1:29" ht="12.75">
      <c r="A40" s="671" t="s">
        <v>192</v>
      </c>
      <c r="B40" s="717">
        <f>IF('Summary ERRs'!$B$93&lt;&gt;4,I40,0)</f>
        <v>0</v>
      </c>
      <c r="C40" s="721">
        <f t="shared" si="0"/>
        <v>0</v>
      </c>
      <c r="D40" s="721">
        <f t="shared" si="0"/>
        <v>0</v>
      </c>
      <c r="E40" s="721">
        <f t="shared" si="0"/>
        <v>0</v>
      </c>
      <c r="F40" s="731">
        <f>IF('Summary ERRs'!$B$93=1,'Farm Model Assumptions'!J40,IF('Summary ERRs'!$B$93=2,'Farm Model Assumptions'!K40,IF('Summary ERRs'!$B$93=3,'Farm Model Assumptions'!L40,IF('Summary ERRs'!$B$93=4,0,""))))</f>
        <v>0</v>
      </c>
      <c r="G40" s="787"/>
      <c r="H40" s="679" t="str">
        <f aca="true" t="shared" si="1" ref="H40:H47">A40</f>
        <v>DS Wheat</v>
      </c>
      <c r="I40" s="710">
        <v>0</v>
      </c>
      <c r="J40" s="793">
        <v>0</v>
      </c>
      <c r="K40" s="793">
        <v>0</v>
      </c>
      <c r="L40" s="794">
        <v>0</v>
      </c>
      <c r="M40" s="46"/>
      <c r="N40" s="187" t="str">
        <f aca="true" t="shared" si="2" ref="N40:N48">H40</f>
        <v>DS Wheat</v>
      </c>
      <c r="O40" s="706">
        <v>0.0001</v>
      </c>
      <c r="P40" s="711">
        <v>0</v>
      </c>
      <c r="Q40" s="482"/>
      <c r="R40" s="59"/>
      <c r="AC40" s="49"/>
    </row>
    <row r="41" spans="1:29" ht="12.75">
      <c r="A41" s="48" t="s">
        <v>592</v>
      </c>
      <c r="B41" s="718">
        <f>IF('Summary ERRs'!$B$93&lt;&gt;4,I41,0)</f>
        <v>0.08</v>
      </c>
      <c r="C41" s="707">
        <f t="shared" si="0"/>
        <v>0.08</v>
      </c>
      <c r="D41" s="707">
        <f t="shared" si="0"/>
        <v>0.08</v>
      </c>
      <c r="E41" s="707">
        <f t="shared" si="0"/>
        <v>0.08</v>
      </c>
      <c r="F41" s="732">
        <f>IF('Summary ERRs'!$B$93=1,'Farm Model Assumptions'!J41,IF('Summary ERRs'!$B$93=2,'Farm Model Assumptions'!K41,IF('Summary ERRs'!$B$93=3,'Farm Model Assumptions'!L41,IF('Summary ERRs'!$B$93=4,0,""))))</f>
        <v>0.08</v>
      </c>
      <c r="G41" s="787"/>
      <c r="H41" s="187" t="str">
        <f t="shared" si="1"/>
        <v>RS Maize</v>
      </c>
      <c r="I41" s="706">
        <v>0.08</v>
      </c>
      <c r="J41" s="707">
        <v>0.08</v>
      </c>
      <c r="K41" s="708">
        <v>0.08</v>
      </c>
      <c r="L41" s="709">
        <v>0.08</v>
      </c>
      <c r="M41" s="46"/>
      <c r="N41" s="187" t="str">
        <f t="shared" si="2"/>
        <v>RS Maize</v>
      </c>
      <c r="O41" s="706">
        <v>0</v>
      </c>
      <c r="P41" s="712">
        <v>0.08</v>
      </c>
      <c r="Q41" s="480"/>
      <c r="R41" s="480"/>
      <c r="AC41" s="49"/>
    </row>
    <row r="42" spans="1:29" ht="12.75">
      <c r="A42" s="48" t="s">
        <v>562</v>
      </c>
      <c r="B42" s="718">
        <f>IF('Summary ERRs'!$B$93&lt;&gt;4,I42,0)</f>
        <v>0.1</v>
      </c>
      <c r="C42" s="707">
        <f t="shared" si="0"/>
        <v>0.07500000000000001</v>
      </c>
      <c r="D42" s="707">
        <f t="shared" si="0"/>
        <v>0.05000000000000001</v>
      </c>
      <c r="E42" s="707">
        <f t="shared" si="0"/>
        <v>0.02500000000000001</v>
      </c>
      <c r="F42" s="732">
        <f>IF('Summary ERRs'!$B$93=1,'Farm Model Assumptions'!J42,IF('Summary ERRs'!$B$93=2,'Farm Model Assumptions'!K42,IF('Summary ERRs'!$B$93=3,'Farm Model Assumptions'!L42,IF('Summary ERRs'!$B$93=4,0,""))))</f>
        <v>0</v>
      </c>
      <c r="G42" s="787"/>
      <c r="H42" s="187" t="str">
        <f t="shared" si="1"/>
        <v>Dry Season Paddy</v>
      </c>
      <c r="I42" s="706">
        <v>0.1</v>
      </c>
      <c r="J42" s="707">
        <v>0</v>
      </c>
      <c r="K42" s="708">
        <v>0</v>
      </c>
      <c r="L42" s="709">
        <v>0.05</v>
      </c>
      <c r="M42" s="46"/>
      <c r="N42" s="187" t="str">
        <f t="shared" si="2"/>
        <v>Dry Season Paddy</v>
      </c>
      <c r="O42" s="706">
        <v>0.10428024305840873</v>
      </c>
      <c r="P42" s="712">
        <v>0.1</v>
      </c>
      <c r="Q42" s="480"/>
      <c r="R42" s="480"/>
      <c r="AC42" s="49"/>
    </row>
    <row r="43" spans="1:29" ht="12.75">
      <c r="A43" s="48" t="s">
        <v>594</v>
      </c>
      <c r="B43" s="718">
        <f>IF('Summary ERRs'!$B$93&lt;&gt;4,I43,0)</f>
        <v>0.019934096641989717</v>
      </c>
      <c r="C43" s="707">
        <f t="shared" si="0"/>
        <v>0.022450572481492286</v>
      </c>
      <c r="D43" s="707">
        <f t="shared" si="0"/>
        <v>0.024967048320994854</v>
      </c>
      <c r="E43" s="707">
        <f t="shared" si="0"/>
        <v>0.027483524160497423</v>
      </c>
      <c r="F43" s="732">
        <f>IF('Summary ERRs'!$B$93=1,'Farm Model Assumptions'!J43,IF('Summary ERRs'!$B$93=2,'Farm Model Assumptions'!K43,IF('Summary ERRs'!$B$93=3,'Farm Model Assumptions'!L43,IF('Summary ERRs'!$B$93=4,0,""))))</f>
        <v>0.03</v>
      </c>
      <c r="G43" s="787"/>
      <c r="H43" s="187" t="str">
        <f t="shared" si="1"/>
        <v>DS Maize</v>
      </c>
      <c r="I43" s="706">
        <v>0.019934096641989717</v>
      </c>
      <c r="J43" s="707">
        <v>0.03</v>
      </c>
      <c r="K43" s="708">
        <v>0.03</v>
      </c>
      <c r="L43" s="709">
        <v>0.03</v>
      </c>
      <c r="M43" s="46"/>
      <c r="N43" s="187" t="str">
        <f t="shared" si="2"/>
        <v>DS Maize</v>
      </c>
      <c r="O43" s="706">
        <v>0.019934096641989717</v>
      </c>
      <c r="P43" s="712">
        <v>0.019934096641989717</v>
      </c>
      <c r="Q43" s="480"/>
      <c r="R43" s="480"/>
      <c r="AC43" s="49"/>
    </row>
    <row r="44" spans="1:30" ht="12.75">
      <c r="A44" s="48" t="s">
        <v>615</v>
      </c>
      <c r="B44" s="718">
        <f>IF('Summary ERRs'!$B$93&lt;&gt;4,I44,0)</f>
        <v>0.03</v>
      </c>
      <c r="C44" s="707">
        <f t="shared" si="0"/>
        <v>0.045</v>
      </c>
      <c r="D44" s="707">
        <f t="shared" si="0"/>
        <v>0.06</v>
      </c>
      <c r="E44" s="707">
        <f t="shared" si="0"/>
        <v>0.075</v>
      </c>
      <c r="F44" s="732">
        <f>IF('Summary ERRs'!$B$93=1,'Farm Model Assumptions'!J44,IF('Summary ERRs'!$B$93=2,'Farm Model Assumptions'!K44,IF('Summary ERRs'!$B$93=3,'Farm Model Assumptions'!L44,IF('Summary ERRs'!$B$93=4,0,""))))</f>
        <v>0.09</v>
      </c>
      <c r="G44" s="787"/>
      <c r="H44" s="187" t="str">
        <f t="shared" si="1"/>
        <v>DS Shallots</v>
      </c>
      <c r="I44" s="706">
        <v>0.03</v>
      </c>
      <c r="J44" s="707">
        <v>0.06</v>
      </c>
      <c r="K44" s="793">
        <v>0.09</v>
      </c>
      <c r="L44" s="794">
        <v>0.09</v>
      </c>
      <c r="M44" s="46"/>
      <c r="N44" s="187" t="str">
        <f t="shared" si="2"/>
        <v>DS Shallots</v>
      </c>
      <c r="O44" s="706">
        <v>0.060129333699001794</v>
      </c>
      <c r="P44" s="712">
        <v>0.03</v>
      </c>
      <c r="Q44" s="480"/>
      <c r="R44" s="480"/>
      <c r="AC44" s="49"/>
      <c r="AD44" s="21"/>
    </row>
    <row r="45" spans="1:29" ht="12.75">
      <c r="A45" s="48" t="s">
        <v>616</v>
      </c>
      <c r="B45" s="718">
        <f>IF('Summary ERRs'!$B$93&lt;&gt;4,I45,0)</f>
        <v>0.02</v>
      </c>
      <c r="C45" s="707">
        <f t="shared" si="0"/>
        <v>0.015</v>
      </c>
      <c r="D45" s="707">
        <f t="shared" si="0"/>
        <v>0.009999999999999998</v>
      </c>
      <c r="E45" s="707">
        <f t="shared" si="0"/>
        <v>0.004999999999999998</v>
      </c>
      <c r="F45" s="732">
        <f>IF('Summary ERRs'!$B$93=1,'Farm Model Assumptions'!J45,IF('Summary ERRs'!$B$93=2,'Farm Model Assumptions'!K45,IF('Summary ERRs'!$B$93=3,'Farm Model Assumptions'!L45,IF('Summary ERRs'!$B$93=4,0,""))))</f>
        <v>0</v>
      </c>
      <c r="G45" s="787"/>
      <c r="H45" s="187" t="str">
        <f t="shared" si="1"/>
        <v>DS Potato</v>
      </c>
      <c r="I45" s="706">
        <v>0.02</v>
      </c>
      <c r="J45" s="707">
        <v>0</v>
      </c>
      <c r="K45" s="793">
        <v>0</v>
      </c>
      <c r="L45" s="794">
        <v>0</v>
      </c>
      <c r="M45" s="46"/>
      <c r="N45" s="187" t="str">
        <f t="shared" si="2"/>
        <v>DS Potato</v>
      </c>
      <c r="O45" s="706">
        <v>0.0020868507422082986</v>
      </c>
      <c r="P45" s="712">
        <v>0.02</v>
      </c>
      <c r="Q45" s="480"/>
      <c r="R45" s="480"/>
      <c r="AC45" s="49"/>
    </row>
    <row r="46" spans="1:29" ht="12.75">
      <c r="A46" s="48" t="s">
        <v>617</v>
      </c>
      <c r="B46" s="718">
        <f>IF('Summary ERRs'!$B$93&lt;&gt;4,I46,0)</f>
        <v>0.0075</v>
      </c>
      <c r="C46" s="707">
        <f t="shared" si="0"/>
        <v>0.013125</v>
      </c>
      <c r="D46" s="707">
        <f t="shared" si="0"/>
        <v>0.01875</v>
      </c>
      <c r="E46" s="707">
        <f t="shared" si="0"/>
        <v>0.024375</v>
      </c>
      <c r="F46" s="732">
        <f>IF('Summary ERRs'!$B$93=1,'Farm Model Assumptions'!J46,IF('Summary ERRs'!$B$93=2,'Farm Model Assumptions'!K46,IF('Summary ERRs'!$B$93=3,'Farm Model Assumptions'!L46,IF('Summary ERRs'!$B$93=4,0,""))))</f>
        <v>0.03</v>
      </c>
      <c r="G46" s="787"/>
      <c r="H46" s="187" t="str">
        <f t="shared" si="1"/>
        <v>DS Tomato/other veg.</v>
      </c>
      <c r="I46" s="706">
        <v>0.0075</v>
      </c>
      <c r="J46" s="793">
        <v>0.01</v>
      </c>
      <c r="K46" s="793">
        <v>0.03</v>
      </c>
      <c r="L46" s="794">
        <v>0.03</v>
      </c>
      <c r="M46" s="46"/>
      <c r="N46" s="187" t="str">
        <f t="shared" si="2"/>
        <v>DS Tomato/other veg.</v>
      </c>
      <c r="O46" s="706">
        <v>0.031765605939530685</v>
      </c>
      <c r="P46" s="712">
        <v>0.0075</v>
      </c>
      <c r="Q46" s="480"/>
      <c r="R46" s="480"/>
      <c r="AC46" s="49"/>
    </row>
    <row r="47" spans="1:29" ht="13.5" thickBot="1">
      <c r="A47" s="48" t="s">
        <v>618</v>
      </c>
      <c r="B47" s="718">
        <f>IF('Summary ERRs'!$B$93&lt;&gt;4,I47,0)</f>
        <v>0.0125</v>
      </c>
      <c r="C47" s="707">
        <f t="shared" si="0"/>
        <v>0.009375000000000001</v>
      </c>
      <c r="D47" s="707">
        <f t="shared" si="0"/>
        <v>0.006250000000000001</v>
      </c>
      <c r="E47" s="707">
        <f t="shared" si="0"/>
        <v>0.003125000000000001</v>
      </c>
      <c r="F47" s="732">
        <f>IF('Summary ERRs'!$B$93=1,'Farm Model Assumptions'!J47,IF('Summary ERRs'!$B$93=2,'Farm Model Assumptions'!K47,IF('Summary ERRs'!$B$93=3,'Farm Model Assumptions'!L47,IF('Summary ERRs'!$B$93=4,0,""))))</f>
        <v>0</v>
      </c>
      <c r="G47" s="787"/>
      <c r="H47" s="187" t="str">
        <f t="shared" si="1"/>
        <v>DS Niebe (forage)</v>
      </c>
      <c r="I47" s="706">
        <v>0.0125</v>
      </c>
      <c r="J47" s="707">
        <v>0</v>
      </c>
      <c r="K47" s="793">
        <v>0</v>
      </c>
      <c r="L47" s="794">
        <v>0</v>
      </c>
      <c r="M47" s="46"/>
      <c r="N47" s="187" t="str">
        <f t="shared" si="2"/>
        <v>DS Niebe (forage)</v>
      </c>
      <c r="O47" s="706">
        <v>0.002467311664836275</v>
      </c>
      <c r="P47" s="712">
        <v>0.0125</v>
      </c>
      <c r="Q47" s="480"/>
      <c r="R47" s="480"/>
      <c r="AC47" s="49"/>
    </row>
    <row r="48" spans="1:38" ht="13.5" thickBot="1">
      <c r="A48" s="97" t="s">
        <v>619</v>
      </c>
      <c r="B48" s="719">
        <f>B39+B41</f>
        <v>0.938</v>
      </c>
      <c r="C48" s="722">
        <f>C39+C41</f>
        <v>0.9534999999999999</v>
      </c>
      <c r="D48" s="722">
        <f>D39+D41</f>
        <v>0.969</v>
      </c>
      <c r="E48" s="722">
        <f>E39+E41</f>
        <v>0.9845</v>
      </c>
      <c r="F48" s="733">
        <f>F39+F41</f>
        <v>1</v>
      </c>
      <c r="G48" s="180"/>
      <c r="H48" s="188" t="s">
        <v>549</v>
      </c>
      <c r="I48" s="713">
        <f>SUM(I39:I47)</f>
        <v>1.1279340966419897</v>
      </c>
      <c r="J48" s="714">
        <f>SUM(J39:J47)</f>
        <v>1.1</v>
      </c>
      <c r="K48" s="715">
        <f>SUM(K39:K47)</f>
        <v>1.1500000000000001</v>
      </c>
      <c r="L48" s="716">
        <f>SUM(L39:L47)</f>
        <v>1.2000000000000002</v>
      </c>
      <c r="M48" s="21"/>
      <c r="N48" s="188" t="str">
        <f t="shared" si="2"/>
        <v>Total</v>
      </c>
      <c r="O48" s="713">
        <f>SUM(O39:O47)</f>
        <v>1.2089634417459754</v>
      </c>
      <c r="P48" s="490">
        <f>SUM(P39:P47)</f>
        <v>1.1279340966419897</v>
      </c>
      <c r="Q48" s="481"/>
      <c r="R48" s="481"/>
      <c r="AC48" s="1"/>
      <c r="AD48" s="1"/>
      <c r="AE48" s="1"/>
      <c r="AF48" s="1"/>
      <c r="AG48" s="1"/>
      <c r="AH48" s="1"/>
      <c r="AL48" s="22"/>
    </row>
    <row r="49" spans="1:36" ht="12.75">
      <c r="A49" s="48" t="s">
        <v>620</v>
      </c>
      <c r="B49" s="706">
        <f>B52-B48</f>
        <v>0.1899340966419898</v>
      </c>
      <c r="C49" s="707">
        <f>C52-C48</f>
        <v>0.17995057248149215</v>
      </c>
      <c r="D49" s="707">
        <f>D52-D48</f>
        <v>0.16996704832099507</v>
      </c>
      <c r="E49" s="707">
        <f>E52-E48</f>
        <v>0.15998352416049733</v>
      </c>
      <c r="F49" s="233">
        <f>F52-F48</f>
        <v>0.15000000000000013</v>
      </c>
      <c r="G49" s="46"/>
      <c r="H49" s="46"/>
      <c r="I49" s="46"/>
      <c r="J49" s="46"/>
      <c r="K49" s="21"/>
      <c r="AA49" s="1"/>
      <c r="AB49" s="1"/>
      <c r="AC49" s="1"/>
      <c r="AD49" s="1"/>
      <c r="AE49" s="1"/>
      <c r="AF49" s="1"/>
      <c r="AJ49" s="22"/>
    </row>
    <row r="50" spans="1:36" ht="12.75">
      <c r="A50" s="320" t="s">
        <v>348</v>
      </c>
      <c r="B50" s="790">
        <f>B40+B42+B43</f>
        <v>0.11993409664198973</v>
      </c>
      <c r="C50" s="791">
        <f>C40+C42+C43</f>
        <v>0.0974505724814923</v>
      </c>
      <c r="D50" s="791">
        <f>D40+D42+D43</f>
        <v>0.07496704832099486</v>
      </c>
      <c r="E50" s="791">
        <f>E40+E42+E43</f>
        <v>0.05248352416049743</v>
      </c>
      <c r="F50" s="792">
        <f>F40+F42+F43</f>
        <v>0.03</v>
      </c>
      <c r="G50" s="46"/>
      <c r="H50" s="46"/>
      <c r="I50" s="46"/>
      <c r="J50" s="46"/>
      <c r="K50" s="21"/>
      <c r="AA50" s="1"/>
      <c r="AB50" s="1"/>
      <c r="AC50" s="1"/>
      <c r="AD50" s="1"/>
      <c r="AE50" s="1"/>
      <c r="AF50" s="1"/>
      <c r="AJ50" s="22"/>
    </row>
    <row r="51" spans="1:36" ht="12.75">
      <c r="A51" s="320" t="s">
        <v>349</v>
      </c>
      <c r="B51" s="790">
        <f>SUM(B44:B47)</f>
        <v>0.07</v>
      </c>
      <c r="C51" s="791">
        <f>SUM(C44:C47)</f>
        <v>0.08249999999999999</v>
      </c>
      <c r="D51" s="791">
        <f>SUM(D44:D47)</f>
        <v>0.095</v>
      </c>
      <c r="E51" s="791">
        <f>SUM(E44:E47)</f>
        <v>0.1075</v>
      </c>
      <c r="F51" s="792">
        <f>SUM(F44:F47)</f>
        <v>0.12</v>
      </c>
      <c r="G51" s="46"/>
      <c r="H51" s="46"/>
      <c r="I51" s="46"/>
      <c r="J51" s="46"/>
      <c r="K51" s="21"/>
      <c r="AA51" s="1"/>
      <c r="AB51" s="1"/>
      <c r="AC51" s="1"/>
      <c r="AD51" s="1"/>
      <c r="AE51" s="1"/>
      <c r="AF51" s="1"/>
      <c r="AJ51" s="22"/>
    </row>
    <row r="52" spans="1:36" ht="13.5" thickBot="1">
      <c r="A52" s="98" t="s">
        <v>549</v>
      </c>
      <c r="B52" s="720">
        <f>SUM(B39:B47)</f>
        <v>1.1279340966419897</v>
      </c>
      <c r="C52" s="723">
        <f>SUM(C39:C47)</f>
        <v>1.133450572481492</v>
      </c>
      <c r="D52" s="723">
        <f>SUM(D39:D47)</f>
        <v>1.138967048320995</v>
      </c>
      <c r="E52" s="723">
        <f>SUM(E39:E47)</f>
        <v>1.1444835241604974</v>
      </c>
      <c r="F52" s="734">
        <f>SUM(F39:F47)</f>
        <v>1.1500000000000001</v>
      </c>
      <c r="G52" s="46"/>
      <c r="H52" s="46"/>
      <c r="I52" s="46"/>
      <c r="J52" s="46"/>
      <c r="K52" s="21"/>
      <c r="L52" s="22"/>
      <c r="M52" s="21"/>
      <c r="N52" s="21"/>
      <c r="O52" s="21"/>
      <c r="P52" s="21"/>
      <c r="Q52" s="21"/>
      <c r="R52" s="21"/>
      <c r="S52" s="21"/>
      <c r="T52" s="21"/>
      <c r="U52" s="21"/>
      <c r="V52" s="21"/>
      <c r="W52" s="21"/>
      <c r="Y52" s="1"/>
      <c r="Z52" s="1"/>
      <c r="AA52" s="1"/>
      <c r="AB52" s="1"/>
      <c r="AC52" s="1"/>
      <c r="AD52" s="1"/>
      <c r="AE52" s="1"/>
      <c r="AF52" s="1"/>
      <c r="AJ52" s="22"/>
    </row>
    <row r="53" spans="1:38" ht="12.75">
      <c r="A53" s="66"/>
      <c r="B53" s="67">
        <f>B51/B49</f>
        <v>0.36854888741721964</v>
      </c>
      <c r="C53" s="46"/>
      <c r="D53" s="67"/>
      <c r="E53" s="67"/>
      <c r="F53" s="67"/>
      <c r="G53" s="68"/>
      <c r="H53" s="46"/>
      <c r="I53" s="46"/>
      <c r="J53" s="46"/>
      <c r="K53" s="46"/>
      <c r="L53" s="46"/>
      <c r="M53" s="21"/>
      <c r="N53" s="21"/>
      <c r="O53" s="21"/>
      <c r="P53" s="21"/>
      <c r="Q53" s="21"/>
      <c r="R53" s="21"/>
      <c r="S53" s="21"/>
      <c r="T53" s="21"/>
      <c r="U53" s="21"/>
      <c r="V53" s="21"/>
      <c r="W53" s="21"/>
      <c r="X53" s="21"/>
      <c r="Y53" s="21"/>
      <c r="AA53" s="1"/>
      <c r="AB53" s="1"/>
      <c r="AC53" s="1"/>
      <c r="AD53" s="1"/>
      <c r="AE53" s="1"/>
      <c r="AF53" s="1"/>
      <c r="AG53" s="1"/>
      <c r="AH53" s="1"/>
      <c r="AL53" s="22"/>
    </row>
    <row r="54" spans="1:10" ht="13.5" thickBot="1">
      <c r="A54" s="69" t="s">
        <v>631</v>
      </c>
      <c r="B54" s="21"/>
      <c r="C54" s="21"/>
      <c r="D54" s="21"/>
      <c r="E54" s="21"/>
      <c r="F54" s="21"/>
      <c r="G54" s="21"/>
      <c r="H54" s="21" t="s">
        <v>631</v>
      </c>
      <c r="I54" s="21"/>
      <c r="J54" s="21"/>
    </row>
    <row r="55" spans="1:15" ht="13.5" thickBot="1">
      <c r="A55" s="85"/>
      <c r="B55" s="1073" t="s">
        <v>244</v>
      </c>
      <c r="C55" s="1073"/>
      <c r="D55" s="1073"/>
      <c r="E55" s="1073"/>
      <c r="F55" s="1074"/>
      <c r="G55" s="33"/>
      <c r="H55" s="85"/>
      <c r="I55" s="1062" t="s">
        <v>630</v>
      </c>
      <c r="J55" s="1062"/>
      <c r="K55" s="1062"/>
      <c r="L55" s="1062"/>
      <c r="M55" s="1062"/>
      <c r="N55" s="1062"/>
      <c r="O55" s="1063"/>
    </row>
    <row r="56" spans="1:15" ht="12.75">
      <c r="A56" s="94" t="s">
        <v>573</v>
      </c>
      <c r="B56" s="57" t="s">
        <v>566</v>
      </c>
      <c r="C56" s="54" t="s">
        <v>567</v>
      </c>
      <c r="D56" s="54" t="s">
        <v>568</v>
      </c>
      <c r="E56" s="55" t="s">
        <v>569</v>
      </c>
      <c r="F56" s="56" t="s">
        <v>570</v>
      </c>
      <c r="G56" s="50"/>
      <c r="H56" s="93" t="s">
        <v>573</v>
      </c>
      <c r="I56" s="12">
        <v>5</v>
      </c>
      <c r="J56" s="62">
        <v>10</v>
      </c>
      <c r="K56" s="52">
        <v>30</v>
      </c>
      <c r="L56" s="62">
        <v>60</v>
      </c>
      <c r="M56" s="52">
        <v>90</v>
      </c>
      <c r="N56" s="62">
        <v>120</v>
      </c>
      <c r="O56" s="64" t="s">
        <v>555</v>
      </c>
    </row>
    <row r="57" spans="1:15" ht="12.75">
      <c r="A57" s="48" t="s">
        <v>591</v>
      </c>
      <c r="B57" s="121">
        <f aca="true" t="shared" si="3" ref="B57:F65">B39*($C$17)</f>
        <v>13727.828399999999</v>
      </c>
      <c r="C57" s="184">
        <f t="shared" si="3"/>
        <v>13975.825299999999</v>
      </c>
      <c r="D57" s="184">
        <f t="shared" si="3"/>
        <v>14223.822199999999</v>
      </c>
      <c r="E57" s="184">
        <f t="shared" si="3"/>
        <v>14471.8191</v>
      </c>
      <c r="F57" s="122">
        <f t="shared" si="3"/>
        <v>14719.816</v>
      </c>
      <c r="G57" s="46"/>
      <c r="H57" s="48" t="s">
        <v>591</v>
      </c>
      <c r="I57" s="114">
        <f aca="true" t="shared" si="4" ref="I57:I65">+F39*B$10*(A$10)</f>
        <v>1840</v>
      </c>
      <c r="J57" s="184">
        <f aca="true" t="shared" si="5" ref="J57:J65">$F39*B$12*(A$12)</f>
        <v>4600</v>
      </c>
      <c r="K57" s="184">
        <f aca="true" t="shared" si="6" ref="K57:K65">$F39*$B$13*($A$13)</f>
        <v>1932.0000000000002</v>
      </c>
      <c r="L57" s="184">
        <f aca="true" t="shared" si="7" ref="L57:L65">$F39*$B$14*($A$14)</f>
        <v>2667.816</v>
      </c>
      <c r="M57" s="114">
        <f aca="true" t="shared" si="8" ref="M57:M65">$F39*$B$15*($A$15)</f>
        <v>0</v>
      </c>
      <c r="N57" s="117">
        <f aca="true" t="shared" si="9" ref="N57:N65">$F39*$B$16*($A$16)</f>
        <v>0</v>
      </c>
      <c r="O57" s="119">
        <f>SUM(I57:N57)</f>
        <v>11039.815999999999</v>
      </c>
    </row>
    <row r="58" spans="1:15" ht="12.75">
      <c r="A58" s="671" t="s">
        <v>192</v>
      </c>
      <c r="B58" s="674">
        <f t="shared" si="3"/>
        <v>0</v>
      </c>
      <c r="C58" s="675">
        <f t="shared" si="3"/>
        <v>0</v>
      </c>
      <c r="D58" s="675">
        <f t="shared" si="3"/>
        <v>0</v>
      </c>
      <c r="E58" s="675">
        <f t="shared" si="3"/>
        <v>0</v>
      </c>
      <c r="F58" s="676">
        <f t="shared" si="3"/>
        <v>0</v>
      </c>
      <c r="G58" s="46"/>
      <c r="H58" s="671" t="s">
        <v>196</v>
      </c>
      <c r="I58" s="674">
        <f t="shared" si="4"/>
        <v>0</v>
      </c>
      <c r="J58" s="675">
        <f t="shared" si="5"/>
        <v>0</v>
      </c>
      <c r="K58" s="675">
        <f t="shared" si="6"/>
        <v>0</v>
      </c>
      <c r="L58" s="675">
        <f t="shared" si="7"/>
        <v>0</v>
      </c>
      <c r="M58" s="674">
        <f t="shared" si="8"/>
        <v>0</v>
      </c>
      <c r="N58" s="675">
        <f t="shared" si="9"/>
        <v>0</v>
      </c>
      <c r="O58" s="677">
        <f aca="true" t="shared" si="10" ref="O58:O65">SUM(I58:N58)</f>
        <v>0</v>
      </c>
    </row>
    <row r="59" spans="1:15" ht="12.75">
      <c r="A59" s="48" t="s">
        <v>592</v>
      </c>
      <c r="B59" s="114">
        <f t="shared" si="3"/>
        <v>1279.984</v>
      </c>
      <c r="C59" s="117">
        <f t="shared" si="3"/>
        <v>1279.984</v>
      </c>
      <c r="D59" s="117">
        <f t="shared" si="3"/>
        <v>1279.984</v>
      </c>
      <c r="E59" s="117">
        <f t="shared" si="3"/>
        <v>1279.984</v>
      </c>
      <c r="F59" s="123">
        <f t="shared" si="3"/>
        <v>1279.984</v>
      </c>
      <c r="G59" s="46"/>
      <c r="H59" s="48" t="s">
        <v>592</v>
      </c>
      <c r="I59" s="114">
        <f t="shared" si="4"/>
        <v>160</v>
      </c>
      <c r="J59" s="117">
        <f t="shared" si="5"/>
        <v>400</v>
      </c>
      <c r="K59" s="117">
        <f t="shared" si="6"/>
        <v>168.00000000000003</v>
      </c>
      <c r="L59" s="117">
        <f t="shared" si="7"/>
        <v>231.984</v>
      </c>
      <c r="M59" s="114">
        <f t="shared" si="8"/>
        <v>0</v>
      </c>
      <c r="N59" s="117">
        <f t="shared" si="9"/>
        <v>0</v>
      </c>
      <c r="O59" s="119">
        <f t="shared" si="10"/>
        <v>959.984</v>
      </c>
    </row>
    <row r="60" spans="1:15" ht="12.75">
      <c r="A60" s="48" t="s">
        <v>593</v>
      </c>
      <c r="B60" s="114">
        <f t="shared" si="3"/>
        <v>1599.98</v>
      </c>
      <c r="C60" s="117">
        <f t="shared" si="3"/>
        <v>1199.9850000000001</v>
      </c>
      <c r="D60" s="117">
        <f t="shared" si="3"/>
        <v>799.9900000000001</v>
      </c>
      <c r="E60" s="117">
        <f t="shared" si="3"/>
        <v>399.9950000000001</v>
      </c>
      <c r="F60" s="123">
        <f t="shared" si="3"/>
        <v>0</v>
      </c>
      <c r="G60" s="46"/>
      <c r="H60" s="48" t="s">
        <v>593</v>
      </c>
      <c r="I60" s="114">
        <f t="shared" si="4"/>
        <v>0</v>
      </c>
      <c r="J60" s="117">
        <f t="shared" si="5"/>
        <v>0</v>
      </c>
      <c r="K60" s="117">
        <f t="shared" si="6"/>
        <v>0</v>
      </c>
      <c r="L60" s="117">
        <f t="shared" si="7"/>
        <v>0</v>
      </c>
      <c r="M60" s="114">
        <f t="shared" si="8"/>
        <v>0</v>
      </c>
      <c r="N60" s="117">
        <f t="shared" si="9"/>
        <v>0</v>
      </c>
      <c r="O60" s="119">
        <f t="shared" si="10"/>
        <v>0</v>
      </c>
    </row>
    <row r="61" spans="1:15" ht="12.75">
      <c r="A61" s="48" t="s">
        <v>594</v>
      </c>
      <c r="B61" s="114">
        <f t="shared" si="3"/>
        <v>318.9415594525071</v>
      </c>
      <c r="C61" s="117">
        <f t="shared" si="3"/>
        <v>359.2046695893803</v>
      </c>
      <c r="D61" s="117">
        <f t="shared" si="3"/>
        <v>399.46777972625347</v>
      </c>
      <c r="E61" s="117">
        <f t="shared" si="3"/>
        <v>439.73088986312666</v>
      </c>
      <c r="F61" s="123">
        <f t="shared" si="3"/>
        <v>479.99399999999997</v>
      </c>
      <c r="G61" s="46"/>
      <c r="H61" s="48" t="s">
        <v>594</v>
      </c>
      <c r="I61" s="114">
        <f t="shared" si="4"/>
        <v>60</v>
      </c>
      <c r="J61" s="117">
        <f t="shared" si="5"/>
        <v>150</v>
      </c>
      <c r="K61" s="117">
        <f t="shared" si="6"/>
        <v>63</v>
      </c>
      <c r="L61" s="117">
        <f t="shared" si="7"/>
        <v>86.994</v>
      </c>
      <c r="M61" s="114">
        <f t="shared" si="8"/>
        <v>0</v>
      </c>
      <c r="N61" s="117">
        <f t="shared" si="9"/>
        <v>0</v>
      </c>
      <c r="O61" s="119">
        <f t="shared" si="10"/>
        <v>359.994</v>
      </c>
    </row>
    <row r="62" spans="1:15" ht="12.75">
      <c r="A62" s="48" t="s">
        <v>608</v>
      </c>
      <c r="B62" s="114">
        <f t="shared" si="3"/>
        <v>479.99399999999997</v>
      </c>
      <c r="C62" s="117">
        <f t="shared" si="3"/>
        <v>719.991</v>
      </c>
      <c r="D62" s="117">
        <f t="shared" si="3"/>
        <v>959.9879999999999</v>
      </c>
      <c r="E62" s="117">
        <f t="shared" si="3"/>
        <v>1199.985</v>
      </c>
      <c r="F62" s="123">
        <f t="shared" si="3"/>
        <v>1439.982</v>
      </c>
      <c r="G62" s="46"/>
      <c r="H62" s="48" t="s">
        <v>608</v>
      </c>
      <c r="I62" s="114">
        <f t="shared" si="4"/>
        <v>180</v>
      </c>
      <c r="J62" s="117">
        <f t="shared" si="5"/>
        <v>450</v>
      </c>
      <c r="K62" s="117">
        <f t="shared" si="6"/>
        <v>189</v>
      </c>
      <c r="L62" s="117">
        <f t="shared" si="7"/>
        <v>260.98199999999997</v>
      </c>
      <c r="M62" s="114">
        <f t="shared" si="8"/>
        <v>0</v>
      </c>
      <c r="N62" s="117">
        <f t="shared" si="9"/>
        <v>0</v>
      </c>
      <c r="O62" s="119">
        <f t="shared" si="10"/>
        <v>1079.982</v>
      </c>
    </row>
    <row r="63" spans="1:15" ht="12.75">
      <c r="A63" s="48" t="s">
        <v>609</v>
      </c>
      <c r="B63" s="114">
        <f t="shared" si="3"/>
        <v>319.996</v>
      </c>
      <c r="C63" s="117">
        <f t="shared" si="3"/>
        <v>239.99699999999999</v>
      </c>
      <c r="D63" s="117">
        <f t="shared" si="3"/>
        <v>159.99799999999996</v>
      </c>
      <c r="E63" s="117">
        <f t="shared" si="3"/>
        <v>79.99899999999997</v>
      </c>
      <c r="F63" s="123">
        <f t="shared" si="3"/>
        <v>0</v>
      </c>
      <c r="G63" s="46"/>
      <c r="H63" s="48" t="s">
        <v>609</v>
      </c>
      <c r="I63" s="114">
        <f t="shared" si="4"/>
        <v>0</v>
      </c>
      <c r="J63" s="117">
        <f t="shared" si="5"/>
        <v>0</v>
      </c>
      <c r="K63" s="117">
        <f t="shared" si="6"/>
        <v>0</v>
      </c>
      <c r="L63" s="117">
        <f t="shared" si="7"/>
        <v>0</v>
      </c>
      <c r="M63" s="114">
        <f t="shared" si="8"/>
        <v>0</v>
      </c>
      <c r="N63" s="117">
        <f t="shared" si="9"/>
        <v>0</v>
      </c>
      <c r="O63" s="119">
        <f t="shared" si="10"/>
        <v>0</v>
      </c>
    </row>
    <row r="64" spans="1:15" ht="12.75">
      <c r="A64" s="48" t="s">
        <v>610</v>
      </c>
      <c r="B64" s="114">
        <f t="shared" si="3"/>
        <v>119.99849999999999</v>
      </c>
      <c r="C64" s="117">
        <f t="shared" si="3"/>
        <v>209.99737499999998</v>
      </c>
      <c r="D64" s="117">
        <f t="shared" si="3"/>
        <v>299.99625</v>
      </c>
      <c r="E64" s="117">
        <f t="shared" si="3"/>
        <v>389.995125</v>
      </c>
      <c r="F64" s="123">
        <f t="shared" si="3"/>
        <v>479.99399999999997</v>
      </c>
      <c r="G64" s="46"/>
      <c r="H64" s="48" t="s">
        <v>610</v>
      </c>
      <c r="I64" s="114">
        <f t="shared" si="4"/>
        <v>60</v>
      </c>
      <c r="J64" s="117">
        <f t="shared" si="5"/>
        <v>150</v>
      </c>
      <c r="K64" s="117">
        <f t="shared" si="6"/>
        <v>63</v>
      </c>
      <c r="L64" s="117">
        <f t="shared" si="7"/>
        <v>86.994</v>
      </c>
      <c r="M64" s="114">
        <f t="shared" si="8"/>
        <v>0</v>
      </c>
      <c r="N64" s="117">
        <f t="shared" si="9"/>
        <v>0</v>
      </c>
      <c r="O64" s="119">
        <f t="shared" si="10"/>
        <v>359.994</v>
      </c>
    </row>
    <row r="65" spans="1:15" ht="13.5" thickBot="1">
      <c r="A65" s="48" t="s">
        <v>200</v>
      </c>
      <c r="B65" s="114">
        <f t="shared" si="3"/>
        <v>199.9975</v>
      </c>
      <c r="C65" s="117">
        <f t="shared" si="3"/>
        <v>149.99812500000002</v>
      </c>
      <c r="D65" s="117">
        <f t="shared" si="3"/>
        <v>99.99875000000002</v>
      </c>
      <c r="E65" s="117">
        <f t="shared" si="3"/>
        <v>49.999375000000015</v>
      </c>
      <c r="F65" s="123">
        <f t="shared" si="3"/>
        <v>0</v>
      </c>
      <c r="G65" s="46"/>
      <c r="H65" s="48" t="s">
        <v>201</v>
      </c>
      <c r="I65" s="114">
        <f t="shared" si="4"/>
        <v>0</v>
      </c>
      <c r="J65" s="117">
        <f t="shared" si="5"/>
        <v>0</v>
      </c>
      <c r="K65" s="117">
        <f t="shared" si="6"/>
        <v>0</v>
      </c>
      <c r="L65" s="117">
        <f t="shared" si="7"/>
        <v>0</v>
      </c>
      <c r="M65" s="114">
        <f t="shared" si="8"/>
        <v>0</v>
      </c>
      <c r="N65" s="117">
        <f t="shared" si="9"/>
        <v>0</v>
      </c>
      <c r="O65" s="119">
        <f t="shared" si="10"/>
        <v>0</v>
      </c>
    </row>
    <row r="66" spans="1:15" ht="13.5" thickBot="1">
      <c r="A66" s="53" t="s">
        <v>549</v>
      </c>
      <c r="B66" s="109">
        <f>SUM(B57:B65)</f>
        <v>18046.719959452505</v>
      </c>
      <c r="C66" s="185">
        <f>SUM(C57:C65)</f>
        <v>18134.982469589373</v>
      </c>
      <c r="D66" s="185">
        <f>SUM(D57:D65)</f>
        <v>18223.244979726252</v>
      </c>
      <c r="E66" s="185">
        <f>SUM(E57:E65)</f>
        <v>18311.50748986313</v>
      </c>
      <c r="F66" s="186">
        <f>SUM(F57:F65)</f>
        <v>18399.77</v>
      </c>
      <c r="G66" s="21"/>
      <c r="H66" s="53" t="s">
        <v>549</v>
      </c>
      <c r="I66" s="126">
        <f>SUM(I57:I65)</f>
        <v>2300</v>
      </c>
      <c r="J66" s="185">
        <f aca="true" t="shared" si="11" ref="J66:O66">SUM(J57:J65)</f>
        <v>5750</v>
      </c>
      <c r="K66" s="185">
        <f t="shared" si="11"/>
        <v>2415.0000000000005</v>
      </c>
      <c r="L66" s="185">
        <f t="shared" si="11"/>
        <v>3334.77</v>
      </c>
      <c r="M66" s="185">
        <f t="shared" si="11"/>
        <v>0</v>
      </c>
      <c r="N66" s="185">
        <f t="shared" si="11"/>
        <v>0</v>
      </c>
      <c r="O66" s="127">
        <f t="shared" si="11"/>
        <v>13799.77</v>
      </c>
    </row>
    <row r="67" spans="1:15" ht="12.75">
      <c r="A67" s="735" t="s">
        <v>245</v>
      </c>
      <c r="B67" s="21"/>
      <c r="C67" s="21"/>
      <c r="D67" s="21"/>
      <c r="E67" s="21"/>
      <c r="F67" s="452"/>
      <c r="G67" s="21"/>
      <c r="H67" s="21"/>
      <c r="I67" s="21"/>
      <c r="J67" s="21"/>
      <c r="K67" s="21"/>
      <c r="L67" s="21"/>
      <c r="N67" s="1"/>
      <c r="O67" s="1"/>
    </row>
    <row r="68" spans="1:15" ht="12.75">
      <c r="A68" s="69" t="s">
        <v>246</v>
      </c>
      <c r="B68" s="21"/>
      <c r="C68" s="21"/>
      <c r="D68" s="21"/>
      <c r="E68" s="21"/>
      <c r="F68" s="736"/>
      <c r="G68" s="21"/>
      <c r="H68" s="21"/>
      <c r="I68" s="21"/>
      <c r="J68" s="21"/>
      <c r="K68" s="21"/>
      <c r="L68" s="21"/>
      <c r="N68" s="1"/>
      <c r="O68" s="1"/>
    </row>
    <row r="69" spans="1:14" ht="13.5" thickBot="1">
      <c r="A69" s="23"/>
      <c r="B69" s="21"/>
      <c r="C69" s="21"/>
      <c r="D69" s="21"/>
      <c r="E69" s="21"/>
      <c r="F69" s="21"/>
      <c r="N69" s="21"/>
    </row>
    <row r="70" spans="1:14" ht="13.5" thickBot="1">
      <c r="A70" s="1072" t="s">
        <v>565</v>
      </c>
      <c r="B70" s="1073"/>
      <c r="C70" s="1073"/>
      <c r="D70" s="1073"/>
      <c r="E70" s="1073"/>
      <c r="F70" s="1073"/>
      <c r="G70" s="1074"/>
      <c r="I70" s="1056" t="s">
        <v>247</v>
      </c>
      <c r="J70" s="1062"/>
      <c r="K70" s="1062"/>
      <c r="L70" s="1062"/>
      <c r="M70" s="1062"/>
      <c r="N70" s="1063"/>
    </row>
    <row r="71" spans="1:14" ht="12.75">
      <c r="A71" s="92" t="s">
        <v>573</v>
      </c>
      <c r="B71" s="106" t="s">
        <v>566</v>
      </c>
      <c r="C71" s="130" t="s">
        <v>567</v>
      </c>
      <c r="D71" s="130" t="s">
        <v>568</v>
      </c>
      <c r="E71" s="130" t="s">
        <v>569</v>
      </c>
      <c r="F71" s="130" t="s">
        <v>570</v>
      </c>
      <c r="G71" s="129" t="s">
        <v>571</v>
      </c>
      <c r="I71" s="103" t="s">
        <v>573</v>
      </c>
      <c r="J71" s="52" t="s">
        <v>566</v>
      </c>
      <c r="K71" s="62" t="s">
        <v>567</v>
      </c>
      <c r="L71" s="62" t="s">
        <v>568</v>
      </c>
      <c r="M71" s="62" t="s">
        <v>569</v>
      </c>
      <c r="N71" s="101" t="s">
        <v>570</v>
      </c>
    </row>
    <row r="72" spans="1:14" ht="12.75">
      <c r="A72" s="96" t="s">
        <v>561</v>
      </c>
      <c r="B72" s="873">
        <f>'Summary ERRs'!$B$96*4.5</f>
        <v>4.5</v>
      </c>
      <c r="C72" s="874">
        <f>'Summary ERRs'!$B$96*5</f>
        <v>5</v>
      </c>
      <c r="D72" s="875">
        <f>'Summary ERRs'!$B$96*5.5</f>
        <v>5.5</v>
      </c>
      <c r="E72" s="875">
        <f>'Summary ERRs'!$B$96*6</f>
        <v>6</v>
      </c>
      <c r="F72" s="872">
        <f>'Summary ERRs'!$B$96*6</f>
        <v>6</v>
      </c>
      <c r="G72" s="105" t="s">
        <v>572</v>
      </c>
      <c r="I72" s="87" t="s">
        <v>591</v>
      </c>
      <c r="J72" s="121">
        <f aca="true" t="shared" si="12" ref="J72:J80">B72*B57</f>
        <v>61775.22779999999</v>
      </c>
      <c r="K72" s="184">
        <f aca="true" t="shared" si="13" ref="K72:K80">C72*C57</f>
        <v>69879.1265</v>
      </c>
      <c r="L72" s="184">
        <f aca="true" t="shared" si="14" ref="L72:L80">D72*D57</f>
        <v>78231.02209999999</v>
      </c>
      <c r="M72" s="184">
        <f aca="true" t="shared" si="15" ref="M72:M80">E72*E57</f>
        <v>86830.9146</v>
      </c>
      <c r="N72" s="122">
        <f aca="true" t="shared" si="16" ref="N72:N80">F72*F57</f>
        <v>88318.89600000001</v>
      </c>
    </row>
    <row r="73" spans="1:14" ht="12.75">
      <c r="A73" s="671" t="s">
        <v>195</v>
      </c>
      <c r="B73" s="672">
        <f>'Summary ERRs'!$B$96*1.5</f>
        <v>1.5</v>
      </c>
      <c r="C73" s="673">
        <f>'Summary ERRs'!$B$96*1.8</f>
        <v>1.8</v>
      </c>
      <c r="D73" s="673">
        <f>'Summary ERRs'!$B$96*2.1</f>
        <v>2.1</v>
      </c>
      <c r="E73" s="673">
        <f>'Summary ERRs'!$B$96*2.4</f>
        <v>2.4</v>
      </c>
      <c r="F73" s="673">
        <f>'Summary ERRs'!$B$96*3</f>
        <v>3</v>
      </c>
      <c r="G73" s="663" t="s">
        <v>572</v>
      </c>
      <c r="I73" s="87" t="s">
        <v>196</v>
      </c>
      <c r="J73" s="114">
        <f t="shared" si="12"/>
        <v>0</v>
      </c>
      <c r="K73" s="117">
        <f t="shared" si="13"/>
        <v>0</v>
      </c>
      <c r="L73" s="117">
        <f t="shared" si="14"/>
        <v>0</v>
      </c>
      <c r="M73" s="117">
        <f t="shared" si="15"/>
        <v>0</v>
      </c>
      <c r="N73" s="123">
        <f t="shared" si="16"/>
        <v>0</v>
      </c>
    </row>
    <row r="74" spans="1:14" ht="12.75">
      <c r="A74" s="48" t="s">
        <v>564</v>
      </c>
      <c r="B74" s="102">
        <f>'Summary ERRs'!$B$96*3.8</f>
        <v>3.8</v>
      </c>
      <c r="C74" s="13">
        <f>'Summary ERRs'!$B$96*4.2</f>
        <v>4.2</v>
      </c>
      <c r="D74" s="13">
        <f>'Summary ERRs'!$B$96*4.5</f>
        <v>4.5</v>
      </c>
      <c r="E74" s="128">
        <f>'Summary ERRs'!$B$96*4.8</f>
        <v>4.8</v>
      </c>
      <c r="F74" s="13">
        <f>'Summary ERRs'!$B$96*5</f>
        <v>5</v>
      </c>
      <c r="G74" s="105" t="s">
        <v>572</v>
      </c>
      <c r="I74" s="87" t="s">
        <v>564</v>
      </c>
      <c r="J74" s="114">
        <f t="shared" si="12"/>
        <v>4863.9392</v>
      </c>
      <c r="K74" s="117">
        <f t="shared" si="13"/>
        <v>5375.9328</v>
      </c>
      <c r="L74" s="117">
        <f t="shared" si="14"/>
        <v>5759.928</v>
      </c>
      <c r="M74" s="117">
        <f t="shared" si="15"/>
        <v>6143.923199999999</v>
      </c>
      <c r="N74" s="123">
        <f t="shared" si="16"/>
        <v>6399.92</v>
      </c>
    </row>
    <row r="75" spans="1:14" ht="12.75">
      <c r="A75" s="48" t="s">
        <v>562</v>
      </c>
      <c r="B75" s="102">
        <f>'Summary ERRs'!$B$96*4</f>
        <v>4</v>
      </c>
      <c r="C75" s="128">
        <f>'Summary ERRs'!$B$96*4.5</f>
        <v>4.5</v>
      </c>
      <c r="D75" s="128">
        <f>'Summary ERRs'!$B$96*5</f>
        <v>5</v>
      </c>
      <c r="E75" s="13">
        <f>'Summary ERRs'!$B$96*5</f>
        <v>5</v>
      </c>
      <c r="F75" s="13">
        <f>'Summary ERRs'!$B$96*5</f>
        <v>5</v>
      </c>
      <c r="G75" s="105" t="s">
        <v>572</v>
      </c>
      <c r="I75" s="87" t="s">
        <v>593</v>
      </c>
      <c r="J75" s="114">
        <f t="shared" si="12"/>
        <v>6399.92</v>
      </c>
      <c r="K75" s="117">
        <f t="shared" si="13"/>
        <v>5399.932500000001</v>
      </c>
      <c r="L75" s="117">
        <f t="shared" si="14"/>
        <v>3999.9500000000007</v>
      </c>
      <c r="M75" s="117">
        <f t="shared" si="15"/>
        <v>1999.9750000000006</v>
      </c>
      <c r="N75" s="123">
        <f t="shared" si="16"/>
        <v>0</v>
      </c>
    </row>
    <row r="76" spans="1:14" ht="12.75">
      <c r="A76" s="48" t="s">
        <v>563</v>
      </c>
      <c r="B76" s="102">
        <f>'Summary ERRs'!$B$96*3.2</f>
        <v>3.2</v>
      </c>
      <c r="C76" s="128">
        <f>'Summary ERRs'!$B$96*3.5</f>
        <v>3.5</v>
      </c>
      <c r="D76" s="128">
        <f>'Summary ERRs'!$B$96*3.9</f>
        <v>3.9</v>
      </c>
      <c r="E76" s="128">
        <f>'Summary ERRs'!$B$96*4.2</f>
        <v>4.2</v>
      </c>
      <c r="F76" s="13">
        <f>'Summary ERRs'!$B$96*4.5</f>
        <v>4.5</v>
      </c>
      <c r="G76" s="105" t="s">
        <v>572</v>
      </c>
      <c r="I76" s="87" t="s">
        <v>563</v>
      </c>
      <c r="J76" s="114">
        <f t="shared" si="12"/>
        <v>1020.6129902480227</v>
      </c>
      <c r="K76" s="117">
        <f t="shared" si="13"/>
        <v>1257.2163435628308</v>
      </c>
      <c r="L76" s="117">
        <f t="shared" si="14"/>
        <v>1557.9243409323885</v>
      </c>
      <c r="M76" s="117">
        <f t="shared" si="15"/>
        <v>1846.8697374251321</v>
      </c>
      <c r="N76" s="123">
        <f t="shared" si="16"/>
        <v>2159.973</v>
      </c>
    </row>
    <row r="77" spans="1:14" ht="12.75">
      <c r="A77" s="671" t="s">
        <v>557</v>
      </c>
      <c r="B77" s="672">
        <f>'Summary ERRs'!B96*25</f>
        <v>25</v>
      </c>
      <c r="C77" s="673">
        <f>'Summary ERRs'!$B$96*26</f>
        <v>26</v>
      </c>
      <c r="D77" s="673">
        <f>'Summary ERRs'!$B$96*27</f>
        <v>27</v>
      </c>
      <c r="E77" s="673">
        <f>'Summary ERRs'!$B$96*28</f>
        <v>28</v>
      </c>
      <c r="F77" s="673">
        <f>'Summary ERRs'!$B$96*30</f>
        <v>30</v>
      </c>
      <c r="G77" s="663" t="s">
        <v>572</v>
      </c>
      <c r="I77" s="87" t="s">
        <v>557</v>
      </c>
      <c r="J77" s="114">
        <f t="shared" si="12"/>
        <v>11999.849999999999</v>
      </c>
      <c r="K77" s="117">
        <f t="shared" si="13"/>
        <v>18719.766</v>
      </c>
      <c r="L77" s="117">
        <f t="shared" si="14"/>
        <v>25919.676</v>
      </c>
      <c r="M77" s="117">
        <f t="shared" si="15"/>
        <v>33599.579999999994</v>
      </c>
      <c r="N77" s="123">
        <f t="shared" si="16"/>
        <v>43199.46</v>
      </c>
    </row>
    <row r="78" spans="1:14" ht="12.75">
      <c r="A78" s="671" t="s">
        <v>558</v>
      </c>
      <c r="B78" s="672">
        <f>'Summary ERRs'!$B$96*18</f>
        <v>18</v>
      </c>
      <c r="C78" s="673">
        <f>'Summary ERRs'!$B$96*22</f>
        <v>22</v>
      </c>
      <c r="D78" s="673">
        <f>'Summary ERRs'!$B$96*26</f>
        <v>26</v>
      </c>
      <c r="E78" s="673">
        <f>'Summary ERRs'!$B$96*30</f>
        <v>30</v>
      </c>
      <c r="F78" s="673">
        <f>'Summary ERRs'!$B$96*32</f>
        <v>32</v>
      </c>
      <c r="G78" s="663" t="s">
        <v>572</v>
      </c>
      <c r="I78" s="87" t="s">
        <v>558</v>
      </c>
      <c r="J78" s="114">
        <f t="shared" si="12"/>
        <v>5759.928</v>
      </c>
      <c r="K78" s="117">
        <f t="shared" si="13"/>
        <v>5279.933999999999</v>
      </c>
      <c r="L78" s="117">
        <f t="shared" si="14"/>
        <v>4159.947999999999</v>
      </c>
      <c r="M78" s="117">
        <f t="shared" si="15"/>
        <v>2399.969999999999</v>
      </c>
      <c r="N78" s="123">
        <f t="shared" si="16"/>
        <v>0</v>
      </c>
    </row>
    <row r="79" spans="1:14" ht="12.75">
      <c r="A79" s="671" t="s">
        <v>560</v>
      </c>
      <c r="B79" s="672">
        <f>'Summary ERRs'!$B$96*18</f>
        <v>18</v>
      </c>
      <c r="C79" s="673">
        <f>'Summary ERRs'!$B$96*19</f>
        <v>19</v>
      </c>
      <c r="D79" s="673">
        <f>'Summary ERRs'!$B$96*20</f>
        <v>20</v>
      </c>
      <c r="E79" s="673">
        <f>'Summary ERRs'!$B$96*22</f>
        <v>22</v>
      </c>
      <c r="F79" s="673">
        <f>'Summary ERRs'!$B$96*24</f>
        <v>24</v>
      </c>
      <c r="G79" s="663" t="s">
        <v>572</v>
      </c>
      <c r="I79" s="87" t="s">
        <v>560</v>
      </c>
      <c r="J79" s="114">
        <f t="shared" si="12"/>
        <v>2159.973</v>
      </c>
      <c r="K79" s="117">
        <f t="shared" si="13"/>
        <v>3989.9501249999994</v>
      </c>
      <c r="L79" s="117">
        <f t="shared" si="14"/>
        <v>5999.924999999999</v>
      </c>
      <c r="M79" s="117">
        <f t="shared" si="15"/>
        <v>8579.892749999999</v>
      </c>
      <c r="N79" s="123">
        <f t="shared" si="16"/>
        <v>11519.856</v>
      </c>
    </row>
    <row r="80" spans="1:14" ht="12.75" hidden="1">
      <c r="A80" s="671"/>
      <c r="B80" s="672"/>
      <c r="C80" s="673"/>
      <c r="D80" s="673"/>
      <c r="E80" s="673"/>
      <c r="F80" s="673"/>
      <c r="G80" s="663"/>
      <c r="I80" s="87" t="s">
        <v>575</v>
      </c>
      <c r="J80" s="114">
        <f t="shared" si="12"/>
        <v>0</v>
      </c>
      <c r="K80" s="117">
        <f t="shared" si="13"/>
        <v>0</v>
      </c>
      <c r="L80" s="117">
        <f t="shared" si="14"/>
        <v>0</v>
      </c>
      <c r="M80" s="117">
        <f t="shared" si="15"/>
        <v>0</v>
      </c>
      <c r="N80" s="123">
        <f t="shared" si="16"/>
        <v>0</v>
      </c>
    </row>
    <row r="81" spans="1:14" ht="13.5" thickBot="1">
      <c r="A81" s="680" t="s">
        <v>574</v>
      </c>
      <c r="B81" s="681">
        <f>'Summary ERRs'!$B$96*1.2</f>
        <v>1.2</v>
      </c>
      <c r="C81" s="682">
        <f>'Summary ERRs'!$B$96*1.6</f>
        <v>1.6</v>
      </c>
      <c r="D81" s="682">
        <f>'Summary ERRs'!$B$96*2</f>
        <v>2</v>
      </c>
      <c r="E81" s="682">
        <f>'Summary ERRs'!$B$96*2</f>
        <v>2</v>
      </c>
      <c r="F81" s="682">
        <f>'Summary ERRs'!$B$96*2</f>
        <v>2</v>
      </c>
      <c r="G81" s="683" t="s">
        <v>572</v>
      </c>
      <c r="I81" s="87" t="s">
        <v>651</v>
      </c>
      <c r="J81" s="114">
        <f>B81*B65</f>
        <v>239.99699999999999</v>
      </c>
      <c r="K81" s="117">
        <f>C81*C65</f>
        <v>239.99700000000004</v>
      </c>
      <c r="L81" s="117">
        <f>D81*D65</f>
        <v>199.99750000000003</v>
      </c>
      <c r="M81" s="117">
        <f>E81*E65</f>
        <v>99.99875000000003</v>
      </c>
      <c r="N81" s="123">
        <f>F81*F65</f>
        <v>0</v>
      </c>
    </row>
    <row r="82" spans="1:14" ht="13.5" thickBot="1">
      <c r="A82" s="69"/>
      <c r="B82" s="14"/>
      <c r="C82" s="14"/>
      <c r="D82" s="14"/>
      <c r="E82" s="14"/>
      <c r="F82" s="14"/>
      <c r="G82" s="14"/>
      <c r="I82" s="87" t="s">
        <v>652</v>
      </c>
      <c r="J82" s="114">
        <f>H23*20*60/1000</f>
        <v>0</v>
      </c>
      <c r="K82" s="117">
        <f>I23*20*60/1000</f>
        <v>0</v>
      </c>
      <c r="L82" s="117">
        <f>J23*20*60/1000</f>
        <v>0</v>
      </c>
      <c r="M82" s="117">
        <f>K23*20*60/1000</f>
        <v>0</v>
      </c>
      <c r="N82" s="123">
        <f>M82</f>
        <v>0</v>
      </c>
    </row>
    <row r="83" spans="1:14" ht="13.5" thickBot="1">
      <c r="A83" s="59"/>
      <c r="B83" s="59"/>
      <c r="C83" s="59"/>
      <c r="D83" s="59"/>
      <c r="E83" s="59"/>
      <c r="F83" s="59"/>
      <c r="G83" s="59"/>
      <c r="I83" s="204" t="s">
        <v>649</v>
      </c>
      <c r="J83" s="126">
        <f>SUM(J72:J82)</f>
        <v>94219.447990248</v>
      </c>
      <c r="K83" s="126">
        <f>SUM(K72:K81)</f>
        <v>110141.85526856282</v>
      </c>
      <c r="L83" s="126">
        <f>SUM(L72:L81)</f>
        <v>125828.37094093238</v>
      </c>
      <c r="M83" s="126">
        <f>SUM(M72:M81)</f>
        <v>141501.12403742515</v>
      </c>
      <c r="N83" s="127">
        <f>SUM(N72:N82)</f>
        <v>151598.105</v>
      </c>
    </row>
    <row r="84" spans="1:14" ht="12.75">
      <c r="A84" s="59"/>
      <c r="B84" s="59"/>
      <c r="C84" s="59"/>
      <c r="D84" s="59"/>
      <c r="E84" s="59"/>
      <c r="F84" s="59"/>
      <c r="G84" s="59"/>
      <c r="I84" s="737" t="s">
        <v>248</v>
      </c>
      <c r="J84" s="205"/>
      <c r="K84" s="205"/>
      <c r="L84" s="205"/>
      <c r="M84" s="205"/>
      <c r="N84" s="205"/>
    </row>
    <row r="85" spans="1:14" ht="12.75">
      <c r="A85" s="23"/>
      <c r="B85" s="21"/>
      <c r="D85" s="21"/>
      <c r="E85" s="21"/>
      <c r="F85" s="21"/>
      <c r="I85" s="22" t="s">
        <v>249</v>
      </c>
      <c r="N85" s="21"/>
    </row>
    <row r="86" spans="1:14" ht="13.5" thickBot="1">
      <c r="A86" s="23"/>
      <c r="B86" s="21"/>
      <c r="D86" s="21"/>
      <c r="E86" s="21"/>
      <c r="F86" s="21"/>
      <c r="I86" s="22"/>
      <c r="N86" s="21"/>
    </row>
    <row r="87" spans="1:15" ht="13.5" thickBot="1">
      <c r="A87" s="51"/>
      <c r="B87" s="71"/>
      <c r="C87" s="83"/>
      <c r="D87" s="1075" t="s">
        <v>582</v>
      </c>
      <c r="E87" s="1076"/>
      <c r="F87" s="1076"/>
      <c r="G87" s="1076"/>
      <c r="H87" s="1076"/>
      <c r="I87" s="1076"/>
      <c r="J87" s="1076"/>
      <c r="K87" s="1076"/>
      <c r="L87" s="1076"/>
      <c r="M87" s="1061"/>
      <c r="N87" s="21"/>
      <c r="O87" s="21"/>
    </row>
    <row r="88" spans="1:15" ht="13.5" thickBot="1">
      <c r="A88" s="76"/>
      <c r="B88" s="72"/>
      <c r="C88" s="77"/>
      <c r="D88" s="1075" t="s">
        <v>588</v>
      </c>
      <c r="E88" s="1076"/>
      <c r="F88" s="1076"/>
      <c r="G88" s="1076"/>
      <c r="H88" s="1061"/>
      <c r="I88" s="1075" t="s">
        <v>589</v>
      </c>
      <c r="J88" s="1076"/>
      <c r="K88" s="1076"/>
      <c r="L88" s="1076"/>
      <c r="M88" s="1061"/>
      <c r="N88" s="45"/>
      <c r="O88" s="14"/>
    </row>
    <row r="89" spans="1:14" ht="12.75">
      <c r="A89" s="95" t="s">
        <v>573</v>
      </c>
      <c r="B89" s="137" t="s">
        <v>601</v>
      </c>
      <c r="C89" s="65" t="s">
        <v>576</v>
      </c>
      <c r="D89" s="12" t="s">
        <v>578</v>
      </c>
      <c r="E89" s="62" t="s">
        <v>579</v>
      </c>
      <c r="F89" s="62" t="s">
        <v>577</v>
      </c>
      <c r="G89" s="62" t="s">
        <v>580</v>
      </c>
      <c r="H89" s="25" t="s">
        <v>581</v>
      </c>
      <c r="I89" s="137" t="s">
        <v>583</v>
      </c>
      <c r="J89" s="130" t="s">
        <v>584</v>
      </c>
      <c r="K89" s="130" t="s">
        <v>585</v>
      </c>
      <c r="L89" s="130" t="s">
        <v>586</v>
      </c>
      <c r="M89" s="65" t="s">
        <v>587</v>
      </c>
      <c r="N89" s="21"/>
    </row>
    <row r="90" spans="1:14" ht="12.75">
      <c r="A90" s="48" t="s">
        <v>276</v>
      </c>
      <c r="B90" s="665">
        <f>IF('Summary ERRs'!$L$96=1,'Summary ERRs'!$B$99*'Finan-Econ Prices'!F7,IF('Summary ERRs'!$L$96=2,'Summary ERRs'!$B$99*'Finan-Econ Prices'!C7,0))</f>
        <v>140</v>
      </c>
      <c r="C90" s="676">
        <f>IF('Summary ERRs'!$L$96=1,'Summary ERRs'!$B$98*'Finan-Econ Prices'!G7,IF('Summary ERRs'!$L$96=2,'Summary ERRs'!$B$98*'Finan-Econ Prices'!D7,0))</f>
        <v>351</v>
      </c>
      <c r="D90" s="114">
        <f aca="true" t="shared" si="17" ref="D90:D99">+B90*B72</f>
        <v>630</v>
      </c>
      <c r="E90" s="117">
        <f aca="true" t="shared" si="18" ref="E90:E99">+B90*C72</f>
        <v>700</v>
      </c>
      <c r="F90" s="117">
        <f aca="true" t="shared" si="19" ref="F90:F99">+B90*D72</f>
        <v>770</v>
      </c>
      <c r="G90" s="117">
        <f aca="true" t="shared" si="20" ref="G90:G99">+B90*E72</f>
        <v>840</v>
      </c>
      <c r="H90" s="114">
        <f aca="true" t="shared" si="21" ref="H90:H99">+B90*F72</f>
        <v>840</v>
      </c>
      <c r="I90" s="132">
        <f>+D90-C90</f>
        <v>279</v>
      </c>
      <c r="J90" s="117">
        <f>+E90-C90</f>
        <v>349</v>
      </c>
      <c r="K90" s="117">
        <f>+F90-C90</f>
        <v>419</v>
      </c>
      <c r="L90" s="117">
        <f>+G90-C90</f>
        <v>489</v>
      </c>
      <c r="M90" s="123">
        <f>+H90-C90</f>
        <v>489</v>
      </c>
      <c r="N90" s="18"/>
    </row>
    <row r="91" spans="1:14" ht="12.75">
      <c r="A91" s="671" t="s">
        <v>198</v>
      </c>
      <c r="B91" s="665">
        <f>IF('Summary ERRs'!$L$96=1,'Summary ERRs'!$B$99*'Finan-Econ Prices'!F8,IF('Summary ERRs'!$L$96=2,'Summary ERRs'!$B$99*'Finan-Econ Prices'!C8,0))</f>
        <v>180</v>
      </c>
      <c r="C91" s="676">
        <f>IF('Summary ERRs'!$L$96=1,'Summary ERRs'!$B$98*'Finan-Econ Prices'!G8,IF('Summary ERRs'!$L$96=2,'Summary ERRs'!$B$98*'Finan-Econ Prices'!D8,0))</f>
        <v>200</v>
      </c>
      <c r="D91" s="674">
        <f t="shared" si="17"/>
        <v>270</v>
      </c>
      <c r="E91" s="675">
        <f t="shared" si="18"/>
        <v>324</v>
      </c>
      <c r="F91" s="675">
        <f t="shared" si="19"/>
        <v>378</v>
      </c>
      <c r="G91" s="675">
        <f t="shared" si="20"/>
        <v>432</v>
      </c>
      <c r="H91" s="674">
        <f t="shared" si="21"/>
        <v>540</v>
      </c>
      <c r="I91" s="686">
        <f aca="true" t="shared" si="22" ref="I91:I99">+D91-C91</f>
        <v>70</v>
      </c>
      <c r="J91" s="675">
        <f aca="true" t="shared" si="23" ref="J91:J99">+E91-C91</f>
        <v>124</v>
      </c>
      <c r="K91" s="675">
        <f aca="true" t="shared" si="24" ref="K91:K99">+F91-C91</f>
        <v>178</v>
      </c>
      <c r="L91" s="675">
        <f aca="true" t="shared" si="25" ref="L91:L99">+G91-C91</f>
        <v>232</v>
      </c>
      <c r="M91" s="676">
        <f aca="true" t="shared" si="26" ref="M91:M99">+H91-C91</f>
        <v>340</v>
      </c>
      <c r="N91" s="18"/>
    </row>
    <row r="92" spans="1:14" ht="12.75">
      <c r="A92" s="48" t="s">
        <v>564</v>
      </c>
      <c r="B92" s="665">
        <f>IF('Summary ERRs'!$L$96=1,'Summary ERRs'!$B$99*'Finan-Econ Prices'!F9,IF('Summary ERRs'!$L$96=2,'Summary ERRs'!$B$99*'Finan-Econ Prices'!C9,0))</f>
        <v>160</v>
      </c>
      <c r="C92" s="676">
        <f>IF('Summary ERRs'!$L$96=1,'Summary ERRs'!$B$98*'Finan-Econ Prices'!G9,IF('Summary ERRs'!$L$96=2,'Summary ERRs'!$B$98*'Finan-Econ Prices'!D9,0))</f>
        <v>193</v>
      </c>
      <c r="D92" s="114">
        <f t="shared" si="17"/>
        <v>608</v>
      </c>
      <c r="E92" s="117">
        <f t="shared" si="18"/>
        <v>672</v>
      </c>
      <c r="F92" s="117">
        <f t="shared" si="19"/>
        <v>720</v>
      </c>
      <c r="G92" s="117">
        <f t="shared" si="20"/>
        <v>768</v>
      </c>
      <c r="H92" s="114">
        <f t="shared" si="21"/>
        <v>800</v>
      </c>
      <c r="I92" s="132">
        <f t="shared" si="22"/>
        <v>415</v>
      </c>
      <c r="J92" s="117">
        <f t="shared" si="23"/>
        <v>479</v>
      </c>
      <c r="K92" s="117">
        <f t="shared" si="24"/>
        <v>527</v>
      </c>
      <c r="L92" s="117">
        <f t="shared" si="25"/>
        <v>575</v>
      </c>
      <c r="M92" s="123">
        <f t="shared" si="26"/>
        <v>607</v>
      </c>
      <c r="N92" s="18"/>
    </row>
    <row r="93" spans="1:14" ht="12.75">
      <c r="A93" s="48" t="s">
        <v>562</v>
      </c>
      <c r="B93" s="665">
        <f>IF('Summary ERRs'!$L$96=1,'Summary ERRs'!$B$99*'Finan-Econ Prices'!F10,IF('Summary ERRs'!$L$96=2,'Summary ERRs'!$B$99*'Finan-Econ Prices'!C10,0))</f>
        <v>140</v>
      </c>
      <c r="C93" s="676">
        <f>IF('Summary ERRs'!$L$96=1,'Summary ERRs'!$B$98*'Finan-Econ Prices'!G10,IF('Summary ERRs'!$L$96=2,'Summary ERRs'!$B$98*'Finan-Econ Prices'!D10,0))</f>
        <v>227</v>
      </c>
      <c r="D93" s="114">
        <f t="shared" si="17"/>
        <v>560</v>
      </c>
      <c r="E93" s="117">
        <f t="shared" si="18"/>
        <v>630</v>
      </c>
      <c r="F93" s="117">
        <f t="shared" si="19"/>
        <v>700</v>
      </c>
      <c r="G93" s="117">
        <f t="shared" si="20"/>
        <v>700</v>
      </c>
      <c r="H93" s="114">
        <f t="shared" si="21"/>
        <v>700</v>
      </c>
      <c r="I93" s="132">
        <f t="shared" si="22"/>
        <v>333</v>
      </c>
      <c r="J93" s="117">
        <f t="shared" si="23"/>
        <v>403</v>
      </c>
      <c r="K93" s="117">
        <f t="shared" si="24"/>
        <v>473</v>
      </c>
      <c r="L93" s="117">
        <f t="shared" si="25"/>
        <v>473</v>
      </c>
      <c r="M93" s="123">
        <f t="shared" si="26"/>
        <v>473</v>
      </c>
      <c r="N93" s="18"/>
    </row>
    <row r="94" spans="1:14" ht="12.75">
      <c r="A94" s="48" t="s">
        <v>563</v>
      </c>
      <c r="B94" s="665">
        <f>IF('Summary ERRs'!$L$96=1,'Summary ERRs'!$B$99*'Finan-Econ Prices'!F11,IF('Summary ERRs'!$L$96=2,'Summary ERRs'!$B$99*'Finan-Econ Prices'!C11,0))</f>
        <v>160</v>
      </c>
      <c r="C94" s="676">
        <f>IF('Summary ERRs'!$L$96=1,'Summary ERRs'!$B$98*'Finan-Econ Prices'!G11,IF('Summary ERRs'!$L$96=2,'Summary ERRs'!$B$98*'Finan-Econ Prices'!D11,0))</f>
        <v>193</v>
      </c>
      <c r="D94" s="114">
        <f t="shared" si="17"/>
        <v>512</v>
      </c>
      <c r="E94" s="117">
        <f t="shared" si="18"/>
        <v>560</v>
      </c>
      <c r="F94" s="117">
        <f t="shared" si="19"/>
        <v>624</v>
      </c>
      <c r="G94" s="117">
        <f t="shared" si="20"/>
        <v>672</v>
      </c>
      <c r="H94" s="114">
        <f t="shared" si="21"/>
        <v>720</v>
      </c>
      <c r="I94" s="132">
        <f t="shared" si="22"/>
        <v>319</v>
      </c>
      <c r="J94" s="117">
        <f t="shared" si="23"/>
        <v>367</v>
      </c>
      <c r="K94" s="117">
        <f t="shared" si="24"/>
        <v>431</v>
      </c>
      <c r="L94" s="117">
        <f t="shared" si="25"/>
        <v>479</v>
      </c>
      <c r="M94" s="123">
        <f t="shared" si="26"/>
        <v>527</v>
      </c>
      <c r="N94" s="18"/>
    </row>
    <row r="95" spans="1:14" ht="12.75">
      <c r="A95" s="48" t="s">
        <v>557</v>
      </c>
      <c r="B95" s="665">
        <f>IF('Summary ERRs'!$L$96=1,'Summary ERRs'!$B$99*'Finan-Econ Prices'!F12,IF('Summary ERRs'!$L$96=2,'Summary ERRs'!$B$99*'Finan-Econ Prices'!C12,0))</f>
        <v>150</v>
      </c>
      <c r="C95" s="676">
        <f>IF('Summary ERRs'!$L$96=1,'Summary ERRs'!$B$98*'Finan-Econ Prices'!G12,IF('Summary ERRs'!$L$96=2,'Summary ERRs'!$B$98*'Finan-Econ Prices'!D12,0))</f>
        <v>952</v>
      </c>
      <c r="D95" s="114">
        <f t="shared" si="17"/>
        <v>3750</v>
      </c>
      <c r="E95" s="117">
        <f t="shared" si="18"/>
        <v>3900</v>
      </c>
      <c r="F95" s="117">
        <f t="shared" si="19"/>
        <v>4050</v>
      </c>
      <c r="G95" s="117">
        <f t="shared" si="20"/>
        <v>4200</v>
      </c>
      <c r="H95" s="114">
        <f t="shared" si="21"/>
        <v>4500</v>
      </c>
      <c r="I95" s="132">
        <f t="shared" si="22"/>
        <v>2798</v>
      </c>
      <c r="J95" s="117">
        <f t="shared" si="23"/>
        <v>2948</v>
      </c>
      <c r="K95" s="117">
        <f t="shared" si="24"/>
        <v>3098</v>
      </c>
      <c r="L95" s="117">
        <f t="shared" si="25"/>
        <v>3248</v>
      </c>
      <c r="M95" s="123">
        <f t="shared" si="26"/>
        <v>3548</v>
      </c>
      <c r="N95" s="18"/>
    </row>
    <row r="96" spans="1:14" ht="12.75">
      <c r="A96" s="48" t="s">
        <v>558</v>
      </c>
      <c r="B96" s="665">
        <f>IF('Summary ERRs'!$L$96=1,'Summary ERRs'!$B$99*'Finan-Econ Prices'!F13,IF('Summary ERRs'!$L$96=2,'Summary ERRs'!$B$99*'Finan-Econ Prices'!C13,0))</f>
        <v>200</v>
      </c>
      <c r="C96" s="676">
        <f>IF('Summary ERRs'!$L$96=1,'Summary ERRs'!$B$98*'Finan-Econ Prices'!G13,IF('Summary ERRs'!$L$96=2,'Summary ERRs'!$B$98*'Finan-Econ Prices'!D13,0))</f>
        <v>1919</v>
      </c>
      <c r="D96" s="114">
        <f t="shared" si="17"/>
        <v>3600</v>
      </c>
      <c r="E96" s="117">
        <f t="shared" si="18"/>
        <v>4400</v>
      </c>
      <c r="F96" s="117">
        <f t="shared" si="19"/>
        <v>5200</v>
      </c>
      <c r="G96" s="117">
        <f t="shared" si="20"/>
        <v>6000</v>
      </c>
      <c r="H96" s="114">
        <f t="shared" si="21"/>
        <v>6400</v>
      </c>
      <c r="I96" s="132">
        <f>+D96-C96</f>
        <v>1681</v>
      </c>
      <c r="J96" s="117">
        <f t="shared" si="23"/>
        <v>2481</v>
      </c>
      <c r="K96" s="117">
        <f t="shared" si="24"/>
        <v>3281</v>
      </c>
      <c r="L96" s="117">
        <f t="shared" si="25"/>
        <v>4081</v>
      </c>
      <c r="M96" s="123">
        <f t="shared" si="26"/>
        <v>4481</v>
      </c>
      <c r="N96" s="18"/>
    </row>
    <row r="97" spans="1:14" ht="12.75">
      <c r="A97" s="48" t="s">
        <v>560</v>
      </c>
      <c r="B97" s="665">
        <f>IF('Summary ERRs'!$L$96=1,'Summary ERRs'!$B$99*'Finan-Econ Prices'!F14,IF('Summary ERRs'!$L$96=2,'Summary ERRs'!$B$99*'Finan-Econ Prices'!C14,0))</f>
        <v>40</v>
      </c>
      <c r="C97" s="676">
        <f>IF('Summary ERRs'!$L$96=1,'Summary ERRs'!$B$98*'Finan-Econ Prices'!G14,IF('Summary ERRs'!$L$96=2,'Summary ERRs'!$B$98*'Finan-Econ Prices'!D14,0))</f>
        <v>591</v>
      </c>
      <c r="D97" s="114">
        <f t="shared" si="17"/>
        <v>720</v>
      </c>
      <c r="E97" s="117">
        <f t="shared" si="18"/>
        <v>760</v>
      </c>
      <c r="F97" s="117">
        <f t="shared" si="19"/>
        <v>800</v>
      </c>
      <c r="G97" s="117">
        <f t="shared" si="20"/>
        <v>880</v>
      </c>
      <c r="H97" s="114">
        <f t="shared" si="21"/>
        <v>960</v>
      </c>
      <c r="I97" s="132">
        <f t="shared" si="22"/>
        <v>129</v>
      </c>
      <c r="J97" s="117">
        <f t="shared" si="23"/>
        <v>169</v>
      </c>
      <c r="K97" s="117">
        <f t="shared" si="24"/>
        <v>209</v>
      </c>
      <c r="L97" s="117">
        <f t="shared" si="25"/>
        <v>289</v>
      </c>
      <c r="M97" s="123">
        <f t="shared" si="26"/>
        <v>369</v>
      </c>
      <c r="N97" s="18"/>
    </row>
    <row r="98" spans="1:14" ht="12.75" hidden="1">
      <c r="A98" s="48" t="s">
        <v>575</v>
      </c>
      <c r="B98" s="665">
        <f>'Summary ERRs'!$B$99*140</f>
        <v>140</v>
      </c>
      <c r="C98" s="676">
        <f>351*'Summary ERRs'!$B$98</f>
        <v>351</v>
      </c>
      <c r="D98" s="114">
        <f t="shared" si="17"/>
        <v>0</v>
      </c>
      <c r="E98" s="117">
        <f t="shared" si="18"/>
        <v>0</v>
      </c>
      <c r="F98" s="117">
        <f t="shared" si="19"/>
        <v>0</v>
      </c>
      <c r="G98" s="117">
        <f t="shared" si="20"/>
        <v>0</v>
      </c>
      <c r="H98" s="114">
        <f t="shared" si="21"/>
        <v>0</v>
      </c>
      <c r="I98" s="132"/>
      <c r="J98" s="117"/>
      <c r="K98" s="117"/>
      <c r="L98" s="117"/>
      <c r="M98" s="123"/>
      <c r="N98" s="18"/>
    </row>
    <row r="99" spans="1:14" ht="13.5" thickBot="1">
      <c r="A99" s="131" t="s">
        <v>574</v>
      </c>
      <c r="B99" s="697">
        <f>IF('Summary ERRs'!$L$96=1,'Summary ERRs'!$B$99*'Finan-Econ Prices'!F15,IF('Summary ERRs'!$L$96=2,'Summary ERRs'!$B$99*'Finan-Econ Prices'!C15,0))</f>
        <v>250</v>
      </c>
      <c r="C99" s="698">
        <f>IF('Summary ERRs'!$L$96=1,'Summary ERRs'!$B$98*'Finan-Econ Prices'!G15,IF('Summary ERRs'!$L$96=2,'Summary ERRs'!$B$98*'Finan-Econ Prices'!D15,0))</f>
        <v>97</v>
      </c>
      <c r="D99" s="115">
        <f t="shared" si="17"/>
        <v>300</v>
      </c>
      <c r="E99" s="118">
        <f t="shared" si="18"/>
        <v>400</v>
      </c>
      <c r="F99" s="118">
        <f t="shared" si="19"/>
        <v>500</v>
      </c>
      <c r="G99" s="118">
        <f t="shared" si="20"/>
        <v>500</v>
      </c>
      <c r="H99" s="115">
        <f t="shared" si="21"/>
        <v>500</v>
      </c>
      <c r="I99" s="133">
        <f t="shared" si="22"/>
        <v>203</v>
      </c>
      <c r="J99" s="118">
        <f t="shared" si="23"/>
        <v>303</v>
      </c>
      <c r="K99" s="118">
        <f t="shared" si="24"/>
        <v>403</v>
      </c>
      <c r="L99" s="118">
        <f t="shared" si="25"/>
        <v>403</v>
      </c>
      <c r="M99" s="116">
        <f t="shared" si="26"/>
        <v>403</v>
      </c>
      <c r="N99" s="21"/>
    </row>
    <row r="100" spans="1:14" ht="13.5" thickBot="1">
      <c r="A100" s="684" t="s">
        <v>204</v>
      </c>
      <c r="B100" s="685"/>
      <c r="C100" s="685"/>
      <c r="D100" s="674"/>
      <c r="E100" s="114"/>
      <c r="F100" s="114"/>
      <c r="G100" s="114"/>
      <c r="H100" s="114"/>
      <c r="I100" s="114"/>
      <c r="J100" s="114"/>
      <c r="K100" s="114"/>
      <c r="L100" s="114"/>
      <c r="M100" s="114"/>
      <c r="N100" s="21"/>
    </row>
    <row r="101" spans="3:13" ht="12.75">
      <c r="C101" s="14"/>
      <c r="D101" s="114"/>
      <c r="E101" s="114"/>
      <c r="F101" s="114"/>
      <c r="G101" s="114"/>
      <c r="H101" s="1109" t="s">
        <v>241</v>
      </c>
      <c r="I101" s="1110"/>
      <c r="J101" s="1111"/>
      <c r="K101" s="1029">
        <v>0.15848710689672457</v>
      </c>
      <c r="L101" s="114"/>
      <c r="M101" s="983"/>
    </row>
    <row r="102" spans="3:14" ht="12.75">
      <c r="C102" s="14"/>
      <c r="D102" s="114"/>
      <c r="E102" s="114"/>
      <c r="F102" s="114"/>
      <c r="G102" s="114"/>
      <c r="H102" s="1112" t="s">
        <v>240</v>
      </c>
      <c r="I102" s="1113"/>
      <c r="J102" s="1114"/>
      <c r="K102" s="1030">
        <v>0.42</v>
      </c>
      <c r="L102" s="114"/>
      <c r="M102" s="114"/>
      <c r="N102" s="21"/>
    </row>
    <row r="103" spans="8:11" ht="27.75" customHeight="1" thickBot="1">
      <c r="H103" s="1069" t="s">
        <v>669</v>
      </c>
      <c r="I103" s="1070"/>
      <c r="J103" s="1071"/>
      <c r="K103" s="1031">
        <v>0.452392357230294</v>
      </c>
    </row>
    <row r="104" spans="1:12" ht="13.5" thickBot="1">
      <c r="A104" s="23"/>
      <c r="L104" s="1"/>
    </row>
    <row r="105" spans="1:14" ht="13.5" thickBot="1">
      <c r="A105" s="51"/>
      <c r="B105" s="1072" t="s">
        <v>590</v>
      </c>
      <c r="C105" s="1073"/>
      <c r="D105" s="1073"/>
      <c r="E105" s="1073"/>
      <c r="F105" s="1074"/>
      <c r="G105" s="78"/>
      <c r="H105" s="80"/>
      <c r="I105" s="74"/>
      <c r="J105" s="1072" t="s">
        <v>636</v>
      </c>
      <c r="K105" s="1073"/>
      <c r="L105" s="1073"/>
      <c r="M105" s="1073"/>
      <c r="N105" s="1074"/>
    </row>
    <row r="106" spans="1:14" ht="13.5" thickBot="1">
      <c r="A106" s="138" t="s">
        <v>573</v>
      </c>
      <c r="B106" s="81" t="s">
        <v>583</v>
      </c>
      <c r="C106" s="113" t="s">
        <v>584</v>
      </c>
      <c r="D106" s="113" t="s">
        <v>585</v>
      </c>
      <c r="E106" s="113" t="s">
        <v>586</v>
      </c>
      <c r="F106" s="86" t="s">
        <v>587</v>
      </c>
      <c r="H106" s="139" t="s">
        <v>573</v>
      </c>
      <c r="I106" s="74"/>
      <c r="J106" s="81" t="s">
        <v>566</v>
      </c>
      <c r="K106" s="113" t="s">
        <v>567</v>
      </c>
      <c r="L106" s="113" t="s">
        <v>568</v>
      </c>
      <c r="M106" s="113" t="s">
        <v>569</v>
      </c>
      <c r="N106" s="86" t="s">
        <v>570</v>
      </c>
    </row>
    <row r="107" spans="1:14" ht="12.75">
      <c r="A107" s="97" t="s">
        <v>276</v>
      </c>
      <c r="B107" s="136">
        <f>+I90*1000/'Summary ERRs'!$H$99</f>
        <v>536.5384615384615</v>
      </c>
      <c r="C107" s="135">
        <f>+J90*1000/'Summary ERRs'!$H$99</f>
        <v>671.1538461538462</v>
      </c>
      <c r="D107" s="135">
        <f>+K90*1000/'Summary ERRs'!$H$99</f>
        <v>805.7692307692307</v>
      </c>
      <c r="E107" s="135">
        <f>+L90*1000/'Summary ERRs'!$H$99</f>
        <v>940.3846153846154</v>
      </c>
      <c r="F107" s="134">
        <f>+M90*1000/'Summary ERRs'!$H$99</f>
        <v>940.3846153846154</v>
      </c>
      <c r="G107" s="224">
        <f>1/F107</f>
        <v>0.001063394683026585</v>
      </c>
      <c r="H107" s="82" t="s">
        <v>561</v>
      </c>
      <c r="I107" s="83"/>
      <c r="J107" s="136">
        <f>IF('Summary ERRs'!$H$91=1,(($C90*1000)/'Summary ERRs'!$H$99)*$K$101,0)</f>
        <v>106.97879715528909</v>
      </c>
      <c r="K107" s="135">
        <f>IF('Summary ERRs'!$H$91=1,(($C90*1000)/'Summary ERRs'!$H$99)*$K$101,0)</f>
        <v>106.97879715528909</v>
      </c>
      <c r="L107" s="135">
        <f>IF('Summary ERRs'!$H$91=1,(($C90*1000)/'Summary ERRs'!$H$99)*$K$101,0)</f>
        <v>106.97879715528909</v>
      </c>
      <c r="M107" s="135">
        <f>IF('Summary ERRs'!$H$91=1,(($C90*1000)/'Summary ERRs'!$H$99)*$K$101,0)</f>
        <v>106.97879715528909</v>
      </c>
      <c r="N107" s="134">
        <f>IF('Summary ERRs'!$H$91=1,(($C90*1000)/'Summary ERRs'!$H$99)*$K$101,0)</f>
        <v>106.97879715528909</v>
      </c>
    </row>
    <row r="108" spans="1:14" ht="12.75">
      <c r="A108" s="48" t="str">
        <f>A91</f>
        <v>Wheat (DS)</v>
      </c>
      <c r="B108" s="132">
        <f>+I91*1000/'Summary ERRs'!$H$99</f>
        <v>134.6153846153846</v>
      </c>
      <c r="C108" s="117">
        <f>+J91*1000/'Summary ERRs'!$H$99</f>
        <v>238.46153846153845</v>
      </c>
      <c r="D108" s="117">
        <f>+K91*1000/'Summary ERRs'!$H$99</f>
        <v>342.3076923076923</v>
      </c>
      <c r="E108" s="117">
        <f>+L91*1000/'Summary ERRs'!$H$99</f>
        <v>446.15384615384613</v>
      </c>
      <c r="F108" s="123">
        <f>+M91*1000/'Summary ERRs'!$H$99</f>
        <v>653.8461538461538</v>
      </c>
      <c r="G108" s="224">
        <f aca="true" t="shared" si="27" ref="G108:G116">1/F108</f>
        <v>0.0015294117647058824</v>
      </c>
      <c r="H108" s="75" t="str">
        <f>A108</f>
        <v>Wheat (DS)</v>
      </c>
      <c r="I108" s="79"/>
      <c r="J108" s="132">
        <f>IF('Summary ERRs'!$H$91=1,(($C91*1000)/'Summary ERRs'!$H$99)*$K$103,0)</f>
        <v>173.99706047319</v>
      </c>
      <c r="K108" s="117">
        <f>IF('Summary ERRs'!$H$91=1,(($C91*1000)/'Summary ERRs'!$H$99)*$K$103,0)</f>
        <v>173.99706047319</v>
      </c>
      <c r="L108" s="117">
        <f>IF('Summary ERRs'!$H$91=1,(($C91*1000)/'Summary ERRs'!$H$99)*$K$103,0)</f>
        <v>173.99706047319</v>
      </c>
      <c r="M108" s="117">
        <f>IF('Summary ERRs'!$H$91=1,(($C91*1000)/'Summary ERRs'!$H$99)*$K$103,0)</f>
        <v>173.99706047319</v>
      </c>
      <c r="N108" s="123">
        <f>IF('Summary ERRs'!$H$91=1,(($C91*1000)/'Summary ERRs'!$H$99)*$K$103,0)</f>
        <v>173.99706047319</v>
      </c>
    </row>
    <row r="109" spans="1:14" ht="12.75">
      <c r="A109" s="48" t="s">
        <v>564</v>
      </c>
      <c r="B109" s="132">
        <f>+I92*1000/'Summary ERRs'!$H$99</f>
        <v>798.0769230769231</v>
      </c>
      <c r="C109" s="117">
        <f>+J92*1000/'Summary ERRs'!$H$99</f>
        <v>921.1538461538462</v>
      </c>
      <c r="D109" s="117">
        <f>+K92*1000/'Summary ERRs'!$H$99</f>
        <v>1013.4615384615385</v>
      </c>
      <c r="E109" s="117">
        <f>+L92*1000/'Summary ERRs'!$H$99</f>
        <v>1105.7692307692307</v>
      </c>
      <c r="F109" s="123">
        <f>+M92*1000/'Summary ERRs'!$H$99</f>
        <v>1167.3076923076924</v>
      </c>
      <c r="G109" s="224">
        <f t="shared" si="27"/>
        <v>0.0008566721581548599</v>
      </c>
      <c r="H109" s="75" t="s">
        <v>564</v>
      </c>
      <c r="I109" s="79"/>
      <c r="J109" s="132">
        <f>IF('Summary ERRs'!$H$91=1,(($C92*1000)/'Summary ERRs'!$H$99)*$K$102,0)</f>
        <v>155.88461538461536</v>
      </c>
      <c r="K109" s="117">
        <f>IF('Summary ERRs'!$H$91=1,(($C92*1000)/'Summary ERRs'!$H$99)*$K$102,0)</f>
        <v>155.88461538461536</v>
      </c>
      <c r="L109" s="117">
        <f>IF('Summary ERRs'!$H$91=1,(($C92*1000)/'Summary ERRs'!$H$99)*$K$102,0)</f>
        <v>155.88461538461536</v>
      </c>
      <c r="M109" s="117">
        <f>IF('Summary ERRs'!$H$91=1,(($C92*1000)/'Summary ERRs'!$H$99)*$K$102,0)</f>
        <v>155.88461538461536</v>
      </c>
      <c r="N109" s="123">
        <f>IF('Summary ERRs'!$H$91=1,(($C92*1000)/'Summary ERRs'!$H$99)*$K$102,0)</f>
        <v>155.88461538461536</v>
      </c>
    </row>
    <row r="110" spans="1:14" ht="12.75">
      <c r="A110" s="48" t="s">
        <v>562</v>
      </c>
      <c r="B110" s="132">
        <f>+I93*1000/'Summary ERRs'!$H$99</f>
        <v>640.3846153846154</v>
      </c>
      <c r="C110" s="117">
        <f>+J93*1000/'Summary ERRs'!$H$99</f>
        <v>775</v>
      </c>
      <c r="D110" s="117">
        <f>+K93*1000/'Summary ERRs'!$H$99</f>
        <v>909.6153846153846</v>
      </c>
      <c r="E110" s="117">
        <f>+L93*1000/'Summary ERRs'!$H$99</f>
        <v>909.6153846153846</v>
      </c>
      <c r="F110" s="123">
        <f>+M93*1000/'Summary ERRs'!$H$99</f>
        <v>909.6153846153846</v>
      </c>
      <c r="G110" s="224">
        <f t="shared" si="27"/>
        <v>0.0010993657505285412</v>
      </c>
      <c r="H110" s="75" t="s">
        <v>562</v>
      </c>
      <c r="I110" s="79"/>
      <c r="J110" s="132">
        <f>IF('Summary ERRs'!$H$91=1,(($C93*1000)/'Summary ERRs'!$H$99)*$K$101,0)</f>
        <v>69.18571781837784</v>
      </c>
      <c r="K110" s="117">
        <f>IF('Summary ERRs'!$H$91=1,(($C93*1000)/'Summary ERRs'!$H$99)*$K$101,0)</f>
        <v>69.18571781837784</v>
      </c>
      <c r="L110" s="117">
        <f>IF('Summary ERRs'!$H$91=1,(($C93*1000)/'Summary ERRs'!$H$99)*$K$101,0)</f>
        <v>69.18571781837784</v>
      </c>
      <c r="M110" s="117">
        <f>IF('Summary ERRs'!$H$91=1,(($C93*1000)/'Summary ERRs'!$H$99)*$K$101,0)</f>
        <v>69.18571781837784</v>
      </c>
      <c r="N110" s="123">
        <f>IF('Summary ERRs'!$H$91=1,(($C93*1000)/'Summary ERRs'!$H$99)*$K$101,0)</f>
        <v>69.18571781837784</v>
      </c>
    </row>
    <row r="111" spans="1:14" ht="12.75">
      <c r="A111" s="48" t="s">
        <v>563</v>
      </c>
      <c r="B111" s="132">
        <f>+I94*1000/'Summary ERRs'!$H$99</f>
        <v>613.4615384615385</v>
      </c>
      <c r="C111" s="117">
        <f>+J94*1000/'Summary ERRs'!$H$99</f>
        <v>705.7692307692307</v>
      </c>
      <c r="D111" s="117">
        <f>+K94*1000/'Summary ERRs'!$H$99</f>
        <v>828.8461538461538</v>
      </c>
      <c r="E111" s="117">
        <f>+L94*1000/'Summary ERRs'!$H$99</f>
        <v>921.1538461538462</v>
      </c>
      <c r="F111" s="123">
        <f>+M94*1000/'Summary ERRs'!$H$99</f>
        <v>1013.4615384615385</v>
      </c>
      <c r="G111" s="224">
        <f t="shared" si="27"/>
        <v>0.0009867172675521823</v>
      </c>
      <c r="H111" s="75" t="s">
        <v>563</v>
      </c>
      <c r="I111" s="79"/>
      <c r="J111" s="132">
        <f>IF('Summary ERRs'!$H$91=1,(($C94*1000)/'Summary ERRs'!$H$99)*$K$102,0)</f>
        <v>155.88461538461536</v>
      </c>
      <c r="K111" s="117">
        <f>IF('Summary ERRs'!$H$91=1,(($C94*1000)/'Summary ERRs'!$H$99)*$K$102,0)</f>
        <v>155.88461538461536</v>
      </c>
      <c r="L111" s="117">
        <f>IF('Summary ERRs'!$H$91=1,(($C94*1000)/'Summary ERRs'!$H$99)*$K$102,0)</f>
        <v>155.88461538461536</v>
      </c>
      <c r="M111" s="117">
        <f>IF('Summary ERRs'!$H$91=1,(($C94*1000)/'Summary ERRs'!$H$99)*$K$102,0)</f>
        <v>155.88461538461536</v>
      </c>
      <c r="N111" s="123">
        <f>IF('Summary ERRs'!$H$91=1,(($C94*1000)/'Summary ERRs'!$H$99)*$K$102,0)</f>
        <v>155.88461538461536</v>
      </c>
    </row>
    <row r="112" spans="1:14" ht="12.75">
      <c r="A112" s="48" t="s">
        <v>557</v>
      </c>
      <c r="B112" s="132">
        <f>+I95*1000/'Summary ERRs'!$H$99</f>
        <v>5380.7692307692305</v>
      </c>
      <c r="C112" s="117">
        <f>+J95*1000/'Summary ERRs'!$H$99</f>
        <v>5669.2307692307695</v>
      </c>
      <c r="D112" s="117">
        <f>+K95*1000/'Summary ERRs'!$H$99</f>
        <v>5957.692307692308</v>
      </c>
      <c r="E112" s="117">
        <f>+L95*1000/'Summary ERRs'!$H$99</f>
        <v>6246.153846153846</v>
      </c>
      <c r="F112" s="123">
        <f>+M95*1000/'Summary ERRs'!$H$99</f>
        <v>6823.076923076923</v>
      </c>
      <c r="G112" s="224">
        <f t="shared" si="27"/>
        <v>0.00014656144306651636</v>
      </c>
      <c r="H112" s="75" t="s">
        <v>557</v>
      </c>
      <c r="I112" s="79"/>
      <c r="J112" s="132">
        <f>IF('Summary ERRs'!$H$91=1,(($C95*1000)/'Summary ERRs'!$H$99)*$K$103,0)</f>
        <v>828.2260078523843</v>
      </c>
      <c r="K112" s="117">
        <f>IF('Summary ERRs'!$H$91=1,(($C95*1000)/'Summary ERRs'!$H$99)*$K$103,0)</f>
        <v>828.2260078523843</v>
      </c>
      <c r="L112" s="117">
        <f>IF('Summary ERRs'!$H$91=1,(($C95*1000)/'Summary ERRs'!$H$99)*$K$103,0)</f>
        <v>828.2260078523843</v>
      </c>
      <c r="M112" s="117">
        <f>IF('Summary ERRs'!$H$91=1,(($C95*1000)/'Summary ERRs'!$H$99)*$K$103,0)</f>
        <v>828.2260078523843</v>
      </c>
      <c r="N112" s="123">
        <f>IF('Summary ERRs'!$H$91=1,(($C95*1000)/'Summary ERRs'!$H$99)*$K$103,0)</f>
        <v>828.2260078523843</v>
      </c>
    </row>
    <row r="113" spans="1:14" ht="12.75">
      <c r="A113" s="48" t="s">
        <v>558</v>
      </c>
      <c r="B113" s="132">
        <f>+I96*1000/'Summary ERRs'!$H$99</f>
        <v>3232.6923076923076</v>
      </c>
      <c r="C113" s="117">
        <f>+J96*1000/'Summary ERRs'!$H$99</f>
        <v>4771.153846153846</v>
      </c>
      <c r="D113" s="117">
        <f>+K96*1000/'Summary ERRs'!$H$99</f>
        <v>6309.615384615385</v>
      </c>
      <c r="E113" s="117">
        <f>+L96*1000/'Summary ERRs'!$H$99</f>
        <v>7848.076923076923</v>
      </c>
      <c r="F113" s="123">
        <f>+M96*1000/'Summary ERRs'!$H$99</f>
        <v>8617.307692307691</v>
      </c>
      <c r="G113" s="224">
        <f t="shared" si="27"/>
        <v>0.00011604552555233209</v>
      </c>
      <c r="H113" s="75" t="s">
        <v>558</v>
      </c>
      <c r="I113" s="79"/>
      <c r="J113" s="132">
        <f>IF('Summary ERRs'!$H$91=1,(($C96*1000)/'Summary ERRs'!$H$99)*$K$103,0)</f>
        <v>1669.501795240258</v>
      </c>
      <c r="K113" s="117">
        <f>IF('Summary ERRs'!$H$91=1,(($C96*1000)/'Summary ERRs'!$H$99)*$K$103,0)</f>
        <v>1669.501795240258</v>
      </c>
      <c r="L113" s="117">
        <f>IF('Summary ERRs'!$H$91=1,(($C96*1000)/'Summary ERRs'!$H$99)*$K$103,0)</f>
        <v>1669.501795240258</v>
      </c>
      <c r="M113" s="117">
        <f>IF('Summary ERRs'!$H$91=1,(($C96*1000)/'Summary ERRs'!$H$99)*$K$103,0)</f>
        <v>1669.501795240258</v>
      </c>
      <c r="N113" s="123">
        <f>IF('Summary ERRs'!$H$91=1,(($C96*1000)/'Summary ERRs'!$H$99)*$K$103,0)</f>
        <v>1669.501795240258</v>
      </c>
    </row>
    <row r="114" spans="1:14" ht="12.75">
      <c r="A114" s="48" t="s">
        <v>560</v>
      </c>
      <c r="B114" s="132">
        <f>+I97*1000/'Summary ERRs'!$H$99</f>
        <v>248.07692307692307</v>
      </c>
      <c r="C114" s="117">
        <f>+J97*1000/'Summary ERRs'!$H$99</f>
        <v>325</v>
      </c>
      <c r="D114" s="117">
        <f>+K97*1000/'Summary ERRs'!$H$99</f>
        <v>401.9230769230769</v>
      </c>
      <c r="E114" s="117">
        <f>+L97*1000/'Summary ERRs'!$H$99</f>
        <v>555.7692307692307</v>
      </c>
      <c r="F114" s="123">
        <f>+M97*1000/'Summary ERRs'!$H$99</f>
        <v>709.6153846153846</v>
      </c>
      <c r="G114" s="224">
        <f t="shared" si="27"/>
        <v>0.0014092140921409214</v>
      </c>
      <c r="H114" s="75" t="s">
        <v>560</v>
      </c>
      <c r="I114" s="79"/>
      <c r="J114" s="132">
        <f>IF('Summary ERRs'!$H$91=1,(($C97*1000)/'Summary ERRs'!$H$99)*$K$103,0)</f>
        <v>514.1613136982763</v>
      </c>
      <c r="K114" s="117">
        <f>IF('Summary ERRs'!$H$91=1,(($C97*1000)/'Summary ERRs'!$H$99)*$K$103,0)</f>
        <v>514.1613136982763</v>
      </c>
      <c r="L114" s="117">
        <f>IF('Summary ERRs'!$H$91=1,(($C97*1000)/'Summary ERRs'!$H$99)*$K$103,0)</f>
        <v>514.1613136982763</v>
      </c>
      <c r="M114" s="117">
        <f>IF('Summary ERRs'!$H$91=1,(($C97*1000)/'Summary ERRs'!$H$99)*$K$103,0)</f>
        <v>514.1613136982763</v>
      </c>
      <c r="N114" s="123">
        <f>IF('Summary ERRs'!$H$91=1,(($C97*1000)/'Summary ERRs'!$H$99)*$K$103,0)</f>
        <v>514.1613136982763</v>
      </c>
    </row>
    <row r="115" spans="1:14" ht="12.75" hidden="1">
      <c r="A115" s="48" t="s">
        <v>575</v>
      </c>
      <c r="B115" s="132">
        <f>+I98*1000/'Summary ERRs'!$H$99</f>
        <v>0</v>
      </c>
      <c r="C115" s="117">
        <f>+J98*1000/'Summary ERRs'!$H$99</f>
        <v>0</v>
      </c>
      <c r="D115" s="117">
        <f>+K98*1000/'Summary ERRs'!$H$99</f>
        <v>0</v>
      </c>
      <c r="E115" s="117">
        <f>+L98*1000/'Summary ERRs'!$H$99</f>
        <v>0</v>
      </c>
      <c r="F115" s="123">
        <f>+M98*1000/'Summary ERRs'!$H$99</f>
        <v>0</v>
      </c>
      <c r="G115" s="224" t="e">
        <f t="shared" si="27"/>
        <v>#DIV/0!</v>
      </c>
      <c r="H115" s="75" t="s">
        <v>575</v>
      </c>
      <c r="I115" s="79"/>
      <c r="J115" s="132"/>
      <c r="K115" s="117"/>
      <c r="L115" s="117"/>
      <c r="M115" s="117"/>
      <c r="N115" s="123"/>
    </row>
    <row r="116" spans="1:14" ht="13.5" thickBot="1">
      <c r="A116" s="131" t="s">
        <v>574</v>
      </c>
      <c r="B116" s="133">
        <f>+I99*1000/'Summary ERRs'!$H$99</f>
        <v>390.38461538461536</v>
      </c>
      <c r="C116" s="118">
        <f>+J99*1000/'Summary ERRs'!$H$99</f>
        <v>582.6923076923077</v>
      </c>
      <c r="D116" s="118">
        <f>+K99*1000/'Summary ERRs'!$H$99</f>
        <v>775</v>
      </c>
      <c r="E116" s="118">
        <f>+L99*1000/'Summary ERRs'!$H$99</f>
        <v>775</v>
      </c>
      <c r="F116" s="116">
        <f>+M99*1000/'Summary ERRs'!$H$99</f>
        <v>775</v>
      </c>
      <c r="G116" s="224">
        <f t="shared" si="27"/>
        <v>0.0012903225806451613</v>
      </c>
      <c r="H116" s="189" t="s">
        <v>574</v>
      </c>
      <c r="I116" s="77"/>
      <c r="J116" s="133">
        <f>IF('Summary ERRs'!$H$91=1,(($C98*1000)/'Summary ERRs'!$H$99)*$K$102,0)</f>
        <v>283.5</v>
      </c>
      <c r="K116" s="118">
        <f>IF('Summary ERRs'!$H$91=1,(($C98*1000)/'Summary ERRs'!$H$99)*$K$102,0)</f>
        <v>283.5</v>
      </c>
      <c r="L116" s="118">
        <f>IF('Summary ERRs'!$H$91=1,(($C98*1000)/'Summary ERRs'!$H$99)*$K$102,0)</f>
        <v>283.5</v>
      </c>
      <c r="M116" s="118">
        <f>IF('Summary ERRs'!$H$91=1,(($C98*1000)/'Summary ERRs'!$H$99)*$K$102,0)</f>
        <v>283.5</v>
      </c>
      <c r="N116" s="116">
        <f>IF('Summary ERRs'!$H$91=1,(($C98*1000)/'Summary ERRs'!$H$99)*$K$102,0)</f>
        <v>283.5</v>
      </c>
    </row>
    <row r="117" spans="9:19" ht="12.75">
      <c r="I117" s="22"/>
      <c r="J117" s="22"/>
      <c r="K117" s="22"/>
      <c r="L117" s="22"/>
      <c r="M117" s="22"/>
      <c r="N117" s="22"/>
      <c r="O117" s="22"/>
      <c r="P117" s="22"/>
      <c r="Q117" s="22"/>
      <c r="R117" s="22"/>
      <c r="S117" s="22"/>
    </row>
    <row r="118" spans="1:19" ht="12.75">
      <c r="A118" s="68" t="s">
        <v>621</v>
      </c>
      <c r="B118" s="21"/>
      <c r="C118" s="68"/>
      <c r="D118" s="21"/>
      <c r="E118" s="21"/>
      <c r="F118" s="21"/>
      <c r="G118" s="21"/>
      <c r="H118" s="21"/>
      <c r="I118" s="22"/>
      <c r="J118" s="58"/>
      <c r="K118" s="58"/>
      <c r="L118" s="22"/>
      <c r="M118" s="22"/>
      <c r="N118" s="22"/>
      <c r="O118" s="22"/>
      <c r="P118" s="22"/>
      <c r="Q118" s="22"/>
      <c r="R118" s="22"/>
      <c r="S118" s="22"/>
    </row>
    <row r="119" spans="1:19" ht="12.75">
      <c r="A119" s="687" t="s">
        <v>199</v>
      </c>
      <c r="B119" s="687"/>
      <c r="C119" s="687"/>
      <c r="D119" s="687"/>
      <c r="E119" s="687"/>
      <c r="F119" s="21"/>
      <c r="G119" s="21"/>
      <c r="H119" s="21"/>
      <c r="I119" s="22"/>
      <c r="J119" s="22"/>
      <c r="K119" s="22"/>
      <c r="L119" s="22"/>
      <c r="M119" s="22"/>
      <c r="N119" s="22"/>
      <c r="O119" s="22"/>
      <c r="P119" s="22"/>
      <c r="Q119" s="22"/>
      <c r="R119" s="22"/>
      <c r="S119" s="22"/>
    </row>
    <row r="120" spans="1:19" ht="13.5" thickBot="1">
      <c r="A120" s="21" t="s">
        <v>598</v>
      </c>
      <c r="B120" s="21"/>
      <c r="C120" s="21"/>
      <c r="D120" s="21"/>
      <c r="E120" s="21"/>
      <c r="F120" s="21"/>
      <c r="G120" s="21"/>
      <c r="H120" s="21"/>
      <c r="I120" s="22"/>
      <c r="J120" s="22"/>
      <c r="K120" s="22"/>
      <c r="L120" s="22"/>
      <c r="M120" s="22"/>
      <c r="N120" s="22"/>
      <c r="O120" s="22"/>
      <c r="P120" s="22"/>
      <c r="Q120" s="22"/>
      <c r="R120" s="22"/>
      <c r="S120" s="22"/>
    </row>
    <row r="121" spans="1:19" ht="13.5" thickBot="1">
      <c r="A121" s="85"/>
      <c r="B121" s="1056" t="s">
        <v>637</v>
      </c>
      <c r="C121" s="1062"/>
      <c r="D121" s="1062"/>
      <c r="E121" s="1062"/>
      <c r="F121" s="1063"/>
      <c r="G121" s="78"/>
      <c r="H121" s="21"/>
      <c r="O121" s="22"/>
      <c r="P121" s="22"/>
      <c r="Q121" s="22"/>
      <c r="R121" s="22"/>
      <c r="S121" s="22"/>
    </row>
    <row r="122" spans="1:19" ht="12.75">
      <c r="A122" s="94" t="s">
        <v>573</v>
      </c>
      <c r="B122" s="152" t="s">
        <v>566</v>
      </c>
      <c r="C122" s="62" t="s">
        <v>567</v>
      </c>
      <c r="D122" s="62" t="s">
        <v>568</v>
      </c>
      <c r="E122" s="62" t="s">
        <v>569</v>
      </c>
      <c r="F122" s="64" t="s">
        <v>570</v>
      </c>
      <c r="G122" s="21"/>
      <c r="H122" s="21"/>
      <c r="O122" s="59"/>
      <c r="P122" s="22"/>
      <c r="Q122" s="22"/>
      <c r="R122" s="22"/>
      <c r="S122" s="22"/>
    </row>
    <row r="123" spans="1:19" ht="12.75">
      <c r="A123" s="177" t="s">
        <v>591</v>
      </c>
      <c r="B123" s="153">
        <f aca="true" t="shared" si="28" ref="B123:B131">((B107+J107)*B57)/3000</f>
        <v>2944.698166595405</v>
      </c>
      <c r="C123" s="141">
        <f aca="true" t="shared" si="29" ref="C123:C131">((C107+K107)*C57)/3000</f>
        <v>3625.0152943718954</v>
      </c>
      <c r="D123" s="141">
        <f aca="true" t="shared" si="30" ref="D123:D131">((D107+L107)*D57)/3000</f>
        <v>4327.588554199668</v>
      </c>
      <c r="E123" s="141">
        <f aca="true" t="shared" si="31" ref="E123:E131">((E107+M107)*E57)/3000</f>
        <v>5052.417946078723</v>
      </c>
      <c r="F123" s="154">
        <f aca="true" t="shared" si="32" ref="F123:F131">((F107+N107)*F57)/3000</f>
        <v>5138.998905906496</v>
      </c>
      <c r="G123" s="21"/>
      <c r="H123" s="22"/>
      <c r="I123" s="378"/>
      <c r="J123" s="378"/>
      <c r="K123" s="378"/>
      <c r="L123" s="378"/>
      <c r="M123" s="378"/>
      <c r="O123" s="60"/>
      <c r="P123" s="22"/>
      <c r="Q123" s="22"/>
      <c r="R123" s="22"/>
      <c r="S123" s="22"/>
    </row>
    <row r="124" spans="1:19" ht="12.75">
      <c r="A124" s="87" t="str">
        <f>A108</f>
        <v>Wheat (DS)</v>
      </c>
      <c r="B124" s="155">
        <f t="shared" si="28"/>
        <v>0</v>
      </c>
      <c r="C124" s="117">
        <f t="shared" si="29"/>
        <v>0</v>
      </c>
      <c r="D124" s="117">
        <f t="shared" si="30"/>
        <v>0</v>
      </c>
      <c r="E124" s="117">
        <f t="shared" si="31"/>
        <v>0</v>
      </c>
      <c r="F124" s="119">
        <f t="shared" si="32"/>
        <v>0</v>
      </c>
      <c r="G124" s="21"/>
      <c r="H124" s="21"/>
      <c r="O124" s="60"/>
      <c r="P124" s="22"/>
      <c r="Q124" s="22"/>
      <c r="R124" s="22"/>
      <c r="S124" s="22"/>
    </row>
    <row r="125" spans="1:19" ht="12.75">
      <c r="A125" s="87" t="s">
        <v>592</v>
      </c>
      <c r="B125" s="155">
        <f t="shared" si="28"/>
        <v>407.0185019487179</v>
      </c>
      <c r="C125" s="117">
        <f t="shared" si="29"/>
        <v>459.530666051282</v>
      </c>
      <c r="D125" s="117">
        <f t="shared" si="30"/>
        <v>498.91478912820514</v>
      </c>
      <c r="E125" s="117">
        <f t="shared" si="31"/>
        <v>538.2989122051282</v>
      </c>
      <c r="F125" s="119">
        <f t="shared" si="32"/>
        <v>564.5549942564102</v>
      </c>
      <c r="G125" s="21"/>
      <c r="H125" s="21"/>
      <c r="O125" s="60"/>
      <c r="P125" s="22"/>
      <c r="Q125" s="22"/>
      <c r="R125" s="22"/>
      <c r="S125" s="22"/>
    </row>
    <row r="126" spans="1:19" ht="12.75">
      <c r="A126" s="87" t="s">
        <v>593</v>
      </c>
      <c r="B126" s="155">
        <f t="shared" si="28"/>
        <v>378.4327805727084</v>
      </c>
      <c r="C126" s="117">
        <f t="shared" si="29"/>
        <v>337.6700661987621</v>
      </c>
      <c r="D126" s="117">
        <f t="shared" si="30"/>
        <v>261.0103646453286</v>
      </c>
      <c r="E126" s="117">
        <f t="shared" si="31"/>
        <v>130.50518232266433</v>
      </c>
      <c r="F126" s="119">
        <f t="shared" si="32"/>
        <v>0</v>
      </c>
      <c r="G126" s="21"/>
      <c r="H126" s="21"/>
      <c r="O126" s="60"/>
      <c r="P126" s="22"/>
      <c r="Q126" s="22"/>
      <c r="R126" s="22"/>
      <c r="S126" s="22"/>
    </row>
    <row r="127" spans="1:19" ht="12.75">
      <c r="A127" s="87" t="s">
        <v>594</v>
      </c>
      <c r="B127" s="155">
        <f t="shared" si="28"/>
        <v>81.79215402216023</v>
      </c>
      <c r="C127" s="117">
        <f t="shared" si="29"/>
        <v>103.17002836937033</v>
      </c>
      <c r="D127" s="117">
        <f t="shared" si="30"/>
        <v>131.12273800424703</v>
      </c>
      <c r="E127" s="117">
        <f t="shared" si="31"/>
        <v>157.86902703637352</v>
      </c>
      <c r="F127" s="119">
        <f t="shared" si="32"/>
        <v>187.09304592307691</v>
      </c>
      <c r="G127" s="21"/>
      <c r="H127" s="21"/>
      <c r="O127" s="60"/>
      <c r="P127" s="22"/>
      <c r="Q127" s="22"/>
      <c r="R127" s="22"/>
      <c r="S127" s="22"/>
    </row>
    <row r="128" spans="1:19" ht="12.75">
      <c r="A128" s="87" t="s">
        <v>557</v>
      </c>
      <c r="B128" s="155">
        <f t="shared" si="28"/>
        <v>993.426820188981</v>
      </c>
      <c r="C128" s="117">
        <f t="shared" si="29"/>
        <v>1559.3701341296255</v>
      </c>
      <c r="D128" s="117">
        <f t="shared" si="30"/>
        <v>2171.466717301039</v>
      </c>
      <c r="E128" s="117">
        <f t="shared" si="31"/>
        <v>2829.716569703222</v>
      </c>
      <c r="F128" s="119">
        <f t="shared" si="32"/>
        <v>3672.5794990284817</v>
      </c>
      <c r="G128" s="21"/>
      <c r="H128" s="21"/>
      <c r="O128" s="60"/>
      <c r="P128" s="22"/>
      <c r="Q128" s="22"/>
      <c r="R128" s="22"/>
      <c r="S128" s="22"/>
    </row>
    <row r="129" spans="1:19" ht="12.75">
      <c r="A129" s="87" t="s">
        <v>558</v>
      </c>
      <c r="B129" s="155">
        <f t="shared" si="28"/>
        <v>522.894168054003</v>
      </c>
      <c r="C129" s="117">
        <f t="shared" si="29"/>
        <v>515.2460106558868</v>
      </c>
      <c r="D129" s="117">
        <f t="shared" si="30"/>
        <v>425.5475968475142</v>
      </c>
      <c r="E129" s="117">
        <f t="shared" si="31"/>
        <v>253.79892662888528</v>
      </c>
      <c r="F129" s="119">
        <f t="shared" si="32"/>
        <v>0</v>
      </c>
      <c r="G129" s="21"/>
      <c r="H129" s="21"/>
      <c r="O129" s="60"/>
      <c r="P129" s="22"/>
      <c r="Q129" s="22"/>
      <c r="R129" s="22"/>
      <c r="S129" s="22"/>
    </row>
    <row r="130" spans="1:19" ht="12.75">
      <c r="A130" s="87" t="s">
        <v>595</v>
      </c>
      <c r="B130" s="155">
        <f t="shared" si="28"/>
        <v>30.48914835188959</v>
      </c>
      <c r="C130" s="117">
        <f t="shared" si="29"/>
        <v>58.74055769272985</v>
      </c>
      <c r="D130" s="117">
        <f t="shared" si="30"/>
        <v>91.60729395664704</v>
      </c>
      <c r="E130" s="117">
        <f t="shared" si="31"/>
        <v>139.08923214364114</v>
      </c>
      <c r="F130" s="119">
        <f t="shared" si="32"/>
        <v>195.8018241767891</v>
      </c>
      <c r="G130" s="21"/>
      <c r="H130" s="21"/>
      <c r="O130" s="60"/>
      <c r="P130" s="22"/>
      <c r="Q130" s="22"/>
      <c r="R130" s="22"/>
      <c r="S130" s="22"/>
    </row>
    <row r="131" spans="1:19" ht="12.75" hidden="1">
      <c r="A131" s="87" t="s">
        <v>596</v>
      </c>
      <c r="B131" s="155">
        <f t="shared" si="28"/>
        <v>0</v>
      </c>
      <c r="C131" s="117">
        <f t="shared" si="29"/>
        <v>0</v>
      </c>
      <c r="D131" s="117">
        <f t="shared" si="30"/>
        <v>0</v>
      </c>
      <c r="E131" s="117">
        <f t="shared" si="31"/>
        <v>0</v>
      </c>
      <c r="F131" s="119">
        <f t="shared" si="32"/>
        <v>0</v>
      </c>
      <c r="G131" s="21"/>
      <c r="H131" s="21"/>
      <c r="O131" s="60"/>
      <c r="P131" s="22"/>
      <c r="Q131" s="22"/>
      <c r="R131" s="22"/>
      <c r="S131" s="22"/>
    </row>
    <row r="132" spans="1:19" ht="13.5" thickBot="1">
      <c r="A132" s="87" t="s">
        <v>597</v>
      </c>
      <c r="B132" s="155">
        <f>((B116+J116)*B65)/3000</f>
        <v>44.9250794551282</v>
      </c>
      <c r="C132" s="117">
        <f>((C116+K116)*C65)/3000</f>
        <v>43.30907401442308</v>
      </c>
      <c r="D132" s="117">
        <f>((D116+L116)*D65)/3000</f>
        <v>35.28289229166667</v>
      </c>
      <c r="E132" s="117">
        <f>((E116+M116)*E65)/3000</f>
        <v>17.64144614583334</v>
      </c>
      <c r="F132" s="119">
        <f>((F116+N116)*F65)/3000</f>
        <v>0</v>
      </c>
      <c r="G132" s="21"/>
      <c r="H132" s="21"/>
      <c r="O132" s="60"/>
      <c r="P132" s="22"/>
      <c r="Q132" s="22"/>
      <c r="R132" s="22"/>
      <c r="S132" s="22"/>
    </row>
    <row r="133" spans="1:19" ht="12.75">
      <c r="A133" s="47" t="s">
        <v>599</v>
      </c>
      <c r="B133" s="156">
        <f>+B124+B125</f>
        <v>407.0185019487179</v>
      </c>
      <c r="C133" s="142">
        <f>+C124+C125</f>
        <v>459.530666051282</v>
      </c>
      <c r="D133" s="142">
        <f>+D124+D125</f>
        <v>498.91478912820514</v>
      </c>
      <c r="E133" s="142">
        <f>+E124+E125</f>
        <v>538.2989122051282</v>
      </c>
      <c r="F133" s="140">
        <f>+F124+F125</f>
        <v>564.5549942564102</v>
      </c>
      <c r="H133" s="18"/>
      <c r="O133" s="60"/>
      <c r="P133" s="60"/>
      <c r="Q133" s="22"/>
      <c r="R133" s="22"/>
      <c r="S133" s="22"/>
    </row>
    <row r="134" spans="1:19" ht="13.5" thickBot="1">
      <c r="A134" s="87" t="s">
        <v>600</v>
      </c>
      <c r="B134" s="153">
        <f>SUM(B126:B132)</f>
        <v>2051.9601506448703</v>
      </c>
      <c r="C134" s="141">
        <f>SUM(C126:C132)</f>
        <v>2617.5058710607977</v>
      </c>
      <c r="D134" s="141">
        <f>SUM(D126:D132)</f>
        <v>3116.037603046442</v>
      </c>
      <c r="E134" s="141">
        <f>SUM(E126:E132)</f>
        <v>3528.6203839806194</v>
      </c>
      <c r="F134" s="496">
        <f>SUM(F126:F132)</f>
        <v>4055.4743691283475</v>
      </c>
      <c r="H134" s="21"/>
      <c r="O134" s="60"/>
      <c r="P134" s="60"/>
      <c r="Q134" s="22"/>
      <c r="R134" s="22"/>
      <c r="S134" s="22"/>
    </row>
    <row r="135" spans="1:19" ht="13.5" thickBot="1">
      <c r="A135" s="84" t="s">
        <v>549</v>
      </c>
      <c r="B135" s="497">
        <f>SUM(B123:B132)</f>
        <v>5403.676819188993</v>
      </c>
      <c r="C135" s="279">
        <f>SUM(C123:C132)</f>
        <v>6702.051831483975</v>
      </c>
      <c r="D135" s="279">
        <f>SUM(D123:D132)</f>
        <v>7942.540946374317</v>
      </c>
      <c r="E135" s="279">
        <f>SUM(E123:E132)</f>
        <v>9119.33724226447</v>
      </c>
      <c r="F135" s="281">
        <f>SUM(F123:F132)</f>
        <v>9759.028269291253</v>
      </c>
      <c r="H135" s="21"/>
      <c r="O135" s="60"/>
      <c r="P135" s="60"/>
      <c r="Q135" s="22"/>
      <c r="R135" s="22"/>
      <c r="S135" s="22"/>
    </row>
    <row r="136" spans="1:19" ht="12.75">
      <c r="A136" s="177" t="s">
        <v>642</v>
      </c>
      <c r="F136" s="1"/>
      <c r="O136" s="22"/>
      <c r="P136" s="22"/>
      <c r="Q136" s="22"/>
      <c r="R136" s="22"/>
      <c r="S136" s="22"/>
    </row>
    <row r="137" spans="6:19" ht="12.75">
      <c r="F137" s="49"/>
      <c r="O137" s="22"/>
      <c r="P137" s="22"/>
      <c r="Q137" s="22"/>
      <c r="R137" s="22"/>
      <c r="S137" s="22"/>
    </row>
    <row r="138" spans="16:19" ht="12.75">
      <c r="P138" s="22"/>
      <c r="Q138" s="22"/>
      <c r="R138" s="22"/>
      <c r="S138" s="22"/>
    </row>
    <row r="139" spans="16:19" ht="12.75">
      <c r="P139" s="22"/>
      <c r="Q139" s="22"/>
      <c r="R139" s="22"/>
      <c r="S139" s="22"/>
    </row>
    <row r="140" spans="16:19" ht="12.75">
      <c r="P140" s="22"/>
      <c r="Q140" s="22"/>
      <c r="R140" s="22"/>
      <c r="S140" s="22"/>
    </row>
  </sheetData>
  <mergeCells count="23">
    <mergeCell ref="A1:I1"/>
    <mergeCell ref="B121:F121"/>
    <mergeCell ref="I70:N70"/>
    <mergeCell ref="A20:D20"/>
    <mergeCell ref="B21:C21"/>
    <mergeCell ref="J105:N105"/>
    <mergeCell ref="B55:F55"/>
    <mergeCell ref="H101:J101"/>
    <mergeCell ref="H102:J102"/>
    <mergeCell ref="B105:F105"/>
    <mergeCell ref="I55:O55"/>
    <mergeCell ref="K37:L37"/>
    <mergeCell ref="F6:I6"/>
    <mergeCell ref="A37:F37"/>
    <mergeCell ref="I37:J37"/>
    <mergeCell ref="A8:D8"/>
    <mergeCell ref="H20:K20"/>
    <mergeCell ref="F7:I7"/>
    <mergeCell ref="H103:J103"/>
    <mergeCell ref="A70:G70"/>
    <mergeCell ref="D88:H88"/>
    <mergeCell ref="I88:M88"/>
    <mergeCell ref="D87:M87"/>
  </mergeCells>
  <conditionalFormatting sqref="A1">
    <cfRule type="cellIs" priority="1" dxfId="0" operator="equal" stopIfTrue="1">
      <formula>0</formula>
    </cfRule>
    <cfRule type="cellIs" priority="2" dxfId="1" operator="notEqual" stopIfTrue="1">
      <formula>0</formula>
    </cfRule>
  </conditionalFormatting>
  <printOptions/>
  <pageMargins left="0.75" right="0.75" top="1" bottom="1" header="0.5" footer="0.5"/>
  <pageSetup fitToHeight="1" fitToWidth="1" horizontalDpi="600" verticalDpi="600" orientation="landscape" scale="38" r:id="rId4"/>
  <drawing r:id="rId3"/>
  <legacyDrawing r:id="rId2"/>
</worksheet>
</file>

<file path=xl/worksheets/sheet6.xml><?xml version="1.0" encoding="utf-8"?>
<worksheet xmlns="http://schemas.openxmlformats.org/spreadsheetml/2006/main" xmlns:r="http://schemas.openxmlformats.org/officeDocument/2006/relationships">
  <sheetPr codeName="Sheet8"/>
  <dimension ref="A1:O151"/>
  <sheetViews>
    <sheetView workbookViewId="0" topLeftCell="A1">
      <selection activeCell="A2" sqref="A2:IV2"/>
    </sheetView>
  </sheetViews>
  <sheetFormatPr defaultColWidth="9.140625" defaultRowHeight="12.75"/>
  <cols>
    <col min="1" max="1" width="48.28125" style="658" bestFit="1" customWidth="1"/>
    <col min="2" max="7" width="10.7109375" style="656" customWidth="1"/>
    <col min="8" max="8" width="10.7109375" style="657" customWidth="1"/>
    <col min="9" max="16384" width="8.00390625" style="657" customWidth="1"/>
  </cols>
  <sheetData>
    <row r="1" spans="1:7" s="654" customFormat="1" ht="12.75">
      <c r="A1" s="652"/>
      <c r="B1" s="653"/>
      <c r="C1" s="653"/>
      <c r="D1" s="653"/>
      <c r="E1" s="653"/>
      <c r="F1" s="653"/>
      <c r="G1" s="653"/>
    </row>
    <row r="2" spans="1:7" s="268" customFormat="1" ht="23.25">
      <c r="A2" s="924" t="s">
        <v>511</v>
      </c>
      <c r="C2" s="925"/>
      <c r="G2" s="1005"/>
    </row>
    <row r="3" spans="1:7" s="654" customFormat="1" ht="12.75">
      <c r="A3" s="652"/>
      <c r="B3" s="653"/>
      <c r="C3" s="653"/>
      <c r="D3" s="653"/>
      <c r="E3" s="653"/>
      <c r="F3" s="653"/>
      <c r="G3" s="653"/>
    </row>
    <row r="4" ht="12.75">
      <c r="A4" s="655" t="s">
        <v>168</v>
      </c>
    </row>
    <row r="5" spans="1:10" ht="13.5" thickBot="1">
      <c r="A5" s="658" t="s">
        <v>169</v>
      </c>
      <c r="B5" s="1085">
        <f>IF('ERR &amp; Sensitivity Analysis'!$I$10="N","Note: Current calculations are based on user input and are not the original MCC estimates.",IF('ERR &amp; Sensitivity Analysis'!$I$11="N","Note: Current calculations are based on user input and are not the original MCC estimates.",0))</f>
        <v>0</v>
      </c>
      <c r="C5" s="1085"/>
      <c r="D5" s="1085"/>
      <c r="E5" s="1085"/>
      <c r="F5" s="1085"/>
      <c r="G5" s="1085"/>
      <c r="H5" s="1085"/>
      <c r="I5" s="1085"/>
      <c r="J5" s="1085"/>
    </row>
    <row r="6" spans="1:7" ht="12.75">
      <c r="A6" s="659"/>
      <c r="B6" s="660" t="s">
        <v>170</v>
      </c>
      <c r="C6" s="660" t="s">
        <v>171</v>
      </c>
      <c r="D6" s="660" t="s">
        <v>172</v>
      </c>
      <c r="E6" s="660" t="s">
        <v>173</v>
      </c>
      <c r="F6" s="660" t="s">
        <v>174</v>
      </c>
      <c r="G6" s="661" t="s">
        <v>549</v>
      </c>
    </row>
    <row r="7" spans="1:7" ht="12.75">
      <c r="A7" s="819" t="str">
        <f>A68</f>
        <v>A. Alatona Irrigation Project</v>
      </c>
      <c r="B7" s="817"/>
      <c r="C7" s="817"/>
      <c r="D7" s="817"/>
      <c r="E7" s="817"/>
      <c r="F7" s="817"/>
      <c r="G7" s="818"/>
    </row>
    <row r="8" spans="1:7" ht="12.75">
      <c r="A8" s="821" t="str">
        <f>A69</f>
        <v>1. Niono - Goma Coura Road</v>
      </c>
      <c r="B8" s="808"/>
      <c r="C8" s="808"/>
      <c r="D8" s="808"/>
      <c r="E8" s="808"/>
      <c r="F8" s="808"/>
      <c r="G8" s="811"/>
    </row>
    <row r="9" spans="1:7" ht="12.75">
      <c r="A9" s="823" t="str">
        <f aca="true" t="shared" si="0" ref="A9:A34">A70</f>
        <v>a. Niono-Diabaly Road (Section I)</v>
      </c>
      <c r="B9" s="808">
        <f aca="true" t="shared" si="1" ref="B9:G11">E70</f>
        <v>5.143</v>
      </c>
      <c r="C9" s="808">
        <f t="shared" si="1"/>
        <v>9.97</v>
      </c>
      <c r="D9" s="808">
        <f t="shared" si="1"/>
        <v>4.8467</v>
      </c>
      <c r="E9" s="808">
        <f t="shared" si="1"/>
        <v>0.058</v>
      </c>
      <c r="F9" s="808">
        <f t="shared" si="1"/>
        <v>0.058</v>
      </c>
      <c r="G9" s="811">
        <f t="shared" si="1"/>
        <v>20.075699999999998</v>
      </c>
    </row>
    <row r="10" spans="1:7" ht="12.75">
      <c r="A10" s="823" t="str">
        <f t="shared" si="0"/>
        <v>b. Diabaly-Goma Coura Road (Section II)</v>
      </c>
      <c r="B10" s="808">
        <f t="shared" si="1"/>
        <v>2.0337</v>
      </c>
      <c r="C10" s="808">
        <f t="shared" si="1"/>
        <v>4.4717</v>
      </c>
      <c r="D10" s="808">
        <f t="shared" si="1"/>
        <v>2.6317</v>
      </c>
      <c r="E10" s="808">
        <f t="shared" si="1"/>
        <v>0.063</v>
      </c>
      <c r="F10" s="808">
        <f t="shared" si="1"/>
        <v>0.063</v>
      </c>
      <c r="G10" s="811">
        <f t="shared" si="1"/>
        <v>9.263100000000001</v>
      </c>
    </row>
    <row r="11" spans="1:7" ht="12.75">
      <c r="A11" s="821" t="str">
        <f t="shared" si="0"/>
        <v>Subtotal Niono - Goma Coura Road</v>
      </c>
      <c r="B11" s="808">
        <f t="shared" si="1"/>
        <v>7.1767</v>
      </c>
      <c r="C11" s="808">
        <f t="shared" si="1"/>
        <v>14.4417</v>
      </c>
      <c r="D11" s="808">
        <f t="shared" si="1"/>
        <v>7.478400000000001</v>
      </c>
      <c r="E11" s="808">
        <f t="shared" si="1"/>
        <v>0.121</v>
      </c>
      <c r="F11" s="808">
        <f t="shared" si="1"/>
        <v>0.121</v>
      </c>
      <c r="G11" s="811">
        <f t="shared" si="1"/>
        <v>29.3388</v>
      </c>
    </row>
    <row r="12" spans="1:7" ht="12.75">
      <c r="A12" s="820" t="str">
        <f t="shared" si="0"/>
        <v>2. Irrigation and Planning Infrastructure</v>
      </c>
      <c r="B12" s="808"/>
      <c r="C12" s="808"/>
      <c r="D12" s="808"/>
      <c r="E12" s="808"/>
      <c r="F12" s="808"/>
      <c r="G12" s="811"/>
    </row>
    <row r="13" spans="1:7" ht="12.75">
      <c r="A13" s="824" t="str">
        <f t="shared" si="0"/>
        <v>a. Main System Capacity Enhancement</v>
      </c>
      <c r="B13" s="808">
        <f aca="true" t="shared" si="2" ref="B13:G18">E74</f>
        <v>0.9700016066838045</v>
      </c>
      <c r="C13" s="808">
        <f t="shared" si="2"/>
        <v>2.2633370822622103</v>
      </c>
      <c r="D13" s="808">
        <f t="shared" si="2"/>
        <v>0</v>
      </c>
      <c r="E13" s="808">
        <f t="shared" si="2"/>
        <v>0.01872589974293059</v>
      </c>
      <c r="F13" s="808">
        <f t="shared" si="2"/>
        <v>0.07490359897172236</v>
      </c>
      <c r="G13" s="811">
        <f t="shared" si="2"/>
        <v>3.326968187660668</v>
      </c>
    </row>
    <row r="14" spans="1:7" ht="12.75">
      <c r="A14" s="823" t="str">
        <f t="shared" si="0"/>
        <v>b. Alatona Main System Works</v>
      </c>
      <c r="B14" s="808">
        <f t="shared" si="2"/>
        <v>2.8985</v>
      </c>
      <c r="C14" s="808">
        <f t="shared" si="2"/>
        <v>9.2139</v>
      </c>
      <c r="D14" s="808">
        <f t="shared" si="2"/>
        <v>15.3124</v>
      </c>
      <c r="E14" s="808">
        <f t="shared" si="2"/>
        <v>6.9312</v>
      </c>
      <c r="F14" s="808">
        <f t="shared" si="2"/>
        <v>0.8</v>
      </c>
      <c r="G14" s="811">
        <f t="shared" si="2"/>
        <v>35.156</v>
      </c>
    </row>
    <row r="15" spans="1:7" ht="12.75">
      <c r="A15" s="823" t="str">
        <f t="shared" si="0"/>
        <v>c. Alatona Distribution Network Works</v>
      </c>
      <c r="B15" s="808">
        <f t="shared" si="2"/>
        <v>0</v>
      </c>
      <c r="C15" s="808">
        <f t="shared" si="2"/>
        <v>13.70350536</v>
      </c>
      <c r="D15" s="808">
        <f t="shared" si="2"/>
        <v>19.6926017</v>
      </c>
      <c r="E15" s="808">
        <f t="shared" si="2"/>
        <v>25.31433034</v>
      </c>
      <c r="F15" s="808">
        <f t="shared" si="2"/>
        <v>7.4749185</v>
      </c>
      <c r="G15" s="811">
        <f t="shared" si="2"/>
        <v>66.1853559</v>
      </c>
    </row>
    <row r="16" spans="1:7" ht="12.75">
      <c r="A16" s="824" t="str">
        <f t="shared" si="0"/>
        <v>d. Alatona Main System O&amp;M</v>
      </c>
      <c r="B16" s="808">
        <f t="shared" si="2"/>
        <v>0</v>
      </c>
      <c r="C16" s="808">
        <f t="shared" si="2"/>
        <v>0</v>
      </c>
      <c r="D16" s="808">
        <f t="shared" si="2"/>
        <v>0.212</v>
      </c>
      <c r="E16" s="808">
        <f t="shared" si="2"/>
        <v>0.424</v>
      </c>
      <c r="F16" s="808">
        <f t="shared" si="2"/>
        <v>0.64</v>
      </c>
      <c r="G16" s="811">
        <f t="shared" si="2"/>
        <v>1.276</v>
      </c>
    </row>
    <row r="17" spans="1:7" ht="12.75">
      <c r="A17" s="824" t="str">
        <f t="shared" si="0"/>
        <v>f. Support to Water Management</v>
      </c>
      <c r="B17" s="808">
        <f t="shared" si="2"/>
        <v>0.17</v>
      </c>
      <c r="C17" s="808">
        <f t="shared" si="2"/>
        <v>0.555</v>
      </c>
      <c r="D17" s="808">
        <f t="shared" si="2"/>
        <v>1.09</v>
      </c>
      <c r="E17" s="808">
        <f t="shared" si="2"/>
        <v>0.185</v>
      </c>
      <c r="F17" s="808">
        <f t="shared" si="2"/>
        <v>0.05</v>
      </c>
      <c r="G17" s="811">
        <f t="shared" si="2"/>
        <v>2.05</v>
      </c>
    </row>
    <row r="18" spans="1:7" ht="12.75">
      <c r="A18" s="821" t="str">
        <f t="shared" si="0"/>
        <v>Subtotal Irrigation and Planning Infrastructure</v>
      </c>
      <c r="B18" s="808">
        <f t="shared" si="2"/>
        <v>4.038501606683805</v>
      </c>
      <c r="C18" s="808">
        <f t="shared" si="2"/>
        <v>25.735742442262207</v>
      </c>
      <c r="D18" s="808">
        <f t="shared" si="2"/>
        <v>36.30700170000001</v>
      </c>
      <c r="E18" s="808">
        <f t="shared" si="2"/>
        <v>32.873256239742936</v>
      </c>
      <c r="F18" s="808">
        <f t="shared" si="2"/>
        <v>9.039822098971724</v>
      </c>
      <c r="G18" s="811">
        <f t="shared" si="2"/>
        <v>107.99432408766067</v>
      </c>
    </row>
    <row r="19" spans="1:7" ht="24.75" customHeight="1">
      <c r="A19" s="822" t="str">
        <f t="shared" si="0"/>
        <v>3. Land Allocation</v>
      </c>
      <c r="B19" s="808"/>
      <c r="C19" s="808"/>
      <c r="D19" s="808"/>
      <c r="E19" s="808"/>
      <c r="F19" s="808"/>
      <c r="G19" s="811"/>
    </row>
    <row r="20" spans="1:7" ht="12.75">
      <c r="A20" s="823" t="str">
        <f t="shared" si="0"/>
        <v>a. Land Parcel Creation</v>
      </c>
      <c r="B20" s="808">
        <f aca="true" t="shared" si="3" ref="B20:G25">E81</f>
        <v>0</v>
      </c>
      <c r="C20" s="808">
        <f t="shared" si="3"/>
        <v>0.25</v>
      </c>
      <c r="D20" s="808">
        <f t="shared" si="3"/>
        <v>0.2</v>
      </c>
      <c r="E20" s="808">
        <f t="shared" si="3"/>
        <v>0.2</v>
      </c>
      <c r="F20" s="808">
        <f t="shared" si="3"/>
        <v>0</v>
      </c>
      <c r="G20" s="811">
        <f t="shared" si="3"/>
        <v>0.65</v>
      </c>
    </row>
    <row r="21" spans="1:7" ht="12.75">
      <c r="A21" s="824" t="str">
        <f t="shared" si="0"/>
        <v>b. Land Rights Education</v>
      </c>
      <c r="B21" s="808">
        <f t="shared" si="3"/>
        <v>0.2</v>
      </c>
      <c r="C21" s="808">
        <f t="shared" si="3"/>
        <v>0.4</v>
      </c>
      <c r="D21" s="808">
        <f t="shared" si="3"/>
        <v>0.4</v>
      </c>
      <c r="E21" s="808">
        <f t="shared" si="3"/>
        <v>0.25</v>
      </c>
      <c r="F21" s="808">
        <f t="shared" si="3"/>
        <v>0.25</v>
      </c>
      <c r="G21" s="811">
        <f t="shared" si="3"/>
        <v>1.5</v>
      </c>
    </row>
    <row r="22" spans="1:7" ht="24.75" customHeight="1">
      <c r="A22" s="823" t="str">
        <f t="shared" si="0"/>
        <v>c. Registration System Upgrade</v>
      </c>
      <c r="B22" s="808">
        <f t="shared" si="3"/>
        <v>0.05</v>
      </c>
      <c r="C22" s="808">
        <f t="shared" si="3"/>
        <v>0.15</v>
      </c>
      <c r="D22" s="808">
        <f t="shared" si="3"/>
        <v>0.1</v>
      </c>
      <c r="E22" s="808">
        <f t="shared" si="3"/>
        <v>0.1</v>
      </c>
      <c r="F22" s="808">
        <f t="shared" si="3"/>
        <v>0.1</v>
      </c>
      <c r="G22" s="811">
        <f t="shared" si="3"/>
        <v>0.5</v>
      </c>
    </row>
    <row r="23" spans="1:7" ht="12.75">
      <c r="A23" s="823" t="str">
        <f t="shared" si="0"/>
        <v>d. Land Parcel Allocation and Titling</v>
      </c>
      <c r="B23" s="808">
        <f t="shared" si="3"/>
        <v>0</v>
      </c>
      <c r="C23" s="808">
        <f t="shared" si="3"/>
        <v>0.2</v>
      </c>
      <c r="D23" s="808">
        <f t="shared" si="3"/>
        <v>0.15</v>
      </c>
      <c r="E23" s="808">
        <f t="shared" si="3"/>
        <v>0.15</v>
      </c>
      <c r="F23" s="808">
        <f t="shared" si="3"/>
        <v>0.15</v>
      </c>
      <c r="G23" s="811">
        <f t="shared" si="3"/>
        <v>0.65</v>
      </c>
    </row>
    <row r="24" spans="1:7" ht="12.75">
      <c r="A24" s="823" t="str">
        <f t="shared" si="0"/>
        <v>e. Land Revenue Collection and Management</v>
      </c>
      <c r="B24" s="808">
        <f t="shared" si="3"/>
        <v>0</v>
      </c>
      <c r="C24" s="808">
        <f t="shared" si="3"/>
        <v>0.1</v>
      </c>
      <c r="D24" s="808">
        <f t="shared" si="3"/>
        <v>0.1</v>
      </c>
      <c r="E24" s="808">
        <f t="shared" si="3"/>
        <v>0</v>
      </c>
      <c r="F24" s="808">
        <f t="shared" si="3"/>
        <v>0</v>
      </c>
      <c r="G24" s="811">
        <f t="shared" si="3"/>
        <v>0.2</v>
      </c>
    </row>
    <row r="25" spans="1:7" ht="12.75">
      <c r="A25" s="822" t="str">
        <f t="shared" si="0"/>
        <v>Subtotal Land Allocation</v>
      </c>
      <c r="B25" s="808">
        <f t="shared" si="3"/>
        <v>0.25</v>
      </c>
      <c r="C25" s="808">
        <f t="shared" si="3"/>
        <v>1.1</v>
      </c>
      <c r="D25" s="808">
        <f t="shared" si="3"/>
        <v>0.9500000000000001</v>
      </c>
      <c r="E25" s="808">
        <f t="shared" si="3"/>
        <v>0.7000000000000001</v>
      </c>
      <c r="F25" s="808">
        <f t="shared" si="3"/>
        <v>0.5</v>
      </c>
      <c r="G25" s="811">
        <f t="shared" si="3"/>
        <v>3.5000000000000004</v>
      </c>
    </row>
    <row r="26" spans="1:7" ht="25.5">
      <c r="A26" s="822" t="str">
        <f t="shared" si="0"/>
        <v>4. Social Infrastructure, Social Services, Resettlement and Settlement</v>
      </c>
      <c r="B26" s="808"/>
      <c r="C26" s="808"/>
      <c r="D26" s="808"/>
      <c r="E26" s="808"/>
      <c r="F26" s="808"/>
      <c r="G26" s="811"/>
    </row>
    <row r="27" spans="1:7" ht="12.75">
      <c r="A27" s="823" t="str">
        <f t="shared" si="0"/>
        <v>a. Presettlement</v>
      </c>
      <c r="B27" s="808">
        <f aca="true" t="shared" si="4" ref="B27:G30">E88</f>
        <v>0.3065</v>
      </c>
      <c r="C27" s="808">
        <f t="shared" si="4"/>
        <v>0.4615</v>
      </c>
      <c r="D27" s="808">
        <f t="shared" si="4"/>
        <v>0.4475</v>
      </c>
      <c r="E27" s="808">
        <f t="shared" si="4"/>
        <v>0.0325</v>
      </c>
      <c r="F27" s="808">
        <f t="shared" si="4"/>
        <v>0.025</v>
      </c>
      <c r="G27" s="811">
        <f t="shared" si="4"/>
        <v>1.273</v>
      </c>
    </row>
    <row r="28" spans="1:7" ht="12.75">
      <c r="A28" s="823" t="str">
        <f t="shared" si="0"/>
        <v>b. Social Infrastructure</v>
      </c>
      <c r="B28" s="808">
        <f t="shared" si="4"/>
        <v>2.1662</v>
      </c>
      <c r="C28" s="808">
        <f t="shared" si="4"/>
        <v>3.9376</v>
      </c>
      <c r="D28" s="808">
        <f t="shared" si="4"/>
        <v>3.8896</v>
      </c>
      <c r="E28" s="808">
        <f t="shared" si="4"/>
        <v>3.0304</v>
      </c>
      <c r="F28" s="808">
        <f t="shared" si="4"/>
        <v>2.6772</v>
      </c>
      <c r="G28" s="811">
        <f t="shared" si="4"/>
        <v>15.701</v>
      </c>
    </row>
    <row r="29" spans="1:7" ht="12.75">
      <c r="A29" s="823" t="str">
        <f t="shared" si="0"/>
        <v>c. Health Sector Interventions</v>
      </c>
      <c r="B29" s="840">
        <f t="shared" si="4"/>
        <v>0.542773</v>
      </c>
      <c r="C29" s="840">
        <f t="shared" si="4"/>
        <v>0.846373</v>
      </c>
      <c r="D29" s="840">
        <f t="shared" si="4"/>
        <v>0.813573</v>
      </c>
      <c r="E29" s="840">
        <f t="shared" si="4"/>
        <v>0.4289</v>
      </c>
      <c r="F29" s="840">
        <f t="shared" si="4"/>
        <v>0.4289</v>
      </c>
      <c r="G29" s="841">
        <f t="shared" si="4"/>
        <v>3.060519</v>
      </c>
    </row>
    <row r="30" spans="1:7" ht="25.5">
      <c r="A30" s="822" t="str">
        <f t="shared" si="0"/>
        <v>Subtotal Social Infrastructure, Social Services, Resettlement and Settlement</v>
      </c>
      <c r="B30" s="840">
        <f t="shared" si="4"/>
        <v>3.0154729999999996</v>
      </c>
      <c r="C30" s="840">
        <f t="shared" si="4"/>
        <v>5.2454730000000005</v>
      </c>
      <c r="D30" s="840">
        <f t="shared" si="4"/>
        <v>5.150673</v>
      </c>
      <c r="E30" s="840">
        <f t="shared" si="4"/>
        <v>3.4918000000000005</v>
      </c>
      <c r="F30" s="840">
        <f t="shared" si="4"/>
        <v>3.1311</v>
      </c>
      <c r="G30" s="841">
        <f t="shared" si="4"/>
        <v>20.034519000000003</v>
      </c>
    </row>
    <row r="31" spans="1:7" ht="12.75">
      <c r="A31" s="822" t="str">
        <f t="shared" si="0"/>
        <v>5. Agricultural Services</v>
      </c>
      <c r="B31" s="840"/>
      <c r="C31" s="840"/>
      <c r="D31" s="840"/>
      <c r="E31" s="840"/>
      <c r="F31" s="840"/>
      <c r="G31" s="841"/>
    </row>
    <row r="32" spans="1:7" ht="12.75">
      <c r="A32" s="871" t="str">
        <f t="shared" si="0"/>
        <v>a. Support for Farmer Organizations</v>
      </c>
      <c r="B32" s="840">
        <f aca="true" t="shared" si="5" ref="B32:G34">E93</f>
        <v>0.0865</v>
      </c>
      <c r="C32" s="840">
        <f t="shared" si="5"/>
        <v>0.1565</v>
      </c>
      <c r="D32" s="840">
        <f t="shared" si="5"/>
        <v>1.3125</v>
      </c>
      <c r="E32" s="840">
        <f t="shared" si="5"/>
        <v>1.67</v>
      </c>
      <c r="F32" s="840">
        <f t="shared" si="5"/>
        <v>1.975</v>
      </c>
      <c r="G32" s="841">
        <f t="shared" si="5"/>
        <v>5.2005</v>
      </c>
    </row>
    <row r="33" spans="1:7" ht="12.75">
      <c r="A33" s="871" t="str">
        <f t="shared" si="0"/>
        <v>b. Agricultural Extension and Farmer Training</v>
      </c>
      <c r="B33" s="840">
        <f t="shared" si="5"/>
        <v>0.17</v>
      </c>
      <c r="C33" s="840">
        <f t="shared" si="5"/>
        <v>0.286</v>
      </c>
      <c r="D33" s="840">
        <f t="shared" si="5"/>
        <v>0.386</v>
      </c>
      <c r="E33" s="840">
        <f t="shared" si="5"/>
        <v>0.486</v>
      </c>
      <c r="F33" s="840">
        <f t="shared" si="5"/>
        <v>0.6</v>
      </c>
      <c r="G33" s="841">
        <f t="shared" si="5"/>
        <v>1.928</v>
      </c>
    </row>
    <row r="34" spans="1:7" ht="12.75">
      <c r="A34" s="871" t="str">
        <f t="shared" si="0"/>
        <v>c. Applied Agricultural Research</v>
      </c>
      <c r="B34" s="840">
        <f t="shared" si="5"/>
        <v>1.45</v>
      </c>
      <c r="C34" s="840">
        <f t="shared" si="5"/>
        <v>1.45</v>
      </c>
      <c r="D34" s="840">
        <f t="shared" si="5"/>
        <v>1.25</v>
      </c>
      <c r="E34" s="840">
        <f t="shared" si="5"/>
        <v>0.65</v>
      </c>
      <c r="F34" s="840">
        <f t="shared" si="5"/>
        <v>0.65</v>
      </c>
      <c r="G34" s="841">
        <f t="shared" si="5"/>
        <v>5.450000000000001</v>
      </c>
    </row>
    <row r="35" spans="1:7" ht="12.75">
      <c r="A35" s="822" t="str">
        <f aca="true" t="shared" si="6" ref="A35:A41">A96</f>
        <v>Subtotal Agricultural Services</v>
      </c>
      <c r="B35" s="808">
        <f aca="true" t="shared" si="7" ref="B35:G35">E96</f>
        <v>1.7065</v>
      </c>
      <c r="C35" s="808">
        <f t="shared" si="7"/>
        <v>1.8925</v>
      </c>
      <c r="D35" s="808">
        <f t="shared" si="7"/>
        <v>2.9485</v>
      </c>
      <c r="E35" s="808">
        <f t="shared" si="7"/>
        <v>2.8059999999999996</v>
      </c>
      <c r="F35" s="808">
        <f t="shared" si="7"/>
        <v>3.225</v>
      </c>
      <c r="G35" s="811">
        <f t="shared" si="7"/>
        <v>12.5785</v>
      </c>
    </row>
    <row r="36" spans="1:7" ht="12.75">
      <c r="A36" s="822" t="str">
        <f t="shared" si="6"/>
        <v>6. Financial Services</v>
      </c>
      <c r="B36" s="808"/>
      <c r="C36" s="808"/>
      <c r="D36" s="808"/>
      <c r="E36" s="808"/>
      <c r="F36" s="808"/>
      <c r="G36" s="811"/>
    </row>
    <row r="37" spans="1:7" ht="12.75">
      <c r="A37" s="823" t="str">
        <f t="shared" si="6"/>
        <v>a. Loan Partial Guarantee Program</v>
      </c>
      <c r="B37" s="808">
        <f aca="true" t="shared" si="8" ref="B37:G41">E98</f>
        <v>0</v>
      </c>
      <c r="C37" s="808">
        <f t="shared" si="8"/>
        <v>0.2</v>
      </c>
      <c r="D37" s="808">
        <f t="shared" si="8"/>
        <v>1.4</v>
      </c>
      <c r="E37" s="808">
        <f t="shared" si="8"/>
        <v>2.1</v>
      </c>
      <c r="F37" s="808">
        <f t="shared" si="8"/>
        <v>2.7</v>
      </c>
      <c r="G37" s="811">
        <f t="shared" si="8"/>
        <v>6.4</v>
      </c>
    </row>
    <row r="38" spans="1:7" ht="12.75">
      <c r="A38" s="823" t="str">
        <f t="shared" si="6"/>
        <v>b. Credit Bureau Strengthening</v>
      </c>
      <c r="B38" s="808">
        <f t="shared" si="8"/>
        <v>0.04</v>
      </c>
      <c r="C38" s="808">
        <f t="shared" si="8"/>
        <v>0.1</v>
      </c>
      <c r="D38" s="808">
        <f t="shared" si="8"/>
        <v>0.06</v>
      </c>
      <c r="E38" s="808">
        <f t="shared" si="8"/>
        <v>0</v>
      </c>
      <c r="F38" s="808">
        <f t="shared" si="8"/>
        <v>0</v>
      </c>
      <c r="G38" s="811">
        <f t="shared" si="8"/>
        <v>0.2</v>
      </c>
    </row>
    <row r="39" spans="1:7" ht="12.75">
      <c r="A39" s="823" t="str">
        <f t="shared" si="6"/>
        <v>c. Financial Institution Capacity Building</v>
      </c>
      <c r="B39" s="808">
        <f t="shared" si="8"/>
        <v>0.1</v>
      </c>
      <c r="C39" s="808">
        <f t="shared" si="8"/>
        <v>0.2</v>
      </c>
      <c r="D39" s="808">
        <f t="shared" si="8"/>
        <v>0.2</v>
      </c>
      <c r="E39" s="808">
        <f t="shared" si="8"/>
        <v>0.15</v>
      </c>
      <c r="F39" s="808">
        <f t="shared" si="8"/>
        <v>0.1</v>
      </c>
      <c r="G39" s="811">
        <f t="shared" si="8"/>
        <v>0.75</v>
      </c>
    </row>
    <row r="40" spans="1:7" ht="12.75">
      <c r="A40" s="823" t="str">
        <f t="shared" si="6"/>
        <v>d. Support to Farmers</v>
      </c>
      <c r="B40" s="808">
        <f t="shared" si="8"/>
        <v>0</v>
      </c>
      <c r="C40" s="808">
        <f t="shared" si="8"/>
        <v>0</v>
      </c>
      <c r="D40" s="808">
        <f t="shared" si="8"/>
        <v>0.08</v>
      </c>
      <c r="E40" s="808">
        <f t="shared" si="8"/>
        <v>0.08</v>
      </c>
      <c r="F40" s="808">
        <f t="shared" si="8"/>
        <v>0.08</v>
      </c>
      <c r="G40" s="811">
        <f t="shared" si="8"/>
        <v>0.24</v>
      </c>
    </row>
    <row r="41" spans="1:7" ht="12.75">
      <c r="A41" s="822" t="str">
        <f t="shared" si="6"/>
        <v>Subtotal Financial Services</v>
      </c>
      <c r="B41" s="808">
        <f t="shared" si="8"/>
        <v>0.14</v>
      </c>
      <c r="C41" s="808">
        <f t="shared" si="8"/>
        <v>0.5</v>
      </c>
      <c r="D41" s="808">
        <f t="shared" si="8"/>
        <v>1.74</v>
      </c>
      <c r="E41" s="808">
        <f t="shared" si="8"/>
        <v>2.33</v>
      </c>
      <c r="F41" s="808">
        <f t="shared" si="8"/>
        <v>2.8800000000000003</v>
      </c>
      <c r="G41" s="811">
        <f t="shared" si="8"/>
        <v>7.59</v>
      </c>
    </row>
    <row r="42" spans="1:7" ht="12.75">
      <c r="A42" s="823"/>
      <c r="B42" s="808"/>
      <c r="C42" s="808"/>
      <c r="D42" s="808"/>
      <c r="E42" s="808"/>
      <c r="F42" s="808"/>
      <c r="G42" s="811"/>
    </row>
    <row r="43" spans="1:7" ht="12.75">
      <c r="A43" s="809" t="str">
        <f>A104</f>
        <v>Subtotal Alatona Irrigation Project</v>
      </c>
      <c r="B43" s="808">
        <f aca="true" t="shared" si="9" ref="B43:G43">E104</f>
        <v>16.327174606683805</v>
      </c>
      <c r="C43" s="808">
        <f t="shared" si="9"/>
        <v>48.9154154422622</v>
      </c>
      <c r="D43" s="808">
        <f t="shared" si="9"/>
        <v>54.57457470000001</v>
      </c>
      <c r="E43" s="808">
        <f t="shared" si="9"/>
        <v>42.32205623974294</v>
      </c>
      <c r="F43" s="808">
        <f t="shared" si="9"/>
        <v>18.896922098971725</v>
      </c>
      <c r="G43" s="811">
        <f t="shared" si="9"/>
        <v>181.03614308766066</v>
      </c>
    </row>
    <row r="44" spans="1:7" ht="12.75">
      <c r="A44" s="810"/>
      <c r="B44" s="808"/>
      <c r="C44" s="808"/>
      <c r="D44" s="808"/>
      <c r="E44" s="808"/>
      <c r="F44" s="808"/>
      <c r="G44" s="811"/>
    </row>
    <row r="45" spans="1:7" ht="12.75">
      <c r="A45" s="812" t="str">
        <f>A106</f>
        <v>B. Monitoring and Evaluation</v>
      </c>
      <c r="B45" s="840">
        <f aca="true" t="shared" si="10" ref="B45:G45">E106</f>
        <v>0.8366752660418545</v>
      </c>
      <c r="C45" s="840">
        <f t="shared" si="10"/>
        <v>0.29004742556117624</v>
      </c>
      <c r="D45" s="840">
        <f t="shared" si="10"/>
        <v>0.3653481995049431</v>
      </c>
      <c r="E45" s="840">
        <f t="shared" si="10"/>
        <v>0.3932373750396716</v>
      </c>
      <c r="F45" s="840">
        <f t="shared" si="10"/>
        <v>0.8506198538092187</v>
      </c>
      <c r="G45" s="841">
        <f t="shared" si="10"/>
        <v>2.7359281199568644</v>
      </c>
    </row>
    <row r="46" spans="1:7" ht="12.75">
      <c r="A46" s="812" t="str">
        <f>A107</f>
        <v>C. Program Administration and Controls</v>
      </c>
      <c r="B46" s="840">
        <f aca="true" t="shared" si="11" ref="B46:G46">E107</f>
        <v>4.573824787695471</v>
      </c>
      <c r="C46" s="840">
        <f t="shared" si="11"/>
        <v>4.071819628070358</v>
      </c>
      <c r="D46" s="840">
        <f t="shared" si="11"/>
        <v>4.127597979139815</v>
      </c>
      <c r="E46" s="840">
        <f t="shared" si="11"/>
        <v>4.016041277000901</v>
      </c>
      <c r="F46" s="840">
        <f t="shared" si="11"/>
        <v>4.071819628070358</v>
      </c>
      <c r="G46" s="841">
        <f t="shared" si="11"/>
        <v>20.861103299976904</v>
      </c>
    </row>
    <row r="47" spans="1:7" ht="12.75">
      <c r="A47" s="810"/>
      <c r="B47" s="808"/>
      <c r="C47" s="808"/>
      <c r="D47" s="808"/>
      <c r="E47" s="808"/>
      <c r="F47" s="808"/>
      <c r="G47" s="811"/>
    </row>
    <row r="48" spans="1:7" ht="12.75">
      <c r="A48" s="809" t="str">
        <f>A109</f>
        <v>Total BASELINE COSTS</v>
      </c>
      <c r="B48" s="808">
        <f aca="true" t="shared" si="12" ref="B48:G48">E109</f>
        <v>21.73767466042113</v>
      </c>
      <c r="C48" s="808">
        <f t="shared" si="12"/>
        <v>53.277282495893736</v>
      </c>
      <c r="D48" s="808">
        <f t="shared" si="12"/>
        <v>59.067520878644764</v>
      </c>
      <c r="E48" s="808">
        <f t="shared" si="12"/>
        <v>46.73133489178352</v>
      </c>
      <c r="F48" s="808">
        <f t="shared" si="12"/>
        <v>23.8193615808513</v>
      </c>
      <c r="G48" s="811">
        <f t="shared" si="12"/>
        <v>204.63317450759445</v>
      </c>
    </row>
    <row r="49" spans="1:7" ht="12.75">
      <c r="A49" s="809"/>
      <c r="B49" s="808"/>
      <c r="C49" s="808"/>
      <c r="D49" s="808"/>
      <c r="E49" s="808"/>
      <c r="F49" s="808"/>
      <c r="G49" s="811"/>
    </row>
    <row r="50" spans="1:7" ht="12.75">
      <c r="A50" s="809" t="str">
        <f>A111</f>
        <v>Physical Contingencies</v>
      </c>
      <c r="B50" s="808">
        <f aca="true" t="shared" si="13" ref="B50:G51">E111</f>
        <v>2.8710612999999996</v>
      </c>
      <c r="C50" s="808">
        <f t="shared" si="13"/>
        <v>8.059767103999999</v>
      </c>
      <c r="D50" s="808">
        <f t="shared" si="13"/>
        <v>7.709121554999999</v>
      </c>
      <c r="E50" s="808">
        <f t="shared" si="13"/>
        <v>5.916283551</v>
      </c>
      <c r="F50" s="808">
        <f t="shared" si="13"/>
        <v>2.422961775</v>
      </c>
      <c r="G50" s="811">
        <f t="shared" si="13"/>
        <v>26.979195285</v>
      </c>
    </row>
    <row r="51" spans="1:7" ht="12.75">
      <c r="A51" s="809" t="str">
        <f>A112</f>
        <v>Price Contingencies</v>
      </c>
      <c r="B51" s="808">
        <f t="shared" si="13"/>
        <v>0.33608916449999787</v>
      </c>
      <c r="C51" s="808">
        <f t="shared" si="13"/>
        <v>2.874174165838799</v>
      </c>
      <c r="D51" s="808">
        <f t="shared" si="13"/>
        <v>4.663916485368437</v>
      </c>
      <c r="E51" s="808">
        <f t="shared" si="13"/>
        <v>5.022296037837369</v>
      </c>
      <c r="F51" s="808">
        <f t="shared" si="13"/>
        <v>2.6622202134007025</v>
      </c>
      <c r="G51" s="811">
        <f t="shared" si="13"/>
        <v>15.558696066945307</v>
      </c>
    </row>
    <row r="52" spans="1:7" ht="12.75">
      <c r="A52" s="809"/>
      <c r="B52" s="808"/>
      <c r="C52" s="808"/>
      <c r="D52" s="808"/>
      <c r="E52" s="808"/>
      <c r="F52" s="808"/>
      <c r="G52" s="811"/>
    </row>
    <row r="53" spans="1:8" ht="13.5" thickBot="1">
      <c r="A53" s="813" t="str">
        <f>A114</f>
        <v>Total PROJECT COSTS</v>
      </c>
      <c r="B53" s="814">
        <f aca="true" t="shared" si="14" ref="B53:G53">E114</f>
        <v>24.94482512492113</v>
      </c>
      <c r="C53" s="814">
        <f t="shared" si="14"/>
        <v>64.21122376573253</v>
      </c>
      <c r="D53" s="814">
        <f t="shared" si="14"/>
        <v>71.4405589190132</v>
      </c>
      <c r="E53" s="814">
        <f t="shared" si="14"/>
        <v>57.66991448062089</v>
      </c>
      <c r="F53" s="814">
        <f t="shared" si="14"/>
        <v>28.904543569252002</v>
      </c>
      <c r="G53" s="815">
        <f t="shared" si="14"/>
        <v>247.17106585953977</v>
      </c>
      <c r="H53" s="842"/>
    </row>
    <row r="54" spans="1:7" s="777" customFormat="1" ht="12.75">
      <c r="A54" s="779"/>
      <c r="B54" s="816"/>
      <c r="C54" s="816"/>
      <c r="D54" s="816"/>
      <c r="E54" s="816"/>
      <c r="F54" s="816"/>
      <c r="G54" s="816"/>
    </row>
    <row r="55" spans="1:7" ht="12.75">
      <c r="A55" s="825" t="str">
        <f>A116</f>
        <v>e. Alatona Distribution System O&amp;M</v>
      </c>
      <c r="B55" s="826">
        <f aca="true" t="shared" si="15" ref="B55:G55">E116</f>
        <v>0</v>
      </c>
      <c r="C55" s="826">
        <f t="shared" si="15"/>
        <v>0</v>
      </c>
      <c r="D55" s="826">
        <f t="shared" si="15"/>
        <v>0.742</v>
      </c>
      <c r="E55" s="826">
        <f t="shared" si="15"/>
        <v>1.484</v>
      </c>
      <c r="F55" s="826">
        <f t="shared" si="15"/>
        <v>2.24</v>
      </c>
      <c r="G55" s="826">
        <f t="shared" si="15"/>
        <v>4.466</v>
      </c>
    </row>
    <row r="58" spans="1:3" ht="12.75" customHeight="1">
      <c r="A58" s="1024" t="s">
        <v>231</v>
      </c>
      <c r="B58" s="1024"/>
      <c r="C58" s="1024"/>
    </row>
    <row r="59" spans="1:3" ht="12.75">
      <c r="A59" s="1024"/>
      <c r="B59" s="1024"/>
      <c r="C59" s="1024"/>
    </row>
    <row r="60" spans="1:3" ht="12.75">
      <c r="A60" s="1024"/>
      <c r="B60" s="1024"/>
      <c r="C60" s="1024"/>
    </row>
    <row r="62" spans="1:11" ht="12.75">
      <c r="A62" s="801"/>
      <c r="B62" s="801"/>
      <c r="C62" s="801"/>
      <c r="D62" s="801" t="s">
        <v>357</v>
      </c>
      <c r="E62" s="801"/>
      <c r="F62" s="801"/>
      <c r="G62" s="801"/>
      <c r="H62" s="801"/>
      <c r="I62" s="801"/>
      <c r="J62" s="801"/>
      <c r="K62" s="776"/>
    </row>
    <row r="63" spans="1:11" ht="12.75">
      <c r="A63" s="801"/>
      <c r="B63" s="801"/>
      <c r="C63" s="801"/>
      <c r="D63" s="801" t="s">
        <v>357</v>
      </c>
      <c r="E63" s="801"/>
      <c r="F63" s="801"/>
      <c r="G63" s="801"/>
      <c r="H63" s="801"/>
      <c r="I63" s="801"/>
      <c r="J63" s="801"/>
      <c r="K63" s="776"/>
    </row>
    <row r="64" spans="1:11" ht="12.75">
      <c r="A64" s="801"/>
      <c r="B64" s="801"/>
      <c r="C64" s="801"/>
      <c r="D64" s="801" t="s">
        <v>357</v>
      </c>
      <c r="E64" s="801"/>
      <c r="F64" s="801"/>
      <c r="G64" s="801"/>
      <c r="H64" s="801"/>
      <c r="I64" s="801"/>
      <c r="J64" s="801"/>
      <c r="K64" s="776"/>
    </row>
    <row r="65" spans="1:11" ht="12.75">
      <c r="A65" s="801"/>
      <c r="B65" s="801"/>
      <c r="C65" s="801"/>
      <c r="D65" s="801" t="s">
        <v>357</v>
      </c>
      <c r="E65" s="802"/>
      <c r="F65" s="802"/>
      <c r="G65" s="802" t="s">
        <v>358</v>
      </c>
      <c r="H65" s="802"/>
      <c r="I65" s="802"/>
      <c r="J65" s="802"/>
      <c r="K65" s="777"/>
    </row>
    <row r="66" spans="1:11" ht="12.75">
      <c r="A66" s="801"/>
      <c r="B66" s="801"/>
      <c r="C66" s="801"/>
      <c r="D66" s="801"/>
      <c r="E66" s="802" t="s">
        <v>170</v>
      </c>
      <c r="F66" s="802" t="s">
        <v>171</v>
      </c>
      <c r="G66" s="802" t="s">
        <v>172</v>
      </c>
      <c r="H66" s="802" t="s">
        <v>173</v>
      </c>
      <c r="I66" s="802" t="s">
        <v>174</v>
      </c>
      <c r="J66" s="802" t="s">
        <v>549</v>
      </c>
      <c r="K66" s="777"/>
    </row>
    <row r="67" spans="1:11" ht="12.75">
      <c r="A67" s="801"/>
      <c r="B67" s="801"/>
      <c r="C67" s="801"/>
      <c r="D67" s="801"/>
      <c r="E67" s="801"/>
      <c r="F67" s="801"/>
      <c r="G67" s="801"/>
      <c r="H67" s="801"/>
      <c r="I67" s="801"/>
      <c r="J67" s="801"/>
      <c r="K67" s="777"/>
    </row>
    <row r="68" spans="1:11" ht="12.75">
      <c r="A68" s="804" t="s">
        <v>359</v>
      </c>
      <c r="B68" s="801"/>
      <c r="C68" s="801"/>
      <c r="D68" s="801" t="s">
        <v>357</v>
      </c>
      <c r="E68" s="801"/>
      <c r="F68" s="801"/>
      <c r="G68" s="801"/>
      <c r="H68" s="801"/>
      <c r="I68" s="801"/>
      <c r="J68" s="801"/>
      <c r="K68" s="777"/>
    </row>
    <row r="69" spans="1:11" ht="12.75">
      <c r="A69" s="802" t="s">
        <v>412</v>
      </c>
      <c r="C69" s="801"/>
      <c r="D69" s="801" t="s">
        <v>357</v>
      </c>
      <c r="E69" s="801"/>
      <c r="F69" s="801"/>
      <c r="G69" s="801"/>
      <c r="H69" s="801"/>
      <c r="I69" s="801"/>
      <c r="J69" s="801"/>
      <c r="K69" s="777"/>
    </row>
    <row r="70" spans="1:11" ht="12.75">
      <c r="A70" s="801" t="s">
        <v>362</v>
      </c>
      <c r="D70" s="801" t="s">
        <v>357</v>
      </c>
      <c r="E70" s="806">
        <v>5.143</v>
      </c>
      <c r="F70" s="806">
        <v>9.97</v>
      </c>
      <c r="G70" s="806">
        <v>4.8467</v>
      </c>
      <c r="H70" s="806">
        <v>0.058</v>
      </c>
      <c r="I70" s="806">
        <v>0.058</v>
      </c>
      <c r="J70" s="806">
        <f aca="true" t="shared" si="16" ref="J70:J114">SUM(E70:I70)</f>
        <v>20.075699999999998</v>
      </c>
      <c r="K70" s="777"/>
    </row>
    <row r="71" spans="1:11" ht="12.75">
      <c r="A71" s="801" t="s">
        <v>363</v>
      </c>
      <c r="D71" s="801" t="s">
        <v>357</v>
      </c>
      <c r="E71" s="806">
        <v>2.0337</v>
      </c>
      <c r="F71" s="806">
        <v>4.4717</v>
      </c>
      <c r="G71" s="806">
        <v>2.6317</v>
      </c>
      <c r="H71" s="806">
        <v>0.063</v>
      </c>
      <c r="I71" s="806">
        <v>0.063</v>
      </c>
      <c r="J71" s="806">
        <f t="shared" si="16"/>
        <v>9.263100000000001</v>
      </c>
      <c r="K71" s="777"/>
    </row>
    <row r="72" spans="1:11" ht="12.75">
      <c r="A72" s="802" t="s">
        <v>175</v>
      </c>
      <c r="C72" s="801"/>
      <c r="D72" s="801" t="s">
        <v>357</v>
      </c>
      <c r="E72" s="806">
        <f>SUM(E70:E71)</f>
        <v>7.1767</v>
      </c>
      <c r="F72" s="806">
        <f>SUM(F70:F71)</f>
        <v>14.4417</v>
      </c>
      <c r="G72" s="806">
        <f>SUM(G70:G71)</f>
        <v>7.478400000000001</v>
      </c>
      <c r="H72" s="806">
        <f>SUM(H70:H71)</f>
        <v>0.121</v>
      </c>
      <c r="I72" s="806">
        <f>SUM(I70:I71)</f>
        <v>0.121</v>
      </c>
      <c r="J72" s="806">
        <f t="shared" si="16"/>
        <v>29.3388</v>
      </c>
      <c r="K72" s="777"/>
    </row>
    <row r="73" spans="1:11" ht="12.75">
      <c r="A73" s="802" t="s">
        <v>413</v>
      </c>
      <c r="C73" s="801"/>
      <c r="D73" s="801" t="s">
        <v>357</v>
      </c>
      <c r="E73" s="801"/>
      <c r="F73" s="801"/>
      <c r="G73" s="801"/>
      <c r="H73" s="801"/>
      <c r="I73" s="801"/>
      <c r="J73" s="801"/>
      <c r="K73" s="777"/>
    </row>
    <row r="74" spans="1:11" ht="12.75">
      <c r="A74" s="801" t="s">
        <v>365</v>
      </c>
      <c r="D74" s="801" t="s">
        <v>357</v>
      </c>
      <c r="E74" s="806">
        <v>0.9700016066838045</v>
      </c>
      <c r="F74" s="806">
        <v>2.2633370822622103</v>
      </c>
      <c r="G74" s="806">
        <v>0</v>
      </c>
      <c r="H74" s="806">
        <v>0.01872589974293059</v>
      </c>
      <c r="I74" s="806">
        <v>0.07490359897172236</v>
      </c>
      <c r="J74" s="806">
        <f t="shared" si="16"/>
        <v>3.326968187660668</v>
      </c>
      <c r="K74" s="777"/>
    </row>
    <row r="75" spans="1:11" ht="12.75">
      <c r="A75" s="801" t="s">
        <v>366</v>
      </c>
      <c r="D75" s="801" t="s">
        <v>357</v>
      </c>
      <c r="E75" s="806">
        <v>2.8985</v>
      </c>
      <c r="F75" s="806">
        <v>9.2139</v>
      </c>
      <c r="G75" s="806">
        <v>15.3124</v>
      </c>
      <c r="H75" s="806">
        <v>6.9312</v>
      </c>
      <c r="I75" s="806">
        <v>0.8</v>
      </c>
      <c r="J75" s="806">
        <f t="shared" si="16"/>
        <v>35.156</v>
      </c>
      <c r="K75" s="777"/>
    </row>
    <row r="76" spans="1:11" ht="12.75">
      <c r="A76" s="801" t="s">
        <v>367</v>
      </c>
      <c r="D76" s="801" t="s">
        <v>357</v>
      </c>
      <c r="E76" s="806">
        <v>0</v>
      </c>
      <c r="F76" s="806">
        <v>13.70350536</v>
      </c>
      <c r="G76" s="806">
        <v>19.6926017</v>
      </c>
      <c r="H76" s="806">
        <v>25.31433034</v>
      </c>
      <c r="I76" s="806">
        <v>7.4749185</v>
      </c>
      <c r="J76" s="806">
        <f t="shared" si="16"/>
        <v>66.1853559</v>
      </c>
      <c r="K76" s="777"/>
    </row>
    <row r="77" spans="1:11" ht="12.75">
      <c r="A77" s="801" t="s">
        <v>368</v>
      </c>
      <c r="D77" s="801" t="s">
        <v>357</v>
      </c>
      <c r="E77" s="806">
        <v>0</v>
      </c>
      <c r="F77" s="806">
        <v>0</v>
      </c>
      <c r="G77" s="806">
        <v>0.212</v>
      </c>
      <c r="H77" s="806">
        <v>0.424</v>
      </c>
      <c r="I77" s="806">
        <v>0.64</v>
      </c>
      <c r="J77" s="806">
        <f t="shared" si="16"/>
        <v>1.276</v>
      </c>
      <c r="K77" s="777"/>
    </row>
    <row r="78" spans="1:11" ht="12.75">
      <c r="A78" s="801" t="s">
        <v>404</v>
      </c>
      <c r="D78" s="801"/>
      <c r="E78" s="806">
        <v>0.17</v>
      </c>
      <c r="F78" s="806">
        <v>0.555</v>
      </c>
      <c r="G78" s="806">
        <v>1.09</v>
      </c>
      <c r="H78" s="806">
        <v>0.185</v>
      </c>
      <c r="I78" s="806">
        <v>0.05</v>
      </c>
      <c r="J78" s="806">
        <f>SUM(E78:I78)</f>
        <v>2.05</v>
      </c>
      <c r="K78" s="777"/>
    </row>
    <row r="79" spans="1:11" ht="12.75">
      <c r="A79" s="802" t="s">
        <v>370</v>
      </c>
      <c r="C79" s="801"/>
      <c r="D79" s="801" t="s">
        <v>357</v>
      </c>
      <c r="E79" s="806">
        <f>SUM(E74:E78)</f>
        <v>4.038501606683805</v>
      </c>
      <c r="F79" s="806">
        <f>SUM(F74:F78)</f>
        <v>25.735742442262207</v>
      </c>
      <c r="G79" s="806">
        <f>SUM(G74:G78)</f>
        <v>36.30700170000001</v>
      </c>
      <c r="H79" s="806">
        <f>SUM(H74:H78)</f>
        <v>32.873256239742936</v>
      </c>
      <c r="I79" s="806">
        <f>SUM(I74:I78)</f>
        <v>9.039822098971724</v>
      </c>
      <c r="J79" s="806">
        <f>SUM(E79:I79)</f>
        <v>107.99432408766067</v>
      </c>
      <c r="K79" s="838"/>
    </row>
    <row r="80" spans="1:11" ht="12.75">
      <c r="A80" s="803" t="s">
        <v>414</v>
      </c>
      <c r="C80" s="801"/>
      <c r="D80" s="801" t="s">
        <v>357</v>
      </c>
      <c r="E80" s="657"/>
      <c r="F80" s="657"/>
      <c r="G80" s="657"/>
      <c r="K80" s="777"/>
    </row>
    <row r="81" spans="1:11" ht="12.75">
      <c r="A81" s="839" t="s">
        <v>405</v>
      </c>
      <c r="C81" s="801"/>
      <c r="D81" s="801"/>
      <c r="E81" s="806">
        <v>0</v>
      </c>
      <c r="F81" s="806">
        <v>0.25</v>
      </c>
      <c r="G81" s="806">
        <v>0.2</v>
      </c>
      <c r="H81" s="806">
        <v>0.2</v>
      </c>
      <c r="I81" s="806">
        <v>0</v>
      </c>
      <c r="J81" s="806">
        <f aca="true" t="shared" si="17" ref="J81:J86">SUM(E81:I81)</f>
        <v>0.65</v>
      </c>
      <c r="K81" s="777"/>
    </row>
    <row r="82" spans="1:11" ht="12.75">
      <c r="A82" s="839" t="s">
        <v>406</v>
      </c>
      <c r="C82" s="801"/>
      <c r="D82" s="801"/>
      <c r="E82" s="806">
        <v>0.2</v>
      </c>
      <c r="F82" s="806">
        <v>0.4</v>
      </c>
      <c r="G82" s="806">
        <v>0.4</v>
      </c>
      <c r="H82" s="806">
        <v>0.25</v>
      </c>
      <c r="I82" s="806">
        <v>0.25</v>
      </c>
      <c r="J82" s="806">
        <f t="shared" si="17"/>
        <v>1.5</v>
      </c>
      <c r="K82" s="777"/>
    </row>
    <row r="83" spans="1:11" ht="12.75">
      <c r="A83" s="839" t="s">
        <v>407</v>
      </c>
      <c r="C83" s="801"/>
      <c r="D83" s="801"/>
      <c r="E83" s="806">
        <v>0.05</v>
      </c>
      <c r="F83" s="806">
        <v>0.15</v>
      </c>
      <c r="G83" s="806">
        <v>0.1</v>
      </c>
      <c r="H83" s="806">
        <v>0.1</v>
      </c>
      <c r="I83" s="806">
        <v>0.1</v>
      </c>
      <c r="J83" s="806">
        <f t="shared" si="17"/>
        <v>0.5</v>
      </c>
      <c r="K83" s="777"/>
    </row>
    <row r="84" spans="1:11" ht="12.75">
      <c r="A84" s="839" t="s">
        <v>408</v>
      </c>
      <c r="C84" s="801"/>
      <c r="D84" s="801"/>
      <c r="E84" s="806">
        <v>0</v>
      </c>
      <c r="F84" s="806">
        <v>0.2</v>
      </c>
      <c r="G84" s="806">
        <v>0.15</v>
      </c>
      <c r="H84" s="806">
        <v>0.15</v>
      </c>
      <c r="I84" s="806">
        <v>0.15</v>
      </c>
      <c r="J84" s="806">
        <f t="shared" si="17"/>
        <v>0.65</v>
      </c>
      <c r="K84" s="777"/>
    </row>
    <row r="85" spans="1:11" ht="12.75">
      <c r="A85" s="839" t="s">
        <v>409</v>
      </c>
      <c r="C85" s="801"/>
      <c r="D85" s="801"/>
      <c r="E85" s="806">
        <v>0</v>
      </c>
      <c r="F85" s="806">
        <v>0.1</v>
      </c>
      <c r="G85" s="806">
        <v>0.1</v>
      </c>
      <c r="H85" s="806">
        <v>0</v>
      </c>
      <c r="I85" s="806">
        <v>0</v>
      </c>
      <c r="J85" s="806">
        <f t="shared" si="17"/>
        <v>0.2</v>
      </c>
      <c r="K85" s="777"/>
    </row>
    <row r="86" spans="1:11" ht="12.75">
      <c r="A86" s="803" t="s">
        <v>410</v>
      </c>
      <c r="C86" s="801"/>
      <c r="D86" s="801"/>
      <c r="E86" s="806">
        <f>SUM(E81:E85)</f>
        <v>0.25</v>
      </c>
      <c r="F86" s="806">
        <f>SUM(F81:F85)</f>
        <v>1.1</v>
      </c>
      <c r="G86" s="806">
        <f>SUM(G81:G85)</f>
        <v>0.9500000000000001</v>
      </c>
      <c r="H86" s="806">
        <f>SUM(H81:H85)</f>
        <v>0.7000000000000001</v>
      </c>
      <c r="I86" s="806">
        <f>SUM(I81:I85)</f>
        <v>0.5</v>
      </c>
      <c r="J86" s="806">
        <f t="shared" si="17"/>
        <v>3.5000000000000004</v>
      </c>
      <c r="K86" s="777"/>
    </row>
    <row r="87" spans="1:11" ht="12.75">
      <c r="A87" s="802" t="s">
        <v>415</v>
      </c>
      <c r="C87" s="801"/>
      <c r="D87" s="801" t="s">
        <v>357</v>
      </c>
      <c r="E87" s="801"/>
      <c r="F87" s="801"/>
      <c r="G87" s="801"/>
      <c r="H87" s="801"/>
      <c r="I87" s="801"/>
      <c r="J87" s="801"/>
      <c r="K87" s="777"/>
    </row>
    <row r="88" spans="1:11" ht="12.75">
      <c r="A88" s="837" t="s">
        <v>411</v>
      </c>
      <c r="C88" s="801"/>
      <c r="D88" s="801" t="s">
        <v>357</v>
      </c>
      <c r="E88" s="806">
        <v>0.3065</v>
      </c>
      <c r="F88" s="806">
        <v>0.4615</v>
      </c>
      <c r="G88" s="806">
        <v>0.4475</v>
      </c>
      <c r="H88" s="806">
        <v>0.0325</v>
      </c>
      <c r="I88" s="806">
        <v>0.025</v>
      </c>
      <c r="J88" s="806">
        <f>SUM(E88:I88)</f>
        <v>1.273</v>
      </c>
      <c r="K88" s="777"/>
    </row>
    <row r="89" spans="1:11" ht="12.75">
      <c r="A89" s="801" t="s">
        <v>402</v>
      </c>
      <c r="D89" s="801" t="s">
        <v>357</v>
      </c>
      <c r="E89" s="806">
        <v>2.1662</v>
      </c>
      <c r="F89" s="806">
        <v>3.9376</v>
      </c>
      <c r="G89" s="806">
        <v>3.8896</v>
      </c>
      <c r="H89" s="806">
        <v>3.0304</v>
      </c>
      <c r="I89" s="806">
        <v>2.6772</v>
      </c>
      <c r="J89" s="806">
        <f t="shared" si="16"/>
        <v>15.701</v>
      </c>
      <c r="K89" s="777"/>
    </row>
    <row r="90" spans="1:11" ht="12.75">
      <c r="A90" s="801" t="s">
        <v>403</v>
      </c>
      <c r="D90" s="801" t="s">
        <v>357</v>
      </c>
      <c r="E90" s="806">
        <v>0.542773</v>
      </c>
      <c r="F90" s="806">
        <v>0.846373</v>
      </c>
      <c r="G90" s="806">
        <v>0.813573</v>
      </c>
      <c r="H90" s="806">
        <v>0.4289</v>
      </c>
      <c r="I90" s="806">
        <v>0.4289</v>
      </c>
      <c r="J90" s="806">
        <f t="shared" si="16"/>
        <v>3.060519</v>
      </c>
      <c r="K90" s="777"/>
    </row>
    <row r="91" spans="1:11" ht="12.75">
      <c r="A91" s="802" t="s">
        <v>375</v>
      </c>
      <c r="C91" s="801"/>
      <c r="D91" s="801" t="s">
        <v>357</v>
      </c>
      <c r="E91" s="806">
        <f>SUM(E88:E90)</f>
        <v>3.0154729999999996</v>
      </c>
      <c r="F91" s="806">
        <f>SUM(F88:F90)</f>
        <v>5.2454730000000005</v>
      </c>
      <c r="G91" s="806">
        <f>SUM(G88:G90)</f>
        <v>5.150673</v>
      </c>
      <c r="H91" s="806">
        <f>SUM(H88:H90)</f>
        <v>3.4918000000000005</v>
      </c>
      <c r="I91" s="806">
        <f>SUM(I88:I90)</f>
        <v>3.1311</v>
      </c>
      <c r="J91" s="806">
        <f>SUM(E91:I91)</f>
        <v>20.034519000000003</v>
      </c>
      <c r="K91" s="777"/>
    </row>
    <row r="92" spans="1:11" ht="12.75">
      <c r="A92" s="802" t="s">
        <v>416</v>
      </c>
      <c r="C92" s="801"/>
      <c r="D92" s="801" t="s">
        <v>357</v>
      </c>
      <c r="E92" s="801"/>
      <c r="F92" s="801"/>
      <c r="G92" s="801"/>
      <c r="H92" s="801"/>
      <c r="I92" s="801"/>
      <c r="J92" s="801"/>
      <c r="K92" s="777"/>
    </row>
    <row r="93" spans="1:11" ht="12.75">
      <c r="A93" s="868" t="s">
        <v>384</v>
      </c>
      <c r="B93" s="869"/>
      <c r="C93" s="869"/>
      <c r="D93" s="868" t="s">
        <v>357</v>
      </c>
      <c r="E93" s="870">
        <v>0.0865</v>
      </c>
      <c r="F93" s="870">
        <v>0.1565</v>
      </c>
      <c r="G93" s="870">
        <v>1.3125</v>
      </c>
      <c r="H93" s="870">
        <v>1.67</v>
      </c>
      <c r="I93" s="870">
        <v>1.975</v>
      </c>
      <c r="J93" s="870">
        <f t="shared" si="16"/>
        <v>5.2005</v>
      </c>
      <c r="K93" s="777"/>
    </row>
    <row r="94" spans="1:11" ht="12.75">
      <c r="A94" s="868" t="s">
        <v>418</v>
      </c>
      <c r="B94" s="869"/>
      <c r="C94" s="869"/>
      <c r="D94" s="868" t="s">
        <v>357</v>
      </c>
      <c r="E94" s="870">
        <v>0.17</v>
      </c>
      <c r="F94" s="870">
        <v>0.286</v>
      </c>
      <c r="G94" s="870">
        <v>0.386</v>
      </c>
      <c r="H94" s="870">
        <v>0.486</v>
      </c>
      <c r="I94" s="870">
        <v>0.6</v>
      </c>
      <c r="J94" s="870">
        <f t="shared" si="16"/>
        <v>1.928</v>
      </c>
      <c r="K94" s="777"/>
    </row>
    <row r="95" spans="1:15" ht="12.75">
      <c r="A95" s="868" t="s">
        <v>419</v>
      </c>
      <c r="B95" s="869"/>
      <c r="C95" s="869"/>
      <c r="D95" s="868" t="s">
        <v>357</v>
      </c>
      <c r="E95" s="870">
        <v>1.45</v>
      </c>
      <c r="F95" s="870">
        <v>1.45</v>
      </c>
      <c r="G95" s="870">
        <v>1.25</v>
      </c>
      <c r="H95" s="870">
        <v>0.65</v>
      </c>
      <c r="I95" s="870">
        <v>0.65</v>
      </c>
      <c r="J95" s="870">
        <f t="shared" si="16"/>
        <v>5.450000000000001</v>
      </c>
      <c r="K95" s="838"/>
      <c r="L95" s="838"/>
      <c r="M95" s="838"/>
      <c r="N95" s="838"/>
      <c r="O95" s="838"/>
    </row>
    <row r="96" spans="1:11" ht="12.75">
      <c r="A96" s="802" t="s">
        <v>380</v>
      </c>
      <c r="C96" s="801"/>
      <c r="D96" s="801" t="s">
        <v>357</v>
      </c>
      <c r="E96" s="806">
        <f>SUM(E93:E95)</f>
        <v>1.7065</v>
      </c>
      <c r="F96" s="806">
        <f>SUM(F93:F95)</f>
        <v>1.8925</v>
      </c>
      <c r="G96" s="806">
        <f>SUM(G93:G95)</f>
        <v>2.9485</v>
      </c>
      <c r="H96" s="806">
        <f>SUM(H93:H95)</f>
        <v>2.8059999999999996</v>
      </c>
      <c r="I96" s="806">
        <f>SUM(I93:I95)</f>
        <v>3.225</v>
      </c>
      <c r="J96" s="806">
        <f t="shared" si="16"/>
        <v>12.5785</v>
      </c>
      <c r="K96" s="777"/>
    </row>
    <row r="97" spans="1:11" ht="12.75">
      <c r="A97" s="802" t="s">
        <v>417</v>
      </c>
      <c r="C97" s="801"/>
      <c r="D97" s="801" t="s">
        <v>357</v>
      </c>
      <c r="E97" s="801"/>
      <c r="F97" s="801"/>
      <c r="G97" s="801"/>
      <c r="H97" s="801"/>
      <c r="I97" s="801"/>
      <c r="J97" s="801"/>
      <c r="K97" s="777"/>
    </row>
    <row r="98" spans="1:11" ht="12.75">
      <c r="A98" s="830" t="s">
        <v>395</v>
      </c>
      <c r="B98" s="831"/>
      <c r="C98" s="831"/>
      <c r="D98" s="830" t="s">
        <v>357</v>
      </c>
      <c r="E98" s="807">
        <v>0</v>
      </c>
      <c r="F98" s="807">
        <v>0.2</v>
      </c>
      <c r="G98" s="807">
        <v>1.4</v>
      </c>
      <c r="H98" s="807">
        <v>2.1</v>
      </c>
      <c r="I98" s="807">
        <v>2.7</v>
      </c>
      <c r="J98" s="807">
        <f t="shared" si="16"/>
        <v>6.4</v>
      </c>
      <c r="K98" s="777"/>
    </row>
    <row r="99" spans="1:11" ht="12.75">
      <c r="A99" s="830" t="s">
        <v>396</v>
      </c>
      <c r="B99" s="831"/>
      <c r="C99" s="831"/>
      <c r="D99" s="830" t="s">
        <v>357</v>
      </c>
      <c r="E99" s="807">
        <v>0.04</v>
      </c>
      <c r="F99" s="807">
        <v>0.1</v>
      </c>
      <c r="G99" s="807">
        <v>0.06</v>
      </c>
      <c r="H99" s="807">
        <v>0</v>
      </c>
      <c r="I99" s="807">
        <v>0</v>
      </c>
      <c r="J99" s="807">
        <f t="shared" si="16"/>
        <v>0.2</v>
      </c>
      <c r="K99" s="777"/>
    </row>
    <row r="100" spans="1:11" ht="12.75">
      <c r="A100" s="830" t="s">
        <v>397</v>
      </c>
      <c r="B100" s="831"/>
      <c r="C100" s="831"/>
      <c r="D100" s="830" t="s">
        <v>357</v>
      </c>
      <c r="E100" s="807">
        <v>0.1</v>
      </c>
      <c r="F100" s="807">
        <v>0.2</v>
      </c>
      <c r="G100" s="807">
        <v>0.2</v>
      </c>
      <c r="H100" s="807">
        <v>0.15</v>
      </c>
      <c r="I100" s="807">
        <v>0.1</v>
      </c>
      <c r="J100" s="807">
        <f t="shared" si="16"/>
        <v>0.75</v>
      </c>
      <c r="K100" s="777"/>
    </row>
    <row r="101" spans="1:11" ht="12.75">
      <c r="A101" s="830" t="s">
        <v>398</v>
      </c>
      <c r="B101" s="831"/>
      <c r="C101" s="831"/>
      <c r="D101" s="830" t="s">
        <v>357</v>
      </c>
      <c r="E101" s="807">
        <v>0</v>
      </c>
      <c r="F101" s="807">
        <v>0</v>
      </c>
      <c r="G101" s="807">
        <v>0.08</v>
      </c>
      <c r="H101" s="807">
        <v>0.08</v>
      </c>
      <c r="I101" s="807">
        <v>0.08</v>
      </c>
      <c r="J101" s="807">
        <f t="shared" si="16"/>
        <v>0.24</v>
      </c>
      <c r="K101" s="777"/>
    </row>
    <row r="102" spans="1:11" ht="12.75">
      <c r="A102" s="832" t="s">
        <v>382</v>
      </c>
      <c r="B102" s="831"/>
      <c r="C102" s="830"/>
      <c r="D102" s="830" t="s">
        <v>357</v>
      </c>
      <c r="E102" s="807">
        <f>SUM(E98:E101)</f>
        <v>0.14</v>
      </c>
      <c r="F102" s="807">
        <f>SUM(F98:F101)</f>
        <v>0.5</v>
      </c>
      <c r="G102" s="807">
        <f>SUM(G98:G101)</f>
        <v>1.74</v>
      </c>
      <c r="H102" s="807">
        <f>SUM(H98:H101)</f>
        <v>2.33</v>
      </c>
      <c r="I102" s="807">
        <f>SUM(I98:I101)</f>
        <v>2.8800000000000003</v>
      </c>
      <c r="J102" s="807">
        <f t="shared" si="16"/>
        <v>7.59</v>
      </c>
      <c r="K102" s="777"/>
    </row>
    <row r="103" spans="1:11" ht="12.75">
      <c r="A103" s="802"/>
      <c r="C103" s="801"/>
      <c r="D103" s="801"/>
      <c r="E103" s="801"/>
      <c r="F103" s="801"/>
      <c r="G103" s="801"/>
      <c r="H103" s="801"/>
      <c r="I103" s="801"/>
      <c r="J103" s="801"/>
      <c r="K103" s="777"/>
    </row>
    <row r="104" spans="1:11" ht="12.75">
      <c r="A104" s="802" t="s">
        <v>387</v>
      </c>
      <c r="B104" s="801"/>
      <c r="C104" s="801"/>
      <c r="D104" s="801" t="s">
        <v>357</v>
      </c>
      <c r="E104" s="806">
        <f>E102+E96+E91+E86+E79+E72</f>
        <v>16.327174606683805</v>
      </c>
      <c r="F104" s="806">
        <f>F102+F96+F91+F86+F79+F72</f>
        <v>48.9154154422622</v>
      </c>
      <c r="G104" s="806">
        <f>G102+G96+G91+G86+G79+G72</f>
        <v>54.57457470000001</v>
      </c>
      <c r="H104" s="806">
        <f>H102+H96+H91+H86+H79+H72</f>
        <v>42.32205623974294</v>
      </c>
      <c r="I104" s="806">
        <f>I102+I96+I91+I86+I79+I72</f>
        <v>18.896922098971725</v>
      </c>
      <c r="J104" s="806">
        <f t="shared" si="16"/>
        <v>181.03614308766066</v>
      </c>
      <c r="K104" s="777"/>
    </row>
    <row r="105" spans="1:11" ht="12.75">
      <c r="A105" s="802"/>
      <c r="B105" s="801"/>
      <c r="C105" s="801"/>
      <c r="D105" s="801"/>
      <c r="E105" s="801"/>
      <c r="F105" s="801"/>
      <c r="G105" s="801"/>
      <c r="H105" s="801"/>
      <c r="I105" s="801"/>
      <c r="J105" s="801"/>
      <c r="K105" s="777"/>
    </row>
    <row r="106" spans="1:11" ht="12.75">
      <c r="A106" s="805" t="s">
        <v>388</v>
      </c>
      <c r="B106" s="801"/>
      <c r="C106" s="801"/>
      <c r="D106" s="801" t="s">
        <v>357</v>
      </c>
      <c r="E106" s="807">
        <v>0.8366752660418545</v>
      </c>
      <c r="F106" s="807">
        <v>0.29004742556117624</v>
      </c>
      <c r="G106" s="807">
        <v>0.3653481995049431</v>
      </c>
      <c r="H106" s="807">
        <v>0.3932373750396716</v>
      </c>
      <c r="I106" s="807">
        <v>0.8506198538092187</v>
      </c>
      <c r="J106" s="806">
        <f t="shared" si="16"/>
        <v>2.7359281199568644</v>
      </c>
      <c r="K106" s="777" t="s">
        <v>467</v>
      </c>
    </row>
    <row r="107" spans="1:11" ht="12.75">
      <c r="A107" s="805" t="s">
        <v>389</v>
      </c>
      <c r="B107" s="801"/>
      <c r="C107" s="801"/>
      <c r="D107" s="801" t="s">
        <v>357</v>
      </c>
      <c r="E107" s="807">
        <v>4.573824787695471</v>
      </c>
      <c r="F107" s="807">
        <v>4.071819628070358</v>
      </c>
      <c r="G107" s="807">
        <v>4.127597979139815</v>
      </c>
      <c r="H107" s="807">
        <v>4.016041277000901</v>
      </c>
      <c r="I107" s="807">
        <v>4.071819628070358</v>
      </c>
      <c r="J107" s="806">
        <f t="shared" si="16"/>
        <v>20.861103299976904</v>
      </c>
      <c r="K107" s="777" t="s">
        <v>468</v>
      </c>
    </row>
    <row r="108" spans="1:11" ht="12.75">
      <c r="A108" s="805"/>
      <c r="B108" s="801"/>
      <c r="C108" s="801"/>
      <c r="D108" s="801"/>
      <c r="E108" s="801"/>
      <c r="F108" s="801"/>
      <c r="G108" s="801"/>
      <c r="H108" s="801"/>
      <c r="I108" s="801"/>
      <c r="J108" s="801"/>
      <c r="K108" s="777"/>
    </row>
    <row r="109" spans="1:11" ht="12.75">
      <c r="A109" s="802" t="s">
        <v>176</v>
      </c>
      <c r="B109" s="801"/>
      <c r="C109" s="801"/>
      <c r="D109" s="801" t="s">
        <v>357</v>
      </c>
      <c r="E109" s="806">
        <f>SUM(E104:E107)</f>
        <v>21.73767466042113</v>
      </c>
      <c r="F109" s="806">
        <f>SUM(F104:F107)</f>
        <v>53.277282495893736</v>
      </c>
      <c r="G109" s="806">
        <f>SUM(G104:G107)</f>
        <v>59.067520878644764</v>
      </c>
      <c r="H109" s="806">
        <f>SUM(H104:H107)</f>
        <v>46.73133489178352</v>
      </c>
      <c r="I109" s="806">
        <f>SUM(I104:I107)</f>
        <v>23.8193615808513</v>
      </c>
      <c r="J109" s="806">
        <f t="shared" si="16"/>
        <v>204.63317450759445</v>
      </c>
      <c r="K109" s="777"/>
    </row>
    <row r="110" spans="1:11" ht="12.75">
      <c r="A110" s="802"/>
      <c r="B110" s="801"/>
      <c r="C110" s="801"/>
      <c r="D110" s="801"/>
      <c r="E110" s="801"/>
      <c r="F110" s="801"/>
      <c r="G110" s="801"/>
      <c r="H110" s="801"/>
      <c r="I110" s="801"/>
      <c r="J110" s="801"/>
      <c r="K110" s="777"/>
    </row>
    <row r="111" spans="1:11" ht="12.75">
      <c r="A111" s="801" t="s">
        <v>177</v>
      </c>
      <c r="C111" s="801"/>
      <c r="D111" s="801" t="s">
        <v>357</v>
      </c>
      <c r="E111" s="806">
        <v>2.8710612999999996</v>
      </c>
      <c r="F111" s="806">
        <v>8.059767103999999</v>
      </c>
      <c r="G111" s="806">
        <v>7.709121554999999</v>
      </c>
      <c r="H111" s="806">
        <v>5.916283551</v>
      </c>
      <c r="I111" s="806">
        <v>2.422961775</v>
      </c>
      <c r="J111" s="806">
        <f t="shared" si="16"/>
        <v>26.979195285</v>
      </c>
      <c r="K111" s="777"/>
    </row>
    <row r="112" spans="1:11" ht="12.75">
      <c r="A112" s="801" t="s">
        <v>178</v>
      </c>
      <c r="C112" s="801"/>
      <c r="D112" s="801" t="s">
        <v>357</v>
      </c>
      <c r="E112" s="806">
        <v>0.33608916449999787</v>
      </c>
      <c r="F112" s="806">
        <v>2.874174165838799</v>
      </c>
      <c r="G112" s="806">
        <v>4.663916485368437</v>
      </c>
      <c r="H112" s="806">
        <v>5.022296037837369</v>
      </c>
      <c r="I112" s="806">
        <v>2.6622202134007025</v>
      </c>
      <c r="J112" s="806">
        <f t="shared" si="16"/>
        <v>15.558696066945307</v>
      </c>
      <c r="K112" s="777"/>
    </row>
    <row r="113" spans="1:11" ht="12.75">
      <c r="A113" s="801"/>
      <c r="C113" s="801"/>
      <c r="D113" s="801"/>
      <c r="E113" s="801"/>
      <c r="F113" s="801"/>
      <c r="G113" s="801"/>
      <c r="H113" s="801"/>
      <c r="I113" s="801"/>
      <c r="J113" s="801"/>
      <c r="K113" s="777"/>
    </row>
    <row r="114" spans="1:11" ht="12.75">
      <c r="A114" s="802" t="s">
        <v>390</v>
      </c>
      <c r="B114" s="801"/>
      <c r="C114" s="801"/>
      <c r="D114" s="801" t="s">
        <v>357</v>
      </c>
      <c r="E114" s="806">
        <f>SUM(E109:E112)</f>
        <v>24.94482512492113</v>
      </c>
      <c r="F114" s="806">
        <f>SUM(F109:F112)</f>
        <v>64.21122376573253</v>
      </c>
      <c r="G114" s="806">
        <f>SUM(G109:G112)</f>
        <v>71.4405589190132</v>
      </c>
      <c r="H114" s="806">
        <f>SUM(H109:H112)</f>
        <v>57.66991448062089</v>
      </c>
      <c r="I114" s="806">
        <f>SUM(I109:I112)</f>
        <v>28.904543569252002</v>
      </c>
      <c r="J114" s="806">
        <f t="shared" si="16"/>
        <v>247.17106585953977</v>
      </c>
      <c r="K114" s="777"/>
    </row>
    <row r="115" spans="1:11" ht="12.75">
      <c r="A115" s="779"/>
      <c r="B115" s="778"/>
      <c r="C115" s="778"/>
      <c r="D115" s="778"/>
      <c r="E115" s="778"/>
      <c r="F115" s="778"/>
      <c r="G115" s="778"/>
      <c r="H115" s="777"/>
      <c r="I115" s="777"/>
      <c r="J115" s="777"/>
      <c r="K115" s="777"/>
    </row>
    <row r="116" spans="1:11" ht="12.75">
      <c r="A116" s="801" t="s">
        <v>369</v>
      </c>
      <c r="D116" s="801" t="s">
        <v>357</v>
      </c>
      <c r="E116" s="806">
        <v>0</v>
      </c>
      <c r="F116" s="806">
        <v>0</v>
      </c>
      <c r="G116" s="806">
        <v>0.742</v>
      </c>
      <c r="H116" s="806">
        <v>1.484</v>
      </c>
      <c r="I116" s="806">
        <v>2.24</v>
      </c>
      <c r="J116" s="806">
        <f>SUM(E116:I116)</f>
        <v>4.466</v>
      </c>
      <c r="K116" s="777" t="s">
        <v>391</v>
      </c>
    </row>
    <row r="118" spans="1:11" ht="12.75">
      <c r="A118" s="779"/>
      <c r="B118" s="778"/>
      <c r="C118" s="778"/>
      <c r="D118" s="778"/>
      <c r="E118" s="778"/>
      <c r="F118" s="778"/>
      <c r="G118" s="778"/>
      <c r="H118" s="777"/>
      <c r="I118" s="777"/>
      <c r="J118" s="777"/>
      <c r="K118" s="777"/>
    </row>
    <row r="119" spans="1:11" ht="12.75">
      <c r="A119" s="804" t="s">
        <v>359</v>
      </c>
      <c r="B119" s="801"/>
      <c r="C119" s="801"/>
      <c r="D119" s="801" t="s">
        <v>357</v>
      </c>
      <c r="E119" s="801"/>
      <c r="F119" s="801"/>
      <c r="G119" s="801"/>
      <c r="H119" s="801"/>
      <c r="I119" s="801"/>
      <c r="J119" s="801"/>
      <c r="K119" s="777"/>
    </row>
    <row r="120" spans="1:11" ht="12.75">
      <c r="A120" s="803" t="s">
        <v>360</v>
      </c>
      <c r="C120" s="801"/>
      <c r="D120" s="801" t="s">
        <v>357</v>
      </c>
      <c r="E120" s="806">
        <v>0.3065</v>
      </c>
      <c r="F120" s="806">
        <v>0.4615</v>
      </c>
      <c r="G120" s="806">
        <v>0.4475</v>
      </c>
      <c r="H120" s="806">
        <v>0.0325</v>
      </c>
      <c r="I120" s="806">
        <v>0.025</v>
      </c>
      <c r="J120" s="806">
        <f>SUM(E120:I120)</f>
        <v>1.273</v>
      </c>
      <c r="K120" s="777"/>
    </row>
    <row r="121" spans="1:11" ht="12.75">
      <c r="A121" s="802" t="s">
        <v>361</v>
      </c>
      <c r="C121" s="801"/>
      <c r="D121" s="801" t="s">
        <v>357</v>
      </c>
      <c r="E121" s="801"/>
      <c r="F121" s="801"/>
      <c r="G121" s="801"/>
      <c r="H121" s="801"/>
      <c r="I121" s="801"/>
      <c r="J121" s="801"/>
      <c r="K121" s="777"/>
    </row>
    <row r="122" spans="1:11" ht="12.75">
      <c r="A122" s="801" t="s">
        <v>362</v>
      </c>
      <c r="D122" s="801" t="s">
        <v>357</v>
      </c>
      <c r="E122" s="806">
        <v>5.143</v>
      </c>
      <c r="F122" s="806">
        <v>9.97</v>
      </c>
      <c r="G122" s="806">
        <v>4.8467</v>
      </c>
      <c r="H122" s="806">
        <v>0.058</v>
      </c>
      <c r="I122" s="806">
        <v>0.058</v>
      </c>
      <c r="J122" s="806">
        <f>SUM(E122:I122)</f>
        <v>20.075699999999998</v>
      </c>
      <c r="K122" s="777"/>
    </row>
    <row r="123" spans="1:11" ht="12.75">
      <c r="A123" s="801" t="s">
        <v>363</v>
      </c>
      <c r="D123" s="801" t="s">
        <v>357</v>
      </c>
      <c r="E123" s="806">
        <v>2.0337</v>
      </c>
      <c r="F123" s="806">
        <v>4.4717</v>
      </c>
      <c r="G123" s="806">
        <v>2.6317</v>
      </c>
      <c r="H123" s="806">
        <v>0.063</v>
      </c>
      <c r="I123" s="806">
        <v>0.063</v>
      </c>
      <c r="J123" s="806">
        <f>SUM(E123:I123)</f>
        <v>9.263100000000001</v>
      </c>
      <c r="K123" s="777"/>
    </row>
    <row r="124" spans="1:11" ht="12.75">
      <c r="A124" s="802" t="s">
        <v>175</v>
      </c>
      <c r="C124" s="801"/>
      <c r="D124" s="801" t="s">
        <v>357</v>
      </c>
      <c r="E124" s="806">
        <f>SUM(E122:E123)</f>
        <v>7.1767</v>
      </c>
      <c r="F124" s="806">
        <f>SUM(F122:F123)</f>
        <v>14.4417</v>
      </c>
      <c r="G124" s="806">
        <f>SUM(G122:G123)</f>
        <v>7.478400000000001</v>
      </c>
      <c r="H124" s="806">
        <f>SUM(H122:H123)</f>
        <v>0.121</v>
      </c>
      <c r="I124" s="806">
        <f>SUM(I122:I123)</f>
        <v>0.121</v>
      </c>
      <c r="J124" s="806">
        <f>SUM(E124:I124)</f>
        <v>29.3388</v>
      </c>
      <c r="K124" s="777"/>
    </row>
    <row r="125" spans="1:11" ht="12.75">
      <c r="A125" s="802" t="s">
        <v>364</v>
      </c>
      <c r="C125" s="801"/>
      <c r="D125" s="801" t="s">
        <v>357</v>
      </c>
      <c r="E125" s="801"/>
      <c r="F125" s="801"/>
      <c r="G125" s="801"/>
      <c r="H125" s="801"/>
      <c r="I125" s="801"/>
      <c r="J125" s="801"/>
      <c r="K125" s="777"/>
    </row>
    <row r="126" spans="1:11" ht="12.75">
      <c r="A126" s="801" t="s">
        <v>365</v>
      </c>
      <c r="D126" s="801" t="s">
        <v>357</v>
      </c>
      <c r="E126" s="806">
        <v>0.97125</v>
      </c>
      <c r="F126" s="806">
        <v>2.26625</v>
      </c>
      <c r="G126" s="806">
        <v>0</v>
      </c>
      <c r="H126" s="806">
        <v>0</v>
      </c>
      <c r="I126" s="806">
        <v>0</v>
      </c>
      <c r="J126" s="806">
        <f aca="true" t="shared" si="18" ref="J126:J132">SUM(E126:I126)</f>
        <v>3.2375</v>
      </c>
      <c r="K126" s="777"/>
    </row>
    <row r="127" spans="1:11" ht="12.75">
      <c r="A127" s="801" t="s">
        <v>366</v>
      </c>
      <c r="D127" s="801" t="s">
        <v>357</v>
      </c>
      <c r="E127" s="806">
        <v>3.0355</v>
      </c>
      <c r="F127" s="806">
        <v>9.6249</v>
      </c>
      <c r="G127" s="806">
        <v>15.8604</v>
      </c>
      <c r="H127" s="806">
        <v>7.2052</v>
      </c>
      <c r="I127" s="806">
        <v>0.8</v>
      </c>
      <c r="J127" s="806">
        <f t="shared" si="18"/>
        <v>36.525999999999996</v>
      </c>
      <c r="K127" s="777"/>
    </row>
    <row r="128" spans="1:11" ht="12.75">
      <c r="A128" s="801" t="s">
        <v>367</v>
      </c>
      <c r="D128" s="801" t="s">
        <v>357</v>
      </c>
      <c r="E128" s="806">
        <v>0</v>
      </c>
      <c r="F128" s="806">
        <v>12.4492</v>
      </c>
      <c r="G128" s="806">
        <v>14.9326</v>
      </c>
      <c r="H128" s="806">
        <v>15.8249</v>
      </c>
      <c r="I128" s="806">
        <v>2.75885</v>
      </c>
      <c r="J128" s="806">
        <f t="shared" si="18"/>
        <v>45.96555</v>
      </c>
      <c r="K128" s="777"/>
    </row>
    <row r="129" spans="1:11" ht="12.75">
      <c r="A129" s="801" t="s">
        <v>368</v>
      </c>
      <c r="D129" s="801" t="s">
        <v>357</v>
      </c>
      <c r="E129" s="806">
        <v>0</v>
      </c>
      <c r="F129" s="806">
        <v>0</v>
      </c>
      <c r="G129" s="806">
        <v>0.212</v>
      </c>
      <c r="H129" s="806">
        <v>0.424</v>
      </c>
      <c r="I129" s="806">
        <v>0.64</v>
      </c>
      <c r="J129" s="806">
        <f t="shared" si="18"/>
        <v>1.276</v>
      </c>
      <c r="K129" s="777"/>
    </row>
    <row r="130" spans="1:11" ht="12.75">
      <c r="A130" s="801" t="s">
        <v>369</v>
      </c>
      <c r="D130" s="801" t="s">
        <v>357</v>
      </c>
      <c r="E130" s="806"/>
      <c r="F130" s="806"/>
      <c r="G130" s="806"/>
      <c r="H130" s="806"/>
      <c r="I130" s="806"/>
      <c r="J130" s="806">
        <f t="shared" si="18"/>
        <v>0</v>
      </c>
      <c r="K130" s="777" t="s">
        <v>391</v>
      </c>
    </row>
    <row r="131" spans="1:11" ht="12.75">
      <c r="A131" s="802" t="s">
        <v>370</v>
      </c>
      <c r="C131" s="801"/>
      <c r="D131" s="801" t="s">
        <v>357</v>
      </c>
      <c r="E131" s="806">
        <f>SUM(E126:E130)</f>
        <v>4.00675</v>
      </c>
      <c r="F131" s="806">
        <f>SUM(F126:F130)</f>
        <v>24.34035</v>
      </c>
      <c r="G131" s="806">
        <f>SUM(G126:G130)</f>
        <v>31.005</v>
      </c>
      <c r="H131" s="806">
        <f>SUM(H126:H130)</f>
        <v>23.454099999999997</v>
      </c>
      <c r="I131" s="806">
        <f>SUM(I126:I130)</f>
        <v>4.198849999999999</v>
      </c>
      <c r="J131" s="806">
        <f t="shared" si="18"/>
        <v>87.00504999999998</v>
      </c>
      <c r="K131" s="777"/>
    </row>
    <row r="132" spans="1:11" ht="12.75">
      <c r="A132" s="803" t="s">
        <v>371</v>
      </c>
      <c r="C132" s="801"/>
      <c r="D132" s="801" t="s">
        <v>357</v>
      </c>
      <c r="E132" s="806">
        <v>0.05398</v>
      </c>
      <c r="F132" s="806">
        <v>0.05398</v>
      </c>
      <c r="G132" s="806">
        <v>0.53498</v>
      </c>
      <c r="H132" s="806">
        <v>0.53498</v>
      </c>
      <c r="I132" s="806">
        <v>0.54398</v>
      </c>
      <c r="J132" s="806">
        <f t="shared" si="18"/>
        <v>1.7219000000000002</v>
      </c>
      <c r="K132" s="777"/>
    </row>
    <row r="133" spans="1:11" ht="12.75">
      <c r="A133" s="802" t="s">
        <v>372</v>
      </c>
      <c r="C133" s="801"/>
      <c r="D133" s="801" t="s">
        <v>357</v>
      </c>
      <c r="E133" s="801"/>
      <c r="F133" s="801"/>
      <c r="G133" s="801"/>
      <c r="H133" s="801"/>
      <c r="I133" s="801"/>
      <c r="J133" s="801"/>
      <c r="K133" s="777"/>
    </row>
    <row r="134" spans="1:11" ht="12.75">
      <c r="A134" s="801" t="s">
        <v>373</v>
      </c>
      <c r="D134" s="801" t="s">
        <v>357</v>
      </c>
      <c r="E134" s="806">
        <v>2.1662</v>
      </c>
      <c r="F134" s="806">
        <v>3.9376</v>
      </c>
      <c r="G134" s="806">
        <v>3.8896</v>
      </c>
      <c r="H134" s="806">
        <v>3.0304</v>
      </c>
      <c r="I134" s="806">
        <v>2.6772</v>
      </c>
      <c r="J134" s="806">
        <f>SUM(E134:I134)</f>
        <v>15.701</v>
      </c>
      <c r="K134" s="777"/>
    </row>
    <row r="135" spans="1:11" ht="12.75">
      <c r="A135" s="801" t="s">
        <v>374</v>
      </c>
      <c r="D135" s="801" t="s">
        <v>357</v>
      </c>
      <c r="E135" s="806">
        <v>0.542773</v>
      </c>
      <c r="F135" s="806">
        <v>0.846373</v>
      </c>
      <c r="G135" s="806">
        <v>0.813573</v>
      </c>
      <c r="H135" s="806">
        <v>0.4289</v>
      </c>
      <c r="I135" s="806">
        <v>0.4289</v>
      </c>
      <c r="J135" s="806">
        <f>SUM(E135:I135)</f>
        <v>3.060519</v>
      </c>
      <c r="K135" s="777"/>
    </row>
    <row r="136" spans="1:11" ht="12.75">
      <c r="A136" s="802" t="s">
        <v>375</v>
      </c>
      <c r="C136" s="801"/>
      <c r="D136" s="801" t="s">
        <v>357</v>
      </c>
      <c r="E136" s="806">
        <f>SUM(E134:E135)</f>
        <v>2.708973</v>
      </c>
      <c r="F136" s="806">
        <f>SUM(F134:F135)</f>
        <v>4.7839730000000005</v>
      </c>
      <c r="G136" s="806">
        <f>SUM(G134:G135)</f>
        <v>4.7031730000000005</v>
      </c>
      <c r="H136" s="806">
        <f>SUM(H134:H135)</f>
        <v>3.4593000000000003</v>
      </c>
      <c r="I136" s="806">
        <f>SUM(I134:I135)</f>
        <v>3.1061</v>
      </c>
      <c r="J136" s="806">
        <f>SUM(E136:I136)</f>
        <v>18.761519</v>
      </c>
      <c r="K136" s="777"/>
    </row>
    <row r="137" spans="1:11" ht="12.75">
      <c r="A137" s="802" t="s">
        <v>376</v>
      </c>
      <c r="C137" s="801"/>
      <c r="D137" s="801" t="s">
        <v>357</v>
      </c>
      <c r="E137" s="801"/>
      <c r="F137" s="801"/>
      <c r="G137" s="801"/>
      <c r="H137" s="801"/>
      <c r="I137" s="801"/>
      <c r="J137" s="801"/>
      <c r="K137" s="777"/>
    </row>
    <row r="138" spans="1:11" ht="12.75">
      <c r="A138" s="801" t="s">
        <v>377</v>
      </c>
      <c r="D138" s="801" t="s">
        <v>357</v>
      </c>
      <c r="E138" s="806">
        <v>0.094</v>
      </c>
      <c r="F138" s="806">
        <v>0.188</v>
      </c>
      <c r="G138" s="806">
        <v>0.282</v>
      </c>
      <c r="H138" s="806">
        <v>0.372</v>
      </c>
      <c r="I138" s="806">
        <v>0.502</v>
      </c>
      <c r="J138" s="806">
        <f>SUM(E138:I138)</f>
        <v>1.4380000000000002</v>
      </c>
      <c r="K138" s="777"/>
    </row>
    <row r="139" spans="1:11" ht="12.75">
      <c r="A139" s="801" t="s">
        <v>378</v>
      </c>
      <c r="D139" s="801" t="s">
        <v>357</v>
      </c>
      <c r="E139" s="806">
        <v>1.3</v>
      </c>
      <c r="F139" s="806">
        <v>1.3</v>
      </c>
      <c r="G139" s="806">
        <v>1.2</v>
      </c>
      <c r="H139" s="806">
        <v>0.6</v>
      </c>
      <c r="I139" s="806">
        <v>0.6</v>
      </c>
      <c r="J139" s="806">
        <f>SUM(E139:I139)</f>
        <v>4.999999999999999</v>
      </c>
      <c r="K139" s="777"/>
    </row>
    <row r="140" spans="1:11" ht="12.75">
      <c r="A140" s="801" t="s">
        <v>379</v>
      </c>
      <c r="D140" s="801" t="s">
        <v>357</v>
      </c>
      <c r="E140" s="806">
        <v>0.11</v>
      </c>
      <c r="F140" s="806">
        <v>0.11</v>
      </c>
      <c r="G140" s="806">
        <v>0.11</v>
      </c>
      <c r="H140" s="806">
        <v>0.11</v>
      </c>
      <c r="I140" s="806">
        <v>0.11</v>
      </c>
      <c r="J140" s="806">
        <f>SUM(E140:I140)</f>
        <v>0.55</v>
      </c>
      <c r="K140" s="777"/>
    </row>
    <row r="141" spans="1:11" ht="12.75">
      <c r="A141" s="802" t="s">
        <v>380</v>
      </c>
      <c r="C141" s="801"/>
      <c r="D141" s="801" t="s">
        <v>357</v>
      </c>
      <c r="E141" s="806">
        <f>SUM(E138:E140)</f>
        <v>1.5040000000000002</v>
      </c>
      <c r="F141" s="806">
        <f>SUM(F138:F140)</f>
        <v>1.598</v>
      </c>
      <c r="G141" s="806">
        <f>SUM(G138:G140)</f>
        <v>1.592</v>
      </c>
      <c r="H141" s="806">
        <f>SUM(H138:H140)</f>
        <v>1.082</v>
      </c>
      <c r="I141" s="806">
        <f>SUM(I138:I140)</f>
        <v>1.212</v>
      </c>
      <c r="J141" s="806">
        <f>SUM(E141:I141)</f>
        <v>6.988</v>
      </c>
      <c r="K141" s="777"/>
    </row>
    <row r="142" spans="1:11" ht="12.75">
      <c r="A142" s="802" t="s">
        <v>381</v>
      </c>
      <c r="C142" s="801"/>
      <c r="D142" s="801" t="s">
        <v>357</v>
      </c>
      <c r="E142" s="801"/>
      <c r="F142" s="801"/>
      <c r="G142" s="801"/>
      <c r="H142" s="801"/>
      <c r="I142" s="801"/>
      <c r="J142" s="801"/>
      <c r="K142" s="777"/>
    </row>
    <row r="143" spans="1:11" ht="12.75">
      <c r="A143" s="830" t="s">
        <v>395</v>
      </c>
      <c r="B143" s="831"/>
      <c r="C143" s="831"/>
      <c r="D143" s="830" t="s">
        <v>357</v>
      </c>
      <c r="E143" s="807">
        <v>0</v>
      </c>
      <c r="F143" s="807">
        <v>0</v>
      </c>
      <c r="G143" s="807">
        <v>1.25</v>
      </c>
      <c r="H143" s="807">
        <v>2</v>
      </c>
      <c r="I143" s="807">
        <v>2.75</v>
      </c>
      <c r="J143" s="807">
        <f>SUM(E143:I143)</f>
        <v>6</v>
      </c>
      <c r="K143" s="777"/>
    </row>
    <row r="144" spans="1:11" ht="12.75">
      <c r="A144" s="830" t="s">
        <v>396</v>
      </c>
      <c r="B144" s="831"/>
      <c r="C144" s="831"/>
      <c r="D144" s="830" t="s">
        <v>357</v>
      </c>
      <c r="E144" s="807">
        <v>0.04</v>
      </c>
      <c r="F144" s="807">
        <v>0.1</v>
      </c>
      <c r="G144" s="807">
        <v>0.06</v>
      </c>
      <c r="H144" s="807">
        <v>0</v>
      </c>
      <c r="I144" s="807">
        <v>0</v>
      </c>
      <c r="J144" s="807">
        <f>SUM(E144:I144)</f>
        <v>0.2</v>
      </c>
      <c r="K144" s="777"/>
    </row>
    <row r="145" spans="1:11" ht="12.75">
      <c r="A145" s="830" t="s">
        <v>397</v>
      </c>
      <c r="B145" s="831"/>
      <c r="C145" s="831"/>
      <c r="D145" s="830" t="s">
        <v>357</v>
      </c>
      <c r="E145" s="807">
        <v>0.1</v>
      </c>
      <c r="F145" s="807">
        <v>0.2</v>
      </c>
      <c r="G145" s="807">
        <v>0.2</v>
      </c>
      <c r="H145" s="807">
        <v>0.15</v>
      </c>
      <c r="I145" s="807">
        <v>0.1</v>
      </c>
      <c r="J145" s="807">
        <f>SUM(E145:I145)</f>
        <v>0.75</v>
      </c>
      <c r="K145" s="777"/>
    </row>
    <row r="146" spans="1:11" ht="12.75">
      <c r="A146" s="830" t="s">
        <v>398</v>
      </c>
      <c r="B146" s="831"/>
      <c r="C146" s="831"/>
      <c r="D146" s="830" t="s">
        <v>357</v>
      </c>
      <c r="E146" s="807">
        <v>0</v>
      </c>
      <c r="F146" s="807">
        <v>0</v>
      </c>
      <c r="G146" s="807">
        <v>0.08</v>
      </c>
      <c r="H146" s="807">
        <v>0.08</v>
      </c>
      <c r="I146" s="807">
        <v>0.08</v>
      </c>
      <c r="J146" s="807">
        <f>SUM(E146:I146)</f>
        <v>0.24</v>
      </c>
      <c r="K146" s="777"/>
    </row>
    <row r="147" spans="1:11" ht="12.75">
      <c r="A147" s="832" t="s">
        <v>382</v>
      </c>
      <c r="B147" s="831"/>
      <c r="C147" s="830"/>
      <c r="D147" s="830" t="s">
        <v>357</v>
      </c>
      <c r="E147" s="807">
        <f>SUM(E143:E146)</f>
        <v>0.14</v>
      </c>
      <c r="F147" s="807">
        <f>SUM(F143:F146)</f>
        <v>0.30000000000000004</v>
      </c>
      <c r="G147" s="807">
        <f>SUM(G143:G146)</f>
        <v>1.59</v>
      </c>
      <c r="H147" s="807">
        <f>SUM(H143:H146)</f>
        <v>2.23</v>
      </c>
      <c r="I147" s="807">
        <f>SUM(I143:I146)</f>
        <v>2.93</v>
      </c>
      <c r="J147" s="807">
        <f>SUM(E147:I147)</f>
        <v>7.1899999999999995</v>
      </c>
      <c r="K147" s="777"/>
    </row>
    <row r="148" spans="1:11" ht="12.75">
      <c r="A148" s="802" t="s">
        <v>383</v>
      </c>
      <c r="C148" s="801"/>
      <c r="D148" s="801" t="s">
        <v>357</v>
      </c>
      <c r="E148" s="801"/>
      <c r="F148" s="801"/>
      <c r="G148" s="801"/>
      <c r="H148" s="801"/>
      <c r="I148" s="801"/>
      <c r="J148" s="801"/>
      <c r="K148" s="776"/>
    </row>
    <row r="149" spans="1:11" ht="12.75">
      <c r="A149" s="801" t="s">
        <v>384</v>
      </c>
      <c r="D149" s="801" t="s">
        <v>357</v>
      </c>
      <c r="E149" s="806">
        <v>0.02</v>
      </c>
      <c r="F149" s="806">
        <v>0.045</v>
      </c>
      <c r="G149" s="806">
        <v>0.105</v>
      </c>
      <c r="H149" s="806">
        <v>0.175</v>
      </c>
      <c r="I149" s="806">
        <v>0.29</v>
      </c>
      <c r="J149" s="806">
        <f>SUM(E149:I149)</f>
        <v>0.635</v>
      </c>
      <c r="K149" s="776"/>
    </row>
    <row r="150" spans="1:11" ht="12.75">
      <c r="A150" s="801" t="s">
        <v>385</v>
      </c>
      <c r="D150" s="801" t="s">
        <v>357</v>
      </c>
      <c r="E150" s="806">
        <v>0.8</v>
      </c>
      <c r="F150" s="806">
        <v>0.345</v>
      </c>
      <c r="G150" s="806">
        <v>0.81</v>
      </c>
      <c r="H150" s="806">
        <v>0.045</v>
      </c>
      <c r="I150" s="806">
        <v>0.05</v>
      </c>
      <c r="J150" s="806">
        <f>SUM(E150:I150)</f>
        <v>2.05</v>
      </c>
      <c r="K150" s="777"/>
    </row>
    <row r="151" spans="1:11" ht="12.75">
      <c r="A151" s="802" t="s">
        <v>386</v>
      </c>
      <c r="C151" s="801"/>
      <c r="D151" s="801" t="s">
        <v>357</v>
      </c>
      <c r="E151" s="806">
        <f>SUM(E149:E150)</f>
        <v>0.8200000000000001</v>
      </c>
      <c r="F151" s="806">
        <f>SUM(F149:F150)</f>
        <v>0.38999999999999996</v>
      </c>
      <c r="G151" s="806">
        <f>SUM(G149:G150)</f>
        <v>0.915</v>
      </c>
      <c r="H151" s="806">
        <f>SUM(H149:H150)</f>
        <v>0.21999999999999997</v>
      </c>
      <c r="I151" s="806">
        <f>SUM(I149:I150)</f>
        <v>0.33999999999999997</v>
      </c>
      <c r="J151" s="806">
        <f>SUM(E151:I151)</f>
        <v>2.6849999999999996</v>
      </c>
      <c r="K151" s="777"/>
    </row>
  </sheetData>
  <mergeCells count="1">
    <mergeCell ref="B5:J5"/>
  </mergeCells>
  <conditionalFormatting sqref="B5">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600" verticalDpi="600" orientation="portrait" r:id="rId4"/>
  <headerFooter alignWithMargins="0">
    <oddHeader>&amp;C&amp;f</oddHeader>
    <oddFooter>&amp;CPage &amp;p</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5"/>
  <dimension ref="A1:X120"/>
  <sheetViews>
    <sheetView workbookViewId="0" topLeftCell="A1">
      <selection activeCell="A1" sqref="A1:IV1"/>
    </sheetView>
  </sheetViews>
  <sheetFormatPr defaultColWidth="9.140625" defaultRowHeight="12.75"/>
  <cols>
    <col min="1" max="1" width="6.28125" style="394" customWidth="1"/>
    <col min="2" max="2" width="9.421875" style="394" customWidth="1"/>
    <col min="3" max="3" width="9.28125" style="394" bestFit="1" customWidth="1"/>
    <col min="4" max="4" width="8.57421875" style="394" customWidth="1"/>
    <col min="5" max="5" width="8.8515625" style="394" customWidth="1"/>
    <col min="6" max="6" width="9.57421875" style="394" customWidth="1"/>
    <col min="7" max="7" width="11.7109375" style="394" customWidth="1"/>
    <col min="8" max="8" width="10.8515625" style="394" customWidth="1"/>
    <col min="9" max="9" width="10.28125" style="394" customWidth="1"/>
    <col min="10" max="10" width="9.140625" style="394" customWidth="1"/>
    <col min="11" max="11" width="7.7109375" style="394" customWidth="1"/>
    <col min="12" max="12" width="10.00390625" style="394" customWidth="1"/>
    <col min="13" max="13" width="9.28125" style="394" customWidth="1"/>
    <col min="14" max="14" width="9.7109375" style="394" customWidth="1"/>
    <col min="15" max="15" width="9.421875" style="394" customWidth="1"/>
    <col min="16" max="16" width="10.421875" style="394" customWidth="1"/>
    <col min="17" max="17" width="4.140625" style="394" customWidth="1"/>
    <col min="18" max="18" width="4.421875" style="394" customWidth="1"/>
    <col min="19" max="20" width="6.28125" style="394" customWidth="1"/>
    <col min="21" max="21" width="13.28125" style="394" customWidth="1"/>
    <col min="22" max="23" width="6.28125" style="394" customWidth="1"/>
    <col min="24" max="24" width="8.7109375" style="394" customWidth="1"/>
    <col min="25" max="29" width="6.28125" style="394" customWidth="1"/>
    <col min="30" max="30" width="8.421875" style="394" customWidth="1"/>
    <col min="31" max="33" width="6.28125" style="394" customWidth="1"/>
    <col min="34" max="34" width="9.28125" style="394" customWidth="1"/>
    <col min="35" max="16384" width="6.28125" style="394" customWidth="1"/>
  </cols>
  <sheetData>
    <row r="1" spans="1:7" s="268" customFormat="1" ht="23.25">
      <c r="A1" s="924" t="s">
        <v>511</v>
      </c>
      <c r="C1" s="925"/>
      <c r="G1" s="1005"/>
    </row>
    <row r="2" ht="21.75" customHeight="1">
      <c r="A2" s="9" t="s">
        <v>816</v>
      </c>
    </row>
    <row r="3" ht="12.75">
      <c r="A3" s="9"/>
    </row>
    <row r="4" spans="1:17" ht="11.25">
      <c r="A4" s="394" t="s">
        <v>5</v>
      </c>
      <c r="E4" s="617">
        <v>1.05</v>
      </c>
      <c r="F4" s="395"/>
      <c r="G4" s="394" t="s">
        <v>817</v>
      </c>
      <c r="J4" s="618">
        <v>0</v>
      </c>
      <c r="K4" s="396"/>
      <c r="L4" s="394" t="s">
        <v>818</v>
      </c>
      <c r="P4" s="617">
        <v>244</v>
      </c>
      <c r="Q4" s="397"/>
    </row>
    <row r="5" spans="1:17" ht="11.25">
      <c r="A5" s="394" t="s">
        <v>6</v>
      </c>
      <c r="E5" s="617">
        <v>1.03</v>
      </c>
      <c r="G5" s="394" t="s">
        <v>820</v>
      </c>
      <c r="J5" s="617">
        <v>0.5</v>
      </c>
      <c r="K5" s="395"/>
      <c r="L5" s="394" t="s">
        <v>821</v>
      </c>
      <c r="P5" s="617">
        <v>144</v>
      </c>
      <c r="Q5" s="398"/>
    </row>
    <row r="6" spans="1:17" ht="11.25">
      <c r="A6" s="394" t="s">
        <v>819</v>
      </c>
      <c r="E6" s="394">
        <v>365</v>
      </c>
      <c r="G6" s="394" t="s">
        <v>823</v>
      </c>
      <c r="J6" s="1028">
        <f>((F12-F13)/F12)*H12</f>
        <v>0.3</v>
      </c>
      <c r="K6" s="396"/>
      <c r="L6" s="394" t="s">
        <v>824</v>
      </c>
      <c r="P6" s="617">
        <v>738</v>
      </c>
      <c r="Q6" s="398"/>
    </row>
    <row r="7" spans="1:17" ht="11.25">
      <c r="A7" s="394" t="s">
        <v>822</v>
      </c>
      <c r="E7" s="399">
        <f>IF(G117=1,1,(6.5/7.2))</f>
        <v>0.9027777777777778</v>
      </c>
      <c r="F7" s="399"/>
      <c r="K7" s="395"/>
      <c r="L7" s="394" t="s">
        <v>825</v>
      </c>
      <c r="P7" s="617">
        <v>332</v>
      </c>
      <c r="Q7" s="397"/>
    </row>
    <row r="8" spans="11:17" ht="11.25">
      <c r="K8" s="395"/>
      <c r="L8" s="394" t="s">
        <v>826</v>
      </c>
      <c r="P8" s="617">
        <f>1.04*1.3</f>
        <v>1.352</v>
      </c>
      <c r="Q8" s="397"/>
    </row>
    <row r="9" spans="9:17" ht="11.25">
      <c r="I9" s="395"/>
      <c r="Q9" s="397"/>
    </row>
    <row r="10" spans="1:14" ht="11.25">
      <c r="A10" s="394" t="s">
        <v>827</v>
      </c>
      <c r="B10" s="400"/>
      <c r="F10" s="394">
        <v>35</v>
      </c>
      <c r="G10" s="394" t="s">
        <v>8</v>
      </c>
      <c r="H10" s="395">
        <v>1</v>
      </c>
      <c r="J10" s="394" t="s">
        <v>828</v>
      </c>
      <c r="N10" s="617">
        <v>12</v>
      </c>
    </row>
    <row r="11" spans="1:18" ht="11.25">
      <c r="A11" s="394" t="s">
        <v>829</v>
      </c>
      <c r="F11" s="394">
        <v>20</v>
      </c>
      <c r="H11" s="395"/>
      <c r="J11" s="394" t="s">
        <v>830</v>
      </c>
      <c r="N11" s="1026">
        <v>12</v>
      </c>
      <c r="P11" s="403" t="s">
        <v>887</v>
      </c>
      <c r="R11" s="449" t="str">
        <f>IF('Summary ERRs'!$B$92=3,IF('Summary ERRs'!$B$93=2,IF('Summary ERRs'!$B$96=1,IF('Summary ERRs'!$B$97=1,"Base Case",""),""),""),"")</f>
        <v>Base Case</v>
      </c>
    </row>
    <row r="12" spans="1:14" ht="11.25">
      <c r="A12" s="394" t="s">
        <v>831</v>
      </c>
      <c r="F12" s="394">
        <v>124</v>
      </c>
      <c r="G12" s="394" t="s">
        <v>9</v>
      </c>
      <c r="H12" s="395">
        <v>0.6</v>
      </c>
      <c r="J12" s="394" t="s">
        <v>832</v>
      </c>
      <c r="N12" s="1027">
        <v>0</v>
      </c>
    </row>
    <row r="13" spans="1:18" ht="11.25">
      <c r="A13" s="394" t="s">
        <v>833</v>
      </c>
      <c r="F13" s="394">
        <v>62</v>
      </c>
      <c r="H13" s="395"/>
      <c r="J13" s="394" t="s">
        <v>834</v>
      </c>
      <c r="N13" s="1026">
        <v>0</v>
      </c>
      <c r="R13" s="449">
        <f>IF('Summary ERRs'!$B$92=2,IF('Summary ERRs'!$B$93=3,IF('Summary ERRs'!$B$96=1.1,IF('Summary ERRs'!$B$97=0.8,"Best Case",""),""),""),"")</f>
      </c>
    </row>
    <row r="14" ht="11.25">
      <c r="H14" s="395"/>
    </row>
    <row r="15" spans="1:9" ht="12.75">
      <c r="A15" s="1085">
        <f>IF('ERR &amp; Sensitivity Analysis'!$I$10="N","Note: Current calculations are based on user input and are not the original MCC estimates.",IF('ERR &amp; Sensitivity Analysis'!$I$11="N","Note: Current calculations are based on user input and are not the original MCC estimates.",0))</f>
        <v>0</v>
      </c>
      <c r="B15" s="1085"/>
      <c r="C15" s="1085"/>
      <c r="D15" s="1085"/>
      <c r="E15" s="1085"/>
      <c r="F15" s="1085"/>
      <c r="G15" s="1085"/>
      <c r="H15" s="1085"/>
      <c r="I15" s="1085"/>
    </row>
    <row r="16" ht="11.25"/>
    <row r="17" spans="2:17" ht="11.25">
      <c r="B17" s="394" t="s">
        <v>835</v>
      </c>
      <c r="F17" s="394" t="s">
        <v>836</v>
      </c>
      <c r="G17" s="394">
        <v>54</v>
      </c>
      <c r="K17" s="394" t="s">
        <v>837</v>
      </c>
      <c r="P17" s="394" t="s">
        <v>836</v>
      </c>
      <c r="Q17" s="394">
        <v>26</v>
      </c>
    </row>
    <row r="18" spans="2:17" ht="11.25">
      <c r="B18" s="394" t="s">
        <v>838</v>
      </c>
      <c r="D18" s="394" t="s">
        <v>839</v>
      </c>
      <c r="F18" s="394" t="s">
        <v>840</v>
      </c>
      <c r="H18" s="394" t="s">
        <v>841</v>
      </c>
      <c r="K18" s="394" t="s">
        <v>838</v>
      </c>
      <c r="M18" s="394" t="s">
        <v>839</v>
      </c>
      <c r="O18" s="394" t="s">
        <v>840</v>
      </c>
      <c r="Q18" s="394" t="s">
        <v>841</v>
      </c>
    </row>
    <row r="19" spans="1:19" ht="11.25">
      <c r="A19" s="401" t="s">
        <v>842</v>
      </c>
      <c r="B19" s="401" t="s">
        <v>843</v>
      </c>
      <c r="C19" s="401" t="s">
        <v>844</v>
      </c>
      <c r="D19" s="401" t="s">
        <v>843</v>
      </c>
      <c r="E19" s="401" t="s">
        <v>844</v>
      </c>
      <c r="F19" s="401" t="s">
        <v>843</v>
      </c>
      <c r="G19" s="401" t="s">
        <v>844</v>
      </c>
      <c r="H19" s="401" t="s">
        <v>843</v>
      </c>
      <c r="I19" s="401" t="s">
        <v>844</v>
      </c>
      <c r="J19" s="402" t="s">
        <v>549</v>
      </c>
      <c r="K19" s="401" t="s">
        <v>843</v>
      </c>
      <c r="L19" s="401" t="s">
        <v>844</v>
      </c>
      <c r="M19" s="401" t="s">
        <v>843</v>
      </c>
      <c r="N19" s="401" t="s">
        <v>844</v>
      </c>
      <c r="O19" s="401" t="s">
        <v>843</v>
      </c>
      <c r="P19" s="401" t="s">
        <v>844</v>
      </c>
      <c r="Q19" s="401" t="s">
        <v>843</v>
      </c>
      <c r="R19" s="401" t="s">
        <v>844</v>
      </c>
      <c r="S19" s="403" t="s">
        <v>549</v>
      </c>
    </row>
    <row r="20" spans="1:19" ht="11.25">
      <c r="A20" s="401">
        <v>1</v>
      </c>
      <c r="B20" s="623">
        <v>128</v>
      </c>
      <c r="C20" s="623">
        <v>29</v>
      </c>
      <c r="J20" s="403">
        <f aca="true" t="shared" si="0" ref="J20:J42">B20+C20+D20+E20+F20+G20+H20+I20</f>
        <v>157</v>
      </c>
      <c r="K20" s="617">
        <v>52</v>
      </c>
      <c r="L20" s="617">
        <v>14</v>
      </c>
      <c r="S20" s="403">
        <f aca="true" t="shared" si="1" ref="S20:S42">K20+L20+M20+N20+O20+P20+Q20+R20</f>
        <v>66</v>
      </c>
    </row>
    <row r="21" spans="1:19" ht="11.25">
      <c r="A21" s="401">
        <v>2</v>
      </c>
      <c r="B21" s="624">
        <f>B20*$E$4</f>
        <v>134.4</v>
      </c>
      <c r="C21" s="624">
        <f>C20*$E$5</f>
        <v>29.87</v>
      </c>
      <c r="J21" s="403">
        <f t="shared" si="0"/>
        <v>164.27</v>
      </c>
      <c r="K21" s="404">
        <f>K20*$E$4</f>
        <v>54.6</v>
      </c>
      <c r="L21" s="404">
        <f>L20*$E$5</f>
        <v>14.42</v>
      </c>
      <c r="S21" s="403">
        <f t="shared" si="1"/>
        <v>69.02</v>
      </c>
    </row>
    <row r="22" spans="1:19" ht="11.25">
      <c r="A22" s="401">
        <v>3</v>
      </c>
      <c r="B22" s="624">
        <f aca="true" t="shared" si="2" ref="B22:B42">B21*$E$4</f>
        <v>141.12</v>
      </c>
      <c r="C22" s="624">
        <f aca="true" t="shared" si="3" ref="C22:C42">C21*$E$5</f>
        <v>30.7661</v>
      </c>
      <c r="J22" s="403">
        <f t="shared" si="0"/>
        <v>171.8861</v>
      </c>
      <c r="K22" s="404">
        <f aca="true" t="shared" si="4" ref="K22:K42">K21*$E$4</f>
        <v>57.330000000000005</v>
      </c>
      <c r="L22" s="404">
        <f aca="true" t="shared" si="5" ref="L22:L42">L21*$E$5</f>
        <v>14.8526</v>
      </c>
      <c r="S22" s="403">
        <f t="shared" si="1"/>
        <v>72.18260000000001</v>
      </c>
    </row>
    <row r="23" spans="1:19" ht="11.25">
      <c r="A23" s="401">
        <v>4</v>
      </c>
      <c r="B23" s="624">
        <f t="shared" si="2"/>
        <v>148.17600000000002</v>
      </c>
      <c r="C23" s="624">
        <f t="shared" si="3"/>
        <v>31.689083000000004</v>
      </c>
      <c r="D23" s="404">
        <f>$B$23*$J$4</f>
        <v>0</v>
      </c>
      <c r="E23" s="404">
        <f>$C$23*$J$4</f>
        <v>0</v>
      </c>
      <c r="F23" s="404">
        <f>$B$23*$J$5</f>
        <v>74.08800000000001</v>
      </c>
      <c r="G23" s="404">
        <f>$C$23*$J$6</f>
        <v>9.5067249</v>
      </c>
      <c r="H23" s="407">
        <f>IF($G$117=1,I23*$N$12,IF($G$117=2,'Alatona Prod'!F51*'Road Model'!$N$12*'Alatona Prod'!$K$46))</f>
        <v>0</v>
      </c>
      <c r="I23" s="407">
        <f>IF($G$117=2,'Alatona Prod'!G51,IF($G$117=3,0,25))</f>
        <v>7.7091287798666315</v>
      </c>
      <c r="J23" s="405">
        <f t="shared" si="0"/>
        <v>271.16893667986665</v>
      </c>
      <c r="K23" s="404">
        <f t="shared" si="4"/>
        <v>60.19650000000001</v>
      </c>
      <c r="L23" s="404">
        <f t="shared" si="5"/>
        <v>15.298178000000002</v>
      </c>
      <c r="M23" s="404">
        <f>$K$23*$J$4</f>
        <v>0</v>
      </c>
      <c r="N23" s="404">
        <f>L23*$J$4</f>
        <v>0</v>
      </c>
      <c r="O23" s="404">
        <f>$K$23*$J$5</f>
        <v>30.098250000000004</v>
      </c>
      <c r="P23" s="404">
        <f>$L$23*$J$6</f>
        <v>4.5894534</v>
      </c>
      <c r="Q23" s="407">
        <f>IF($G$117=1,R23*$N$13,IF($G$117=2,'Alatona Prod'!F51*'Road Model'!$N$13*'Alatona Prod'!$K$47))</f>
        <v>0</v>
      </c>
      <c r="R23" s="407">
        <f>IF($G$117=2,'Alatona Prod'!H51,IF($G$117=3,0,17))</f>
        <v>3.8545643899333157</v>
      </c>
      <c r="S23" s="405">
        <f t="shared" si="1"/>
        <v>114.03694578993333</v>
      </c>
    </row>
    <row r="24" spans="1:24" ht="11.25">
      <c r="A24" s="401">
        <v>5</v>
      </c>
      <c r="B24" s="624">
        <f t="shared" si="2"/>
        <v>155.58480000000003</v>
      </c>
      <c r="C24" s="624">
        <f t="shared" si="3"/>
        <v>32.639755490000006</v>
      </c>
      <c r="D24" s="404">
        <f aca="true" t="shared" si="6" ref="D24:D42">D23*$E$4</f>
        <v>0</v>
      </c>
      <c r="E24" s="404">
        <f>E23*$E$5</f>
        <v>0</v>
      </c>
      <c r="F24" s="404">
        <f aca="true" t="shared" si="7" ref="F24:F42">F23*$E$4</f>
        <v>77.79240000000001</v>
      </c>
      <c r="G24" s="404">
        <f>G23*$E$5</f>
        <v>9.791926647</v>
      </c>
      <c r="H24" s="407">
        <f>IF($G$117=1,I24*$N$12,IF($G$117=2,'Alatona Prod'!F52*'Road Model'!$N$12*'Alatona Prod'!$K$46))</f>
        <v>0</v>
      </c>
      <c r="I24" s="407">
        <f>IF($G$117=2,'Alatona Prod'!G52,IF($G$117=3,0,37))</f>
        <v>17.321334898507853</v>
      </c>
      <c r="J24" s="405">
        <f t="shared" si="0"/>
        <v>293.13021703550794</v>
      </c>
      <c r="K24" s="404">
        <f t="shared" si="4"/>
        <v>63.206325000000014</v>
      </c>
      <c r="L24" s="404">
        <f t="shared" si="5"/>
        <v>15.757123340000001</v>
      </c>
      <c r="M24" s="404">
        <f aca="true" t="shared" si="8" ref="M24:M42">M23*$E$4</f>
        <v>0</v>
      </c>
      <c r="N24" s="404">
        <f>N23*$E$5</f>
        <v>0</v>
      </c>
      <c r="O24" s="404">
        <f aca="true" t="shared" si="9" ref="O24:O42">O23*$E$4</f>
        <v>31.603162500000007</v>
      </c>
      <c r="P24" s="404">
        <f>P23*$E$5</f>
        <v>4.727137002</v>
      </c>
      <c r="Q24" s="407">
        <f>IF($G$117=1,R24*$N$13,IF($G$117=2,'Alatona Prod'!F52*'Road Model'!$N$13*'Alatona Prod'!$K$47))</f>
        <v>0</v>
      </c>
      <c r="R24" s="407">
        <f>IF($G$117=2,'Alatona Prod'!H52,IF($G$117=3,0,25))</f>
        <v>8.660667449253927</v>
      </c>
      <c r="S24" s="405">
        <f t="shared" si="1"/>
        <v>123.95441529125395</v>
      </c>
      <c r="X24" s="401"/>
    </row>
    <row r="25" spans="1:23" ht="11.25">
      <c r="A25" s="401">
        <v>6</v>
      </c>
      <c r="B25" s="624">
        <f t="shared" si="2"/>
        <v>163.36404000000005</v>
      </c>
      <c r="C25" s="624">
        <f t="shared" si="3"/>
        <v>33.61894815470001</v>
      </c>
      <c r="D25" s="404">
        <f t="shared" si="6"/>
        <v>0</v>
      </c>
      <c r="E25" s="404">
        <f aca="true" t="shared" si="10" ref="E25:E42">E24*$E$5</f>
        <v>0</v>
      </c>
      <c r="F25" s="404">
        <f t="shared" si="7"/>
        <v>81.68202000000002</v>
      </c>
      <c r="G25" s="404">
        <f aca="true" t="shared" si="11" ref="G25:G42">G24*$E$5</f>
        <v>10.085684446410001</v>
      </c>
      <c r="H25" s="407">
        <f>IF($G$117=1,I25*$N$12,IF($G$117=2,'Alatona Prod'!F53*'Road Model'!$N$12*'Alatona Prod'!$K$46))</f>
        <v>0</v>
      </c>
      <c r="I25" s="407">
        <f>IF($G$117=2,'Alatona Prod'!G53,IF($G$117=3,0,50))</f>
        <v>25.027539764034266</v>
      </c>
      <c r="J25" s="405">
        <f t="shared" si="0"/>
        <v>313.7782323651444</v>
      </c>
      <c r="K25" s="404">
        <f t="shared" si="4"/>
        <v>66.36664125000001</v>
      </c>
      <c r="L25" s="404">
        <f t="shared" si="5"/>
        <v>16.229837040200003</v>
      </c>
      <c r="M25" s="404">
        <f t="shared" si="8"/>
        <v>0</v>
      </c>
      <c r="N25" s="404">
        <f aca="true" t="shared" si="12" ref="N25:N41">N24*$E$5</f>
        <v>0</v>
      </c>
      <c r="O25" s="404">
        <f t="shared" si="9"/>
        <v>33.18332062500001</v>
      </c>
      <c r="P25" s="404">
        <f aca="true" t="shared" si="13" ref="P25:P42">P24*$E$5</f>
        <v>4.86895111206</v>
      </c>
      <c r="Q25" s="407">
        <f>IF($G$117=1,R25*$N$13,IF($G$117=2,'Alatona Prod'!F53*'Road Model'!$N$13*'Alatona Prod'!$K$47))</f>
        <v>0</v>
      </c>
      <c r="R25" s="407">
        <f>IF($G$117=2,'Alatona Prod'!H53,IF($G$117=3,0,33))</f>
        <v>12.513769882017133</v>
      </c>
      <c r="S25" s="405">
        <f t="shared" si="1"/>
        <v>133.16251990927717</v>
      </c>
      <c r="W25" s="401"/>
    </row>
    <row r="26" spans="1:19" ht="11.25">
      <c r="A26" s="401">
        <v>7</v>
      </c>
      <c r="B26" s="624">
        <f t="shared" si="2"/>
        <v>171.53224200000005</v>
      </c>
      <c r="C26" s="624">
        <f t="shared" si="3"/>
        <v>34.62751659934101</v>
      </c>
      <c r="D26" s="404">
        <f t="shared" si="6"/>
        <v>0</v>
      </c>
      <c r="E26" s="404">
        <f t="shared" si="10"/>
        <v>0</v>
      </c>
      <c r="F26" s="404">
        <f t="shared" si="7"/>
        <v>85.76612100000003</v>
      </c>
      <c r="G26" s="404">
        <f t="shared" si="11"/>
        <v>10.388254979802301</v>
      </c>
      <c r="H26" s="407">
        <f>IF($G$117=1,I26*$N$12,IF($G$117=2,'Alatona Prod'!F54*'Road Model'!$N$12*'Alatona Prod'!$K$46))</f>
        <v>0</v>
      </c>
      <c r="I26" s="407">
        <f>IF($G$117=2,'Alatona Prod'!G54,I25*$E$5)</f>
        <v>34.581872265521355</v>
      </c>
      <c r="J26" s="405">
        <f t="shared" si="0"/>
        <v>336.8960068446647</v>
      </c>
      <c r="K26" s="404">
        <f t="shared" si="4"/>
        <v>69.68497331250002</v>
      </c>
      <c r="L26" s="404">
        <f t="shared" si="5"/>
        <v>16.716732151406003</v>
      </c>
      <c r="M26" s="404">
        <f t="shared" si="8"/>
        <v>0</v>
      </c>
      <c r="N26" s="404">
        <f t="shared" si="12"/>
        <v>0</v>
      </c>
      <c r="O26" s="404">
        <f t="shared" si="9"/>
        <v>34.84248665625001</v>
      </c>
      <c r="P26" s="404">
        <f t="shared" si="13"/>
        <v>5.0150196454218</v>
      </c>
      <c r="Q26" s="407">
        <f>IF($G$117=1,R26*$N$13,IF($G$117=2,'Alatona Prod'!F54*'Road Model'!$N$13*'Alatona Prod'!$K$47))</f>
        <v>0</v>
      </c>
      <c r="R26" s="407">
        <f>IF($G$117=2,'Alatona Prod'!H54,IF($G$117=3,0,R25*$E$5))</f>
        <v>17.290936132760677</v>
      </c>
      <c r="S26" s="405">
        <f t="shared" si="1"/>
        <v>143.55014789833854</v>
      </c>
    </row>
    <row r="27" spans="1:22" ht="11.25">
      <c r="A27" s="401">
        <v>8</v>
      </c>
      <c r="B27" s="624">
        <f t="shared" si="2"/>
        <v>180.10885410000006</v>
      </c>
      <c r="C27" s="624">
        <f t="shared" si="3"/>
        <v>35.66634209732124</v>
      </c>
      <c r="D27" s="404">
        <f t="shared" si="6"/>
        <v>0</v>
      </c>
      <c r="E27" s="404">
        <f t="shared" si="10"/>
        <v>0</v>
      </c>
      <c r="F27" s="404">
        <f t="shared" si="7"/>
        <v>90.05442705000003</v>
      </c>
      <c r="G27" s="404">
        <f t="shared" si="11"/>
        <v>10.699902629196371</v>
      </c>
      <c r="H27" s="407">
        <f>IF($G$117=1,I27*$N$12,IF($G$117=2,'Alatona Prod'!F55*'Road Model'!$N$12*'Alatona Prod'!$K$46))</f>
        <v>0</v>
      </c>
      <c r="I27" s="407">
        <f>IF($G$117=2,'Alatona Prod'!G55,IF($G$117=3,0,I26*$E$5))</f>
        <v>39.56451771852139</v>
      </c>
      <c r="J27" s="405">
        <f t="shared" si="0"/>
        <v>356.094043595039</v>
      </c>
      <c r="K27" s="404">
        <f t="shared" si="4"/>
        <v>73.16922197812502</v>
      </c>
      <c r="L27" s="404">
        <f t="shared" si="5"/>
        <v>17.21823411594818</v>
      </c>
      <c r="M27" s="404">
        <f t="shared" si="8"/>
        <v>0</v>
      </c>
      <c r="N27" s="404">
        <f t="shared" si="12"/>
        <v>0</v>
      </c>
      <c r="O27" s="404">
        <f t="shared" si="9"/>
        <v>36.58461098906251</v>
      </c>
      <c r="P27" s="404">
        <f t="shared" si="13"/>
        <v>5.165470234784454</v>
      </c>
      <c r="Q27" s="407">
        <f>IF($G$117=1,R27*$N$13,IF($G$117=2,'Alatona Prod'!F55*'Road Model'!$N$13*'Alatona Prod'!$K$47))</f>
        <v>0</v>
      </c>
      <c r="R27" s="407">
        <f>IF($G$117=2,'Alatona Prod'!H55,IF($G$117=3,0,R26*$E$5))</f>
        <v>19.782258859260693</v>
      </c>
      <c r="S27" s="405">
        <f t="shared" si="1"/>
        <v>151.91979617718084</v>
      </c>
      <c r="V27" s="401"/>
    </row>
    <row r="28" spans="1:19" ht="11.25">
      <c r="A28" s="401">
        <v>9</v>
      </c>
      <c r="B28" s="624">
        <f t="shared" si="2"/>
        <v>189.11429680500007</v>
      </c>
      <c r="C28" s="624">
        <f t="shared" si="3"/>
        <v>36.73633236024088</v>
      </c>
      <c r="D28" s="404">
        <f t="shared" si="6"/>
        <v>0</v>
      </c>
      <c r="E28" s="404">
        <f t="shared" si="10"/>
        <v>0</v>
      </c>
      <c r="F28" s="404">
        <f t="shared" si="7"/>
        <v>94.55714840250003</v>
      </c>
      <c r="G28" s="404">
        <f t="shared" si="11"/>
        <v>11.020899708072262</v>
      </c>
      <c r="H28" s="407">
        <f>IF($G$117=1,I28*$N$12,IF($G$117=2,'Alatona Prod'!F56*'Road Model'!$N$12*'Alatona Prod'!$K$46))</f>
        <v>0</v>
      </c>
      <c r="I28" s="407">
        <f>IF($G$117=2,'Alatona Prod'!G56,IF($G$117=3,0,I27*$E$5))</f>
        <v>42.63613700654321</v>
      </c>
      <c r="J28" s="405">
        <f t="shared" si="0"/>
        <v>374.06481428235645</v>
      </c>
      <c r="K28" s="404">
        <f t="shared" si="4"/>
        <v>76.82768307703128</v>
      </c>
      <c r="L28" s="404">
        <f t="shared" si="5"/>
        <v>17.734781139426627</v>
      </c>
      <c r="M28" s="404">
        <f t="shared" si="8"/>
        <v>0</v>
      </c>
      <c r="N28" s="404">
        <f t="shared" si="12"/>
        <v>0</v>
      </c>
      <c r="O28" s="404">
        <f t="shared" si="9"/>
        <v>38.41384153851564</v>
      </c>
      <c r="P28" s="404">
        <f t="shared" si="13"/>
        <v>5.320434341827988</v>
      </c>
      <c r="Q28" s="407">
        <f>IF($G$117=1,R28*$N$13,IF($G$117=2,'Alatona Prod'!F56*'Road Model'!$N$13*'Alatona Prod'!$K$47))</f>
        <v>0</v>
      </c>
      <c r="R28" s="407">
        <f>IF($G$117=2,'Alatona Prod'!H56,IF($G$117=3,0,R27*$E$5))</f>
        <v>21.318068503271604</v>
      </c>
      <c r="S28" s="405">
        <f t="shared" si="1"/>
        <v>159.61480860007316</v>
      </c>
    </row>
    <row r="29" spans="1:22" ht="11.25">
      <c r="A29" s="401">
        <v>10</v>
      </c>
      <c r="B29" s="624">
        <f t="shared" si="2"/>
        <v>198.57001164525008</v>
      </c>
      <c r="C29" s="624">
        <f t="shared" si="3"/>
        <v>37.83842233104811</v>
      </c>
      <c r="D29" s="404">
        <f t="shared" si="6"/>
        <v>0</v>
      </c>
      <c r="E29" s="404">
        <f t="shared" si="10"/>
        <v>0</v>
      </c>
      <c r="F29" s="404">
        <f t="shared" si="7"/>
        <v>99.28500582262504</v>
      </c>
      <c r="G29" s="404">
        <f t="shared" si="11"/>
        <v>11.35152669931443</v>
      </c>
      <c r="H29" s="407">
        <f>IF($G$117=1,I29*$N$12,IF($G$117=2,'Alatona Prod'!F57*'Road Model'!$N$12*'Alatona Prod'!$K$46))</f>
        <v>0</v>
      </c>
      <c r="I29" s="407">
        <f>IF($G$117=2,'Alatona Prod'!G57,IF($G$117=3,0,I28*$E$5))</f>
        <v>43.77451153214753</v>
      </c>
      <c r="J29" s="405">
        <f t="shared" si="0"/>
        <v>390.8194780303852</v>
      </c>
      <c r="K29" s="404">
        <f t="shared" si="4"/>
        <v>80.66906723088285</v>
      </c>
      <c r="L29" s="404">
        <f t="shared" si="5"/>
        <v>18.266824573609426</v>
      </c>
      <c r="M29" s="404">
        <f t="shared" si="8"/>
        <v>0</v>
      </c>
      <c r="N29" s="404">
        <f t="shared" si="12"/>
        <v>0</v>
      </c>
      <c r="O29" s="404">
        <f t="shared" si="9"/>
        <v>40.33453361544142</v>
      </c>
      <c r="P29" s="404">
        <f t="shared" si="13"/>
        <v>5.4800473720828276</v>
      </c>
      <c r="Q29" s="407">
        <f>IF($G$117=1,R29*$N$13,IF($G$117=2,'Alatona Prod'!F57*'Road Model'!$N$13*'Alatona Prod'!$K$47))</f>
        <v>0</v>
      </c>
      <c r="R29" s="407">
        <f>IF($G$117=2,'Alatona Prod'!H57,IF($G$117=3,0,R28*$E$5))</f>
        <v>21.887255766073764</v>
      </c>
      <c r="S29" s="405">
        <f t="shared" si="1"/>
        <v>166.6377285580903</v>
      </c>
      <c r="V29" s="404"/>
    </row>
    <row r="30" spans="1:19" ht="11.25">
      <c r="A30" s="401">
        <v>11</v>
      </c>
      <c r="B30" s="624">
        <f t="shared" si="2"/>
        <v>208.49851222751258</v>
      </c>
      <c r="C30" s="624">
        <f t="shared" si="3"/>
        <v>38.97357500097955</v>
      </c>
      <c r="D30" s="404">
        <f t="shared" si="6"/>
        <v>0</v>
      </c>
      <c r="E30" s="404">
        <f t="shared" si="10"/>
        <v>0</v>
      </c>
      <c r="F30" s="404">
        <f t="shared" si="7"/>
        <v>104.24925611375629</v>
      </c>
      <c r="G30" s="404">
        <f t="shared" si="11"/>
        <v>11.692072500293863</v>
      </c>
      <c r="H30" s="407">
        <f aca="true" t="shared" si="14" ref="H30:H42">H29*$E$4</f>
        <v>0</v>
      </c>
      <c r="I30" s="407">
        <f aca="true" t="shared" si="15" ref="I30:I42">I29*$E$5</f>
        <v>45.08774687811196</v>
      </c>
      <c r="J30" s="405">
        <f t="shared" si="0"/>
        <v>408.50116272065424</v>
      </c>
      <c r="K30" s="404">
        <f t="shared" si="4"/>
        <v>84.70252059242699</v>
      </c>
      <c r="L30" s="404">
        <f t="shared" si="5"/>
        <v>18.81482931081771</v>
      </c>
      <c r="M30" s="404">
        <f t="shared" si="8"/>
        <v>0</v>
      </c>
      <c r="N30" s="404">
        <f t="shared" si="12"/>
        <v>0</v>
      </c>
      <c r="O30" s="404">
        <f t="shared" si="9"/>
        <v>42.351260296213496</v>
      </c>
      <c r="P30" s="404">
        <f t="shared" si="13"/>
        <v>5.644448793245313</v>
      </c>
      <c r="Q30" s="407">
        <f aca="true" t="shared" si="16" ref="Q30:Q42">Q29*$E$4</f>
        <v>0</v>
      </c>
      <c r="R30" s="407">
        <f aca="true" t="shared" si="17" ref="R30:R42">R29*$E$5</f>
        <v>22.54387343905598</v>
      </c>
      <c r="S30" s="405">
        <f t="shared" si="1"/>
        <v>174.0569324317595</v>
      </c>
    </row>
    <row r="31" spans="1:19" ht="11.25">
      <c r="A31" s="401">
        <v>12</v>
      </c>
      <c r="B31" s="624">
        <f t="shared" si="2"/>
        <v>218.92343783888822</v>
      </c>
      <c r="C31" s="624">
        <f t="shared" si="3"/>
        <v>40.14278225100894</v>
      </c>
      <c r="D31" s="404">
        <f t="shared" si="6"/>
        <v>0</v>
      </c>
      <c r="E31" s="404">
        <f t="shared" si="10"/>
        <v>0</v>
      </c>
      <c r="F31" s="404">
        <f t="shared" si="7"/>
        <v>109.46171891944411</v>
      </c>
      <c r="G31" s="404">
        <f t="shared" si="11"/>
        <v>12.042834675302679</v>
      </c>
      <c r="H31" s="407">
        <f t="shared" si="14"/>
        <v>0</v>
      </c>
      <c r="I31" s="407">
        <f t="shared" si="15"/>
        <v>46.44037928445532</v>
      </c>
      <c r="J31" s="405">
        <f t="shared" si="0"/>
        <v>427.01115296909927</v>
      </c>
      <c r="K31" s="404">
        <f t="shared" si="4"/>
        <v>88.93764662204835</v>
      </c>
      <c r="L31" s="404">
        <f t="shared" si="5"/>
        <v>19.379274190142244</v>
      </c>
      <c r="M31" s="404">
        <f t="shared" si="8"/>
        <v>0</v>
      </c>
      <c r="N31" s="404">
        <f t="shared" si="12"/>
        <v>0</v>
      </c>
      <c r="O31" s="404">
        <f t="shared" si="9"/>
        <v>44.468823311024174</v>
      </c>
      <c r="P31" s="404">
        <f t="shared" si="13"/>
        <v>5.813782257042672</v>
      </c>
      <c r="Q31" s="407">
        <f t="shared" si="16"/>
        <v>0</v>
      </c>
      <c r="R31" s="407">
        <f t="shared" si="17"/>
        <v>23.22018964222766</v>
      </c>
      <c r="S31" s="405">
        <f t="shared" si="1"/>
        <v>181.8197160224851</v>
      </c>
    </row>
    <row r="32" spans="1:19" ht="11.25">
      <c r="A32" s="401">
        <v>13</v>
      </c>
      <c r="B32" s="624">
        <f t="shared" si="2"/>
        <v>229.86960973083265</v>
      </c>
      <c r="C32" s="624">
        <f t="shared" si="3"/>
        <v>41.347065718539206</v>
      </c>
      <c r="D32" s="404">
        <f t="shared" si="6"/>
        <v>0</v>
      </c>
      <c r="E32" s="404">
        <f t="shared" si="10"/>
        <v>0</v>
      </c>
      <c r="F32" s="404">
        <f t="shared" si="7"/>
        <v>114.93480486541633</v>
      </c>
      <c r="G32" s="404">
        <f t="shared" si="11"/>
        <v>12.404119715561759</v>
      </c>
      <c r="H32" s="407">
        <f t="shared" si="14"/>
        <v>0</v>
      </c>
      <c r="I32" s="407">
        <f t="shared" si="15"/>
        <v>47.83359066298898</v>
      </c>
      <c r="J32" s="405">
        <f t="shared" si="0"/>
        <v>446.3891906933389</v>
      </c>
      <c r="K32" s="404">
        <f t="shared" si="4"/>
        <v>93.38452895315076</v>
      </c>
      <c r="L32" s="404">
        <f t="shared" si="5"/>
        <v>19.96065241584651</v>
      </c>
      <c r="M32" s="404">
        <f t="shared" si="8"/>
        <v>0</v>
      </c>
      <c r="N32" s="404">
        <f t="shared" si="12"/>
        <v>0</v>
      </c>
      <c r="O32" s="404">
        <f t="shared" si="9"/>
        <v>46.69226447657538</v>
      </c>
      <c r="P32" s="404">
        <f t="shared" si="13"/>
        <v>5.988195724753953</v>
      </c>
      <c r="Q32" s="407">
        <f t="shared" si="16"/>
        <v>0</v>
      </c>
      <c r="R32" s="407">
        <f t="shared" si="17"/>
        <v>23.91679533149449</v>
      </c>
      <c r="S32" s="405">
        <f t="shared" si="1"/>
        <v>189.94243690182108</v>
      </c>
    </row>
    <row r="33" spans="1:19" ht="11.25">
      <c r="A33" s="401">
        <v>14</v>
      </c>
      <c r="B33" s="624">
        <f t="shared" si="2"/>
        <v>241.3630902173743</v>
      </c>
      <c r="C33" s="624">
        <f t="shared" si="3"/>
        <v>42.58747769009538</v>
      </c>
      <c r="D33" s="404">
        <f t="shared" si="6"/>
        <v>0</v>
      </c>
      <c r="E33" s="404">
        <f t="shared" si="10"/>
        <v>0</v>
      </c>
      <c r="F33" s="404">
        <f t="shared" si="7"/>
        <v>120.68154510868715</v>
      </c>
      <c r="G33" s="404">
        <f t="shared" si="11"/>
        <v>12.776243307028611</v>
      </c>
      <c r="H33" s="407">
        <f t="shared" si="14"/>
        <v>0</v>
      </c>
      <c r="I33" s="407">
        <f t="shared" si="15"/>
        <v>49.26859838287865</v>
      </c>
      <c r="J33" s="405">
        <f t="shared" si="0"/>
        <v>466.67695470606407</v>
      </c>
      <c r="K33" s="404">
        <f t="shared" si="4"/>
        <v>98.0537554008083</v>
      </c>
      <c r="L33" s="404">
        <f t="shared" si="5"/>
        <v>20.559471988321906</v>
      </c>
      <c r="M33" s="404">
        <f t="shared" si="8"/>
        <v>0</v>
      </c>
      <c r="N33" s="404">
        <f t="shared" si="12"/>
        <v>0</v>
      </c>
      <c r="O33" s="404">
        <f t="shared" si="9"/>
        <v>49.02687770040415</v>
      </c>
      <c r="P33" s="404">
        <f t="shared" si="13"/>
        <v>6.167841596496571</v>
      </c>
      <c r="Q33" s="407">
        <f t="shared" si="16"/>
        <v>0</v>
      </c>
      <c r="R33" s="407">
        <f t="shared" si="17"/>
        <v>24.634299191439325</v>
      </c>
      <c r="S33" s="405">
        <f t="shared" si="1"/>
        <v>198.44224587747027</v>
      </c>
    </row>
    <row r="34" spans="1:19" ht="11.25">
      <c r="A34" s="401">
        <v>15</v>
      </c>
      <c r="B34" s="624">
        <f t="shared" si="2"/>
        <v>253.43124472824303</v>
      </c>
      <c r="C34" s="624">
        <f t="shared" si="3"/>
        <v>43.86510202079825</v>
      </c>
      <c r="D34" s="404">
        <f t="shared" si="6"/>
        <v>0</v>
      </c>
      <c r="E34" s="404">
        <f t="shared" si="10"/>
        <v>0</v>
      </c>
      <c r="F34" s="404">
        <f t="shared" si="7"/>
        <v>126.71562236412151</v>
      </c>
      <c r="G34" s="404">
        <f t="shared" si="11"/>
        <v>13.15953060623947</v>
      </c>
      <c r="H34" s="407">
        <f t="shared" si="14"/>
        <v>0</v>
      </c>
      <c r="I34" s="407">
        <f t="shared" si="15"/>
        <v>50.746656334365014</v>
      </c>
      <c r="J34" s="405">
        <f t="shared" si="0"/>
        <v>487.91815605376723</v>
      </c>
      <c r="K34" s="404">
        <f t="shared" si="4"/>
        <v>102.95644317084871</v>
      </c>
      <c r="L34" s="404">
        <f t="shared" si="5"/>
        <v>21.176256147971564</v>
      </c>
      <c r="M34" s="404">
        <f t="shared" si="8"/>
        <v>0</v>
      </c>
      <c r="N34" s="404">
        <f t="shared" si="12"/>
        <v>0</v>
      </c>
      <c r="O34" s="404">
        <f t="shared" si="9"/>
        <v>51.47822158542436</v>
      </c>
      <c r="P34" s="404">
        <f t="shared" si="13"/>
        <v>6.352876844391469</v>
      </c>
      <c r="Q34" s="407">
        <f t="shared" si="16"/>
        <v>0</v>
      </c>
      <c r="R34" s="407">
        <f t="shared" si="17"/>
        <v>25.373328167182507</v>
      </c>
      <c r="S34" s="405">
        <f t="shared" si="1"/>
        <v>207.3371259158186</v>
      </c>
    </row>
    <row r="35" spans="1:19" ht="11.25">
      <c r="A35" s="401">
        <v>16</v>
      </c>
      <c r="B35" s="624">
        <f t="shared" si="2"/>
        <v>266.1028069646552</v>
      </c>
      <c r="C35" s="624">
        <f t="shared" si="3"/>
        <v>45.181055081422194</v>
      </c>
      <c r="D35" s="404">
        <f t="shared" si="6"/>
        <v>0</v>
      </c>
      <c r="E35" s="404">
        <f t="shared" si="10"/>
        <v>0</v>
      </c>
      <c r="F35" s="404">
        <f t="shared" si="7"/>
        <v>133.0514034823276</v>
      </c>
      <c r="G35" s="404">
        <f t="shared" si="11"/>
        <v>13.554316524426653</v>
      </c>
      <c r="H35" s="407">
        <f t="shared" si="14"/>
        <v>0</v>
      </c>
      <c r="I35" s="407">
        <f t="shared" si="15"/>
        <v>52.269056024395965</v>
      </c>
      <c r="J35" s="405">
        <f t="shared" si="0"/>
        <v>510.15863807722764</v>
      </c>
      <c r="K35" s="404">
        <f t="shared" si="4"/>
        <v>108.10426532939115</v>
      </c>
      <c r="L35" s="404">
        <f t="shared" si="5"/>
        <v>21.811543832410713</v>
      </c>
      <c r="M35" s="404">
        <f t="shared" si="8"/>
        <v>0</v>
      </c>
      <c r="N35" s="404">
        <f t="shared" si="12"/>
        <v>0</v>
      </c>
      <c r="O35" s="404">
        <f t="shared" si="9"/>
        <v>54.05213266469558</v>
      </c>
      <c r="P35" s="404">
        <f t="shared" si="13"/>
        <v>6.543463149723213</v>
      </c>
      <c r="Q35" s="407">
        <f t="shared" si="16"/>
        <v>0</v>
      </c>
      <c r="R35" s="407">
        <f t="shared" si="17"/>
        <v>26.134528012197983</v>
      </c>
      <c r="S35" s="405">
        <f t="shared" si="1"/>
        <v>216.64593298841865</v>
      </c>
    </row>
    <row r="36" spans="1:19" ht="11.25">
      <c r="A36" s="401">
        <v>17</v>
      </c>
      <c r="B36" s="624">
        <f t="shared" si="2"/>
        <v>279.407947312888</v>
      </c>
      <c r="C36" s="624">
        <f t="shared" si="3"/>
        <v>46.53648673386486</v>
      </c>
      <c r="D36" s="404">
        <f t="shared" si="6"/>
        <v>0</v>
      </c>
      <c r="E36" s="404">
        <f t="shared" si="10"/>
        <v>0</v>
      </c>
      <c r="F36" s="404">
        <f t="shared" si="7"/>
        <v>139.703973656444</v>
      </c>
      <c r="G36" s="404">
        <f t="shared" si="11"/>
        <v>13.960946020159453</v>
      </c>
      <c r="H36" s="407">
        <f t="shared" si="14"/>
        <v>0</v>
      </c>
      <c r="I36" s="407">
        <f t="shared" si="15"/>
        <v>53.83712770512785</v>
      </c>
      <c r="J36" s="405">
        <f t="shared" si="0"/>
        <v>533.4464814284842</v>
      </c>
      <c r="K36" s="404">
        <f t="shared" si="4"/>
        <v>113.50947859586071</v>
      </c>
      <c r="L36" s="404">
        <f t="shared" si="5"/>
        <v>22.465890147383035</v>
      </c>
      <c r="M36" s="404">
        <f t="shared" si="8"/>
        <v>0</v>
      </c>
      <c r="N36" s="404">
        <f t="shared" si="12"/>
        <v>0</v>
      </c>
      <c r="O36" s="404">
        <f t="shared" si="9"/>
        <v>56.75473929793036</v>
      </c>
      <c r="P36" s="404">
        <f t="shared" si="13"/>
        <v>6.73976704421491</v>
      </c>
      <c r="Q36" s="407">
        <f t="shared" si="16"/>
        <v>0</v>
      </c>
      <c r="R36" s="407">
        <f t="shared" si="17"/>
        <v>26.918563852563924</v>
      </c>
      <c r="S36" s="405">
        <f t="shared" si="1"/>
        <v>226.38843893795294</v>
      </c>
    </row>
    <row r="37" spans="1:19" ht="11.25">
      <c r="A37" s="401">
        <v>18</v>
      </c>
      <c r="B37" s="624">
        <f t="shared" si="2"/>
        <v>293.3783446785324</v>
      </c>
      <c r="C37" s="624">
        <f t="shared" si="3"/>
        <v>47.93258133588081</v>
      </c>
      <c r="D37" s="404">
        <f t="shared" si="6"/>
        <v>0</v>
      </c>
      <c r="E37" s="404">
        <f t="shared" si="10"/>
        <v>0</v>
      </c>
      <c r="F37" s="404">
        <f t="shared" si="7"/>
        <v>146.6891723392662</v>
      </c>
      <c r="G37" s="404">
        <f t="shared" si="11"/>
        <v>14.379774400764237</v>
      </c>
      <c r="H37" s="407">
        <f t="shared" si="14"/>
        <v>0</v>
      </c>
      <c r="I37" s="407">
        <f t="shared" si="15"/>
        <v>55.45224153628168</v>
      </c>
      <c r="J37" s="405">
        <f t="shared" si="0"/>
        <v>557.8321142907253</v>
      </c>
      <c r="K37" s="404">
        <f t="shared" si="4"/>
        <v>119.18495252565376</v>
      </c>
      <c r="L37" s="404">
        <f t="shared" si="5"/>
        <v>23.139866851804527</v>
      </c>
      <c r="M37" s="404">
        <f t="shared" si="8"/>
        <v>0</v>
      </c>
      <c r="N37" s="404">
        <f t="shared" si="12"/>
        <v>0</v>
      </c>
      <c r="O37" s="404">
        <f t="shared" si="9"/>
        <v>59.59247626282688</v>
      </c>
      <c r="P37" s="404">
        <f t="shared" si="13"/>
        <v>6.941960055541357</v>
      </c>
      <c r="Q37" s="407">
        <f t="shared" si="16"/>
        <v>0</v>
      </c>
      <c r="R37" s="407">
        <f t="shared" si="17"/>
        <v>27.72612076814084</v>
      </c>
      <c r="S37" s="405">
        <f t="shared" si="1"/>
        <v>236.58537646396735</v>
      </c>
    </row>
    <row r="38" spans="1:19" ht="11.25">
      <c r="A38" s="401">
        <v>19</v>
      </c>
      <c r="B38" s="624">
        <f t="shared" si="2"/>
        <v>308.047261912459</v>
      </c>
      <c r="C38" s="624">
        <f t="shared" si="3"/>
        <v>49.370558775957235</v>
      </c>
      <c r="D38" s="404">
        <f t="shared" si="6"/>
        <v>0</v>
      </c>
      <c r="E38" s="404">
        <f t="shared" si="10"/>
        <v>0</v>
      </c>
      <c r="F38" s="404">
        <f t="shared" si="7"/>
        <v>154.0236309562295</v>
      </c>
      <c r="G38" s="404">
        <f t="shared" si="11"/>
        <v>14.811167632787164</v>
      </c>
      <c r="H38" s="407">
        <f t="shared" si="14"/>
        <v>0</v>
      </c>
      <c r="I38" s="407">
        <f t="shared" si="15"/>
        <v>57.11580878237014</v>
      </c>
      <c r="J38" s="405">
        <f t="shared" si="0"/>
        <v>583.368428059803</v>
      </c>
      <c r="K38" s="404">
        <f t="shared" si="4"/>
        <v>125.14420015193645</v>
      </c>
      <c r="L38" s="404">
        <f t="shared" si="5"/>
        <v>23.834062857358663</v>
      </c>
      <c r="M38" s="404">
        <f t="shared" si="8"/>
        <v>0</v>
      </c>
      <c r="N38" s="404">
        <f t="shared" si="12"/>
        <v>0</v>
      </c>
      <c r="O38" s="404">
        <f t="shared" si="9"/>
        <v>62.57210007596822</v>
      </c>
      <c r="P38" s="404">
        <f t="shared" si="13"/>
        <v>7.150218857207598</v>
      </c>
      <c r="Q38" s="407">
        <f t="shared" si="16"/>
        <v>0</v>
      </c>
      <c r="R38" s="407">
        <f t="shared" si="17"/>
        <v>28.55790439118507</v>
      </c>
      <c r="S38" s="405">
        <f t="shared" si="1"/>
        <v>247.258486333656</v>
      </c>
    </row>
    <row r="39" spans="1:19" ht="11.25">
      <c r="A39" s="401">
        <v>20</v>
      </c>
      <c r="B39" s="624">
        <f t="shared" si="2"/>
        <v>323.44962500808197</v>
      </c>
      <c r="C39" s="624">
        <f t="shared" si="3"/>
        <v>50.851675539235956</v>
      </c>
      <c r="D39" s="404">
        <f t="shared" si="6"/>
        <v>0</v>
      </c>
      <c r="E39" s="404">
        <f t="shared" si="10"/>
        <v>0</v>
      </c>
      <c r="F39" s="404">
        <f t="shared" si="7"/>
        <v>161.72481250404098</v>
      </c>
      <c r="G39" s="404">
        <f t="shared" si="11"/>
        <v>15.25550266177078</v>
      </c>
      <c r="H39" s="407">
        <f t="shared" si="14"/>
        <v>0</v>
      </c>
      <c r="I39" s="407">
        <f t="shared" si="15"/>
        <v>58.829283045841244</v>
      </c>
      <c r="J39" s="405">
        <f t="shared" si="0"/>
        <v>610.110898758971</v>
      </c>
      <c r="K39" s="404">
        <f t="shared" si="4"/>
        <v>131.40141015953327</v>
      </c>
      <c r="L39" s="404">
        <f t="shared" si="5"/>
        <v>24.549084743079423</v>
      </c>
      <c r="M39" s="404">
        <f t="shared" si="8"/>
        <v>0</v>
      </c>
      <c r="N39" s="404">
        <f t="shared" si="12"/>
        <v>0</v>
      </c>
      <c r="O39" s="404">
        <f t="shared" si="9"/>
        <v>65.70070507976664</v>
      </c>
      <c r="P39" s="404">
        <f t="shared" si="13"/>
        <v>7.364725422923826</v>
      </c>
      <c r="Q39" s="407">
        <f t="shared" si="16"/>
        <v>0</v>
      </c>
      <c r="R39" s="407">
        <f t="shared" si="17"/>
        <v>29.414641522920622</v>
      </c>
      <c r="S39" s="405">
        <f t="shared" si="1"/>
        <v>258.4305669282238</v>
      </c>
    </row>
    <row r="40" spans="1:19" ht="11.25">
      <c r="A40" s="401">
        <v>21</v>
      </c>
      <c r="B40" s="624">
        <f t="shared" si="2"/>
        <v>339.6221062584861</v>
      </c>
      <c r="C40" s="624">
        <f t="shared" si="3"/>
        <v>52.37722580541303</v>
      </c>
      <c r="D40" s="404">
        <f t="shared" si="6"/>
        <v>0</v>
      </c>
      <c r="E40" s="404">
        <f t="shared" si="10"/>
        <v>0</v>
      </c>
      <c r="F40" s="404">
        <f t="shared" si="7"/>
        <v>169.81105312924305</v>
      </c>
      <c r="G40" s="404">
        <f t="shared" si="11"/>
        <v>15.713167741623904</v>
      </c>
      <c r="H40" s="407">
        <f t="shared" si="14"/>
        <v>0</v>
      </c>
      <c r="I40" s="407">
        <f t="shared" si="15"/>
        <v>60.594161537216486</v>
      </c>
      <c r="J40" s="405">
        <f t="shared" si="0"/>
        <v>638.1177144719826</v>
      </c>
      <c r="K40" s="404">
        <f t="shared" si="4"/>
        <v>137.97148066750995</v>
      </c>
      <c r="L40" s="404">
        <f t="shared" si="5"/>
        <v>25.285557285371805</v>
      </c>
      <c r="M40" s="404">
        <f t="shared" si="8"/>
        <v>0</v>
      </c>
      <c r="N40" s="404">
        <f t="shared" si="12"/>
        <v>0</v>
      </c>
      <c r="O40" s="404">
        <f t="shared" si="9"/>
        <v>68.98574033375498</v>
      </c>
      <c r="P40" s="404">
        <f t="shared" si="13"/>
        <v>7.58566718561154</v>
      </c>
      <c r="Q40" s="407">
        <f t="shared" si="16"/>
        <v>0</v>
      </c>
      <c r="R40" s="407">
        <f t="shared" si="17"/>
        <v>30.297080768608243</v>
      </c>
      <c r="S40" s="405">
        <f t="shared" si="1"/>
        <v>270.1255262408565</v>
      </c>
    </row>
    <row r="41" spans="1:19" ht="11.25">
      <c r="A41" s="401">
        <v>22</v>
      </c>
      <c r="B41" s="624">
        <f t="shared" si="2"/>
        <v>356.60321157141044</v>
      </c>
      <c r="C41" s="624">
        <f t="shared" si="3"/>
        <v>53.948542579575424</v>
      </c>
      <c r="D41" s="404">
        <f t="shared" si="6"/>
        <v>0</v>
      </c>
      <c r="E41" s="404">
        <f t="shared" si="10"/>
        <v>0</v>
      </c>
      <c r="F41" s="404">
        <f t="shared" si="7"/>
        <v>178.30160578570522</v>
      </c>
      <c r="G41" s="404">
        <f t="shared" si="11"/>
        <v>16.18456277387262</v>
      </c>
      <c r="H41" s="407">
        <f t="shared" si="14"/>
        <v>0</v>
      </c>
      <c r="I41" s="407">
        <f t="shared" si="15"/>
        <v>62.41198638333298</v>
      </c>
      <c r="J41" s="405">
        <f t="shared" si="0"/>
        <v>667.4499090938966</v>
      </c>
      <c r="K41" s="404">
        <f t="shared" si="4"/>
        <v>144.87005470088545</v>
      </c>
      <c r="L41" s="404">
        <f t="shared" si="5"/>
        <v>26.04412400393296</v>
      </c>
      <c r="M41" s="404">
        <f t="shared" si="8"/>
        <v>0</v>
      </c>
      <c r="N41" s="404">
        <f t="shared" si="12"/>
        <v>0</v>
      </c>
      <c r="O41" s="404">
        <f t="shared" si="9"/>
        <v>72.43502735044272</v>
      </c>
      <c r="P41" s="404">
        <f t="shared" si="13"/>
        <v>7.813237201179887</v>
      </c>
      <c r="Q41" s="407">
        <f t="shared" si="16"/>
        <v>0</v>
      </c>
      <c r="R41" s="407">
        <f t="shared" si="17"/>
        <v>31.20599319166649</v>
      </c>
      <c r="S41" s="405">
        <f t="shared" si="1"/>
        <v>282.36843644810745</v>
      </c>
    </row>
    <row r="42" spans="1:19" ht="11.25">
      <c r="A42" s="401">
        <v>23</v>
      </c>
      <c r="B42" s="624">
        <f t="shared" si="2"/>
        <v>374.433372149981</v>
      </c>
      <c r="C42" s="624">
        <f t="shared" si="3"/>
        <v>55.56699885696269</v>
      </c>
      <c r="D42" s="404">
        <f t="shared" si="6"/>
        <v>0</v>
      </c>
      <c r="E42" s="404">
        <f t="shared" si="10"/>
        <v>0</v>
      </c>
      <c r="F42" s="404">
        <f t="shared" si="7"/>
        <v>187.2166860749905</v>
      </c>
      <c r="G42" s="404">
        <f t="shared" si="11"/>
        <v>16.6700996570888</v>
      </c>
      <c r="H42" s="407">
        <f t="shared" si="14"/>
        <v>0</v>
      </c>
      <c r="I42" s="407">
        <f t="shared" si="15"/>
        <v>64.28434597483297</v>
      </c>
      <c r="J42" s="405">
        <f t="shared" si="0"/>
        <v>698.171502713856</v>
      </c>
      <c r="K42" s="404">
        <f t="shared" si="4"/>
        <v>152.11355743592972</v>
      </c>
      <c r="L42" s="404">
        <f t="shared" si="5"/>
        <v>26.82544772405095</v>
      </c>
      <c r="M42" s="404">
        <f t="shared" si="8"/>
        <v>0</v>
      </c>
      <c r="N42" s="404">
        <f>N41*$E$5</f>
        <v>0</v>
      </c>
      <c r="O42" s="404">
        <f t="shared" si="9"/>
        <v>76.05677871796486</v>
      </c>
      <c r="P42" s="404">
        <f t="shared" si="13"/>
        <v>8.047634317215284</v>
      </c>
      <c r="Q42" s="407">
        <f t="shared" si="16"/>
        <v>0</v>
      </c>
      <c r="R42" s="407">
        <f t="shared" si="17"/>
        <v>32.14217298741649</v>
      </c>
      <c r="S42" s="405">
        <f t="shared" si="1"/>
        <v>295.1855911825773</v>
      </c>
    </row>
    <row r="43" spans="1:19" ht="11.25">
      <c r="A43" s="401">
        <v>24</v>
      </c>
      <c r="B43" s="624">
        <f>B42*$E$4</f>
        <v>393.15504075748004</v>
      </c>
      <c r="C43" s="624">
        <f>C42*$E$5</f>
        <v>57.234008822671576</v>
      </c>
      <c r="D43" s="404">
        <f>D42*$E$4</f>
        <v>0</v>
      </c>
      <c r="E43" s="404">
        <f>E42*$E$5</f>
        <v>0</v>
      </c>
      <c r="F43" s="404">
        <f>F42*$E$4</f>
        <v>196.57752037874002</v>
      </c>
      <c r="G43" s="404">
        <f>G42*$E$5</f>
        <v>17.170202646801467</v>
      </c>
      <c r="H43" s="407">
        <f>H42*$E$4</f>
        <v>0</v>
      </c>
      <c r="I43" s="407">
        <f>I42*$E$5</f>
        <v>66.21287635407796</v>
      </c>
      <c r="J43" s="405">
        <f>B43+C43+D43+E43+F43+G43+H43+I43</f>
        <v>730.349648959771</v>
      </c>
      <c r="K43" s="404">
        <f>K42*$E$4</f>
        <v>159.71923530772622</v>
      </c>
      <c r="L43" s="404">
        <f>L42*$E$5</f>
        <v>27.63021115577248</v>
      </c>
      <c r="M43" s="404">
        <f>M42*$E$4</f>
        <v>0</v>
      </c>
      <c r="N43" s="404">
        <f>N42*$E$5</f>
        <v>0</v>
      </c>
      <c r="O43" s="404">
        <f>O42*$E$4</f>
        <v>79.85961765386311</v>
      </c>
      <c r="P43" s="404">
        <f>P42*$E$5</f>
        <v>8.289063346731742</v>
      </c>
      <c r="Q43" s="407">
        <f>Q42*$E$4</f>
        <v>0</v>
      </c>
      <c r="R43" s="407">
        <f>R42*$E$5</f>
        <v>33.10643817703898</v>
      </c>
      <c r="S43" s="405">
        <f>K43+L43+M43+N43+O43+P43+Q43+R43</f>
        <v>308.6045656411325</v>
      </c>
    </row>
    <row r="44" spans="1:19" ht="11.25">
      <c r="A44" s="401">
        <v>25</v>
      </c>
      <c r="B44" s="624">
        <f>B43*$E$4</f>
        <v>412.8127927953541</v>
      </c>
      <c r="C44" s="624">
        <f>C43*$E$5</f>
        <v>58.95102908735173</v>
      </c>
      <c r="D44" s="404">
        <f>D43*$E$4</f>
        <v>0</v>
      </c>
      <c r="E44" s="404">
        <f>E43*$E$5</f>
        <v>0</v>
      </c>
      <c r="F44" s="404">
        <f>F43*$E$4</f>
        <v>206.40639639767704</v>
      </c>
      <c r="G44" s="404">
        <f>G43*$E$5</f>
        <v>17.685308726205513</v>
      </c>
      <c r="H44" s="407">
        <f>H43*$E$4</f>
        <v>0</v>
      </c>
      <c r="I44" s="407">
        <f>I43*$E$5</f>
        <v>68.1992626447003</v>
      </c>
      <c r="J44" s="405">
        <f>B44+C44+D44+E44+F44+G44+H44+I44</f>
        <v>764.0547896512887</v>
      </c>
      <c r="K44" s="404">
        <f>K43*$E$4</f>
        <v>167.70519707311254</v>
      </c>
      <c r="L44" s="404">
        <f>L43*$E$5</f>
        <v>28.459117490445653</v>
      </c>
      <c r="M44" s="404">
        <f>M43*$E$4</f>
        <v>0</v>
      </c>
      <c r="N44" s="404">
        <f>N43*$E$5</f>
        <v>0</v>
      </c>
      <c r="O44" s="404">
        <f>O43*$E$4</f>
        <v>83.85259853655627</v>
      </c>
      <c r="P44" s="404">
        <f>P43*$E$5</f>
        <v>8.537735247133694</v>
      </c>
      <c r="Q44" s="407">
        <f>Q43*$E$4</f>
        <v>0</v>
      </c>
      <c r="R44" s="407">
        <f>R43*$E$5</f>
        <v>34.09963132235015</v>
      </c>
      <c r="S44" s="405">
        <f>K44+L44+M44+N44+O44+P44+Q44+R44</f>
        <v>322.65427966959834</v>
      </c>
    </row>
    <row r="45" spans="1:18" ht="11.25">
      <c r="A45" s="401"/>
      <c r="H45" s="404"/>
      <c r="I45" s="404"/>
      <c r="Q45" s="404"/>
      <c r="R45" s="404"/>
    </row>
    <row r="46" ht="12.75">
      <c r="A46" s="9" t="s">
        <v>845</v>
      </c>
    </row>
    <row r="47" ht="11.25">
      <c r="P47" s="397"/>
    </row>
    <row r="48" ht="11.25"/>
    <row r="49" spans="2:16" ht="11.25">
      <c r="B49" s="401" t="s">
        <v>846</v>
      </c>
      <c r="C49" s="401" t="s">
        <v>892</v>
      </c>
      <c r="D49" s="401" t="s">
        <v>847</v>
      </c>
      <c r="E49" s="394" t="s">
        <v>848</v>
      </c>
      <c r="J49" s="394" t="s">
        <v>849</v>
      </c>
      <c r="O49" s="401" t="s">
        <v>549</v>
      </c>
      <c r="P49" s="402" t="s">
        <v>549</v>
      </c>
    </row>
    <row r="50" spans="2:16" ht="11.25">
      <c r="B50" s="401" t="s">
        <v>850</v>
      </c>
      <c r="C50" s="401" t="s">
        <v>893</v>
      </c>
      <c r="D50" s="401" t="s">
        <v>851</v>
      </c>
      <c r="E50" s="401" t="s">
        <v>852</v>
      </c>
      <c r="F50" s="401" t="s">
        <v>853</v>
      </c>
      <c r="G50" s="401" t="s">
        <v>854</v>
      </c>
      <c r="H50" s="401" t="s">
        <v>855</v>
      </c>
      <c r="I50" s="401" t="s">
        <v>549</v>
      </c>
      <c r="J50" s="401" t="s">
        <v>852</v>
      </c>
      <c r="K50" s="401" t="s">
        <v>853</v>
      </c>
      <c r="L50" s="401" t="s">
        <v>854</v>
      </c>
      <c r="M50" s="401" t="s">
        <v>855</v>
      </c>
      <c r="N50" s="401" t="s">
        <v>549</v>
      </c>
      <c r="O50" s="401" t="s">
        <v>856</v>
      </c>
      <c r="P50" s="402" t="s">
        <v>857</v>
      </c>
    </row>
    <row r="51" spans="2:20" ht="11.25">
      <c r="B51" s="401" t="s">
        <v>858</v>
      </c>
      <c r="C51" s="401"/>
      <c r="D51" s="401" t="s">
        <v>401</v>
      </c>
      <c r="E51" s="401" t="s">
        <v>859</v>
      </c>
      <c r="F51" s="401" t="s">
        <v>859</v>
      </c>
      <c r="G51" s="401" t="s">
        <v>859</v>
      </c>
      <c r="H51" s="401" t="s">
        <v>859</v>
      </c>
      <c r="I51" s="401" t="s">
        <v>859</v>
      </c>
      <c r="J51" s="401" t="s">
        <v>859</v>
      </c>
      <c r="K51" s="401" t="s">
        <v>859</v>
      </c>
      <c r="L51" s="401" t="s">
        <v>859</v>
      </c>
      <c r="M51" s="401" t="s">
        <v>859</v>
      </c>
      <c r="N51" s="401" t="s">
        <v>859</v>
      </c>
      <c r="O51" s="401" t="s">
        <v>860</v>
      </c>
      <c r="P51" s="402" t="s">
        <v>861</v>
      </c>
      <c r="Q51" s="401"/>
      <c r="S51" s="401"/>
      <c r="T51" s="401"/>
    </row>
    <row r="52" spans="1:20" ht="11.25">
      <c r="A52" s="401" t="s">
        <v>842</v>
      </c>
      <c r="E52" s="401"/>
      <c r="F52" s="401"/>
      <c r="G52" s="401"/>
      <c r="H52" s="401"/>
      <c r="I52" s="401"/>
      <c r="J52" s="401"/>
      <c r="K52" s="401"/>
      <c r="L52" s="401"/>
      <c r="M52" s="401"/>
      <c r="N52" s="401"/>
      <c r="O52" s="401"/>
      <c r="P52" s="402"/>
      <c r="Q52" s="401"/>
      <c r="S52" s="401"/>
      <c r="T52" s="401"/>
    </row>
    <row r="53" spans="1:16" ht="11.25">
      <c r="A53" s="401">
        <v>1</v>
      </c>
      <c r="B53" s="619">
        <f>-4259.12*'Summary ERRs'!B97</f>
        <v>-4259.12</v>
      </c>
      <c r="D53" s="836">
        <v>32</v>
      </c>
      <c r="I53" s="404"/>
      <c r="J53" s="401"/>
      <c r="K53" s="401"/>
      <c r="L53" s="401"/>
      <c r="M53" s="401"/>
      <c r="P53" s="405">
        <f>B53+C53+D53+O53</f>
        <v>-4227.12</v>
      </c>
    </row>
    <row r="54" spans="1:16" ht="11.25">
      <c r="A54" s="401">
        <v>2</v>
      </c>
      <c r="B54" s="620">
        <f>'Summary ERRs'!B97*-8567.59</f>
        <v>-8567.59</v>
      </c>
      <c r="C54" s="406"/>
      <c r="D54" s="836">
        <f>D53</f>
        <v>32</v>
      </c>
      <c r="I54" s="404"/>
      <c r="P54" s="405">
        <f aca="true" t="shared" si="18" ref="P54:P74">B54+C54+D54+O54</f>
        <v>-8535.59</v>
      </c>
    </row>
    <row r="55" spans="1:16" ht="11.25">
      <c r="A55" s="401">
        <v>3</v>
      </c>
      <c r="B55" s="620">
        <f>'Summary ERRs'!B97*-4422.83</f>
        <v>-4422.83</v>
      </c>
      <c r="C55" s="455"/>
      <c r="D55" s="836">
        <f aca="true" t="shared" si="19" ref="D55:D75">D54</f>
        <v>32</v>
      </c>
      <c r="I55" s="404"/>
      <c r="P55" s="405">
        <f>B55+C55+D55+O55</f>
        <v>-4390.83</v>
      </c>
    </row>
    <row r="56" spans="1:20" ht="11.25">
      <c r="A56" s="401">
        <v>4</v>
      </c>
      <c r="B56" s="619">
        <f>'Summary ERRs'!$B$97*-49.312</f>
        <v>-49.312</v>
      </c>
      <c r="C56" s="404"/>
      <c r="D56" s="836">
        <f t="shared" si="19"/>
        <v>32</v>
      </c>
      <c r="E56" s="408">
        <f>(((B23*($P$4-$P$5)+(C23*($P$6-$P$7)))*$G$17*$E$6))*$P$8/1000000</f>
        <v>737.7041677468883</v>
      </c>
      <c r="F56" s="408">
        <f aca="true" t="shared" si="20" ref="F56:F75">(((D23*($P$4-$P$5)+(E23*($P$6-$P$7)))*$G$17*$E$6))*$P$8/1000000</f>
        <v>0</v>
      </c>
      <c r="G56" s="408">
        <f aca="true" t="shared" si="21" ref="G56:G75">0.5*(((F23*($P$4-$P$5)+(G23*($P$6-$P$7)))*$G$17*$E$6))*$P$8/1000000</f>
        <v>150.14144710123324</v>
      </c>
      <c r="H56" s="408">
        <f aca="true" t="shared" si="22" ref="H56:H75">(((H23*($P$4-$P$5)+(I23*($P$6-$P$7)))*$G$17*$E$6))*$P$8/1000000</f>
        <v>83.40549228020696</v>
      </c>
      <c r="I56" s="404">
        <f aca="true" t="shared" si="23" ref="I56:I75">E56+F56+G56+H56</f>
        <v>971.2511071283285</v>
      </c>
      <c r="J56" s="408">
        <f aca="true" t="shared" si="24" ref="J56:J75">(((K23*($P$4-$P$5)+(L23*($P$6-$P$7)))*$Q$17*$E$6))*$P$8/1000000</f>
        <v>156.92588347936868</v>
      </c>
      <c r="K56" s="408">
        <f aca="true" t="shared" si="25" ref="K56:K75">(((M23*($P$4-$P$5)+(N23*($P$6-$P$7)))*$Q$17*$E$6))*$P$8/1000000</f>
        <v>0</v>
      </c>
      <c r="L56" s="408">
        <f aca="true" t="shared" si="26" ref="L56:L75">0.5*(((O23*($P$4-$P$5)+(P23*($P$6-$P$7)))*$Q$17*$E$6))*$P$8/1000000</f>
        <v>31.262382415105304</v>
      </c>
      <c r="M56" s="408">
        <f aca="true" t="shared" si="27" ref="M56:M75">(((Q23*($P$4-$P$5)+(R23*($P$6-$P$7)))*$Q$17*$E$6))*$P$8/1000000</f>
        <v>20.079099993383153</v>
      </c>
      <c r="N56" s="408">
        <f aca="true" t="shared" si="28" ref="N56:N75">J56+K56+L56+M56</f>
        <v>208.26736588785712</v>
      </c>
      <c r="O56" s="408">
        <f>I56+N56</f>
        <v>1179.5184730161857</v>
      </c>
      <c r="P56" s="405">
        <f>B56+C56+D56+O56</f>
        <v>1162.2064730161858</v>
      </c>
      <c r="T56" s="404"/>
    </row>
    <row r="57" spans="1:20" ht="11.25">
      <c r="A57" s="401">
        <v>5</v>
      </c>
      <c r="B57" s="619">
        <f>'Summary ERRs'!$B$97*-49.312</f>
        <v>-49.312</v>
      </c>
      <c r="C57" s="404"/>
      <c r="D57" s="836">
        <f t="shared" si="19"/>
        <v>32</v>
      </c>
      <c r="E57" s="408">
        <f aca="true" t="shared" si="29" ref="E57:E75">(((B24*($P$4-$P$5)+(C24*($P$6-$P$7)))*$G$17*$E$6))*$P$8/1000000</f>
        <v>767.732457167135</v>
      </c>
      <c r="F57" s="408">
        <f t="shared" si="20"/>
        <v>0</v>
      </c>
      <c r="G57" s="408">
        <f t="shared" si="21"/>
        <v>156.61998161123023</v>
      </c>
      <c r="H57" s="408">
        <f t="shared" si="22"/>
        <v>187.40048394747004</v>
      </c>
      <c r="I57" s="404">
        <f t="shared" si="23"/>
        <v>1111.7529227258353</v>
      </c>
      <c r="J57" s="408">
        <f t="shared" si="24"/>
        <v>163.17835996238975</v>
      </c>
      <c r="K57" s="408">
        <f t="shared" si="25"/>
        <v>0</v>
      </c>
      <c r="L57" s="408">
        <f t="shared" si="26"/>
        <v>32.586428882218456</v>
      </c>
      <c r="M57" s="408">
        <f t="shared" si="27"/>
        <v>45.11493132068723</v>
      </c>
      <c r="N57" s="408">
        <f t="shared" si="28"/>
        <v>240.87972016529545</v>
      </c>
      <c r="O57" s="408">
        <f aca="true" t="shared" si="30" ref="O57:O75">I57+N57</f>
        <v>1352.6326428911307</v>
      </c>
      <c r="P57" s="405">
        <f t="shared" si="18"/>
        <v>1335.3206428911308</v>
      </c>
      <c r="T57" s="404"/>
    </row>
    <row r="58" spans="1:20" ht="11.25">
      <c r="A58" s="401">
        <v>6</v>
      </c>
      <c r="B58" s="836">
        <v>-20</v>
      </c>
      <c r="C58" s="404"/>
      <c r="D58" s="836">
        <f t="shared" si="19"/>
        <v>32</v>
      </c>
      <c r="E58" s="408">
        <f t="shared" si="29"/>
        <v>799.056453489381</v>
      </c>
      <c r="F58" s="408">
        <f t="shared" si="20"/>
        <v>0</v>
      </c>
      <c r="G58" s="408">
        <f t="shared" si="21"/>
        <v>163.3915867113752</v>
      </c>
      <c r="H58" s="408">
        <f t="shared" si="22"/>
        <v>270.7743422360944</v>
      </c>
      <c r="I58" s="404">
        <f t="shared" si="23"/>
        <v>1233.2223824368507</v>
      </c>
      <c r="J58" s="408">
        <f t="shared" si="24"/>
        <v>169.69564573883343</v>
      </c>
      <c r="K58" s="408">
        <f t="shared" si="25"/>
        <v>0</v>
      </c>
      <c r="L58" s="408">
        <f t="shared" si="26"/>
        <v>33.96950549307802</v>
      </c>
      <c r="M58" s="408">
        <f t="shared" si="27"/>
        <v>65.18641572350423</v>
      </c>
      <c r="N58" s="408">
        <f t="shared" si="28"/>
        <v>268.8515669554157</v>
      </c>
      <c r="O58" s="408">
        <f t="shared" si="30"/>
        <v>1502.0739493922665</v>
      </c>
      <c r="P58" s="405">
        <f t="shared" si="18"/>
        <v>1514.0739493922665</v>
      </c>
      <c r="T58" s="404"/>
    </row>
    <row r="59" spans="1:20" ht="11.25">
      <c r="A59" s="401">
        <v>7</v>
      </c>
      <c r="B59" s="836">
        <v>-20</v>
      </c>
      <c r="C59" s="404"/>
      <c r="D59" s="836">
        <f t="shared" si="19"/>
        <v>32</v>
      </c>
      <c r="E59" s="408">
        <f t="shared" si="29"/>
        <v>831.7347708316562</v>
      </c>
      <c r="F59" s="408">
        <f t="shared" si="20"/>
        <v>0</v>
      </c>
      <c r="G59" s="408">
        <f t="shared" si="21"/>
        <v>170.46999024711485</v>
      </c>
      <c r="H59" s="408">
        <f t="shared" si="22"/>
        <v>374.1431960262238</v>
      </c>
      <c r="I59" s="404">
        <f t="shared" si="23"/>
        <v>1376.3479571049947</v>
      </c>
      <c r="J59" s="408">
        <f t="shared" si="24"/>
        <v>176.48954683744904</v>
      </c>
      <c r="K59" s="408">
        <f t="shared" si="25"/>
        <v>0</v>
      </c>
      <c r="L59" s="408">
        <f t="shared" si="26"/>
        <v>35.414348589483005</v>
      </c>
      <c r="M59" s="408">
        <f t="shared" si="27"/>
        <v>90.07151015446128</v>
      </c>
      <c r="N59" s="408">
        <f t="shared" si="28"/>
        <v>301.9754055813933</v>
      </c>
      <c r="O59" s="408">
        <f t="shared" si="30"/>
        <v>1678.323362686388</v>
      </c>
      <c r="P59" s="405">
        <f t="shared" si="18"/>
        <v>1690.323362686388</v>
      </c>
      <c r="S59" s="404"/>
      <c r="T59" s="404"/>
    </row>
    <row r="60" spans="1:20" ht="11.25">
      <c r="A60" s="401">
        <v>8</v>
      </c>
      <c r="B60" s="836">
        <v>-20</v>
      </c>
      <c r="C60" s="404"/>
      <c r="D60" s="836">
        <f t="shared" si="19"/>
        <v>32</v>
      </c>
      <c r="E60" s="408">
        <f t="shared" si="29"/>
        <v>865.8287688810792</v>
      </c>
      <c r="F60" s="408">
        <f t="shared" si="20"/>
        <v>0</v>
      </c>
      <c r="G60" s="408">
        <f t="shared" si="21"/>
        <v>177.86957868564662</v>
      </c>
      <c r="H60" s="408">
        <f t="shared" si="22"/>
        <v>428.05071381870664</v>
      </c>
      <c r="I60" s="404">
        <f t="shared" si="23"/>
        <v>1471.7490613854325</v>
      </c>
      <c r="J60" s="408">
        <f t="shared" si="24"/>
        <v>183.57241655534565</v>
      </c>
      <c r="K60" s="408">
        <f t="shared" si="25"/>
        <v>0</v>
      </c>
      <c r="L60" s="408">
        <f t="shared" si="26"/>
        <v>36.923824875360786</v>
      </c>
      <c r="M60" s="408">
        <f t="shared" si="27"/>
        <v>103.04924591931827</v>
      </c>
      <c r="N60" s="408">
        <f t="shared" si="28"/>
        <v>323.5454873500247</v>
      </c>
      <c r="O60" s="408">
        <f t="shared" si="30"/>
        <v>1795.2945487354573</v>
      </c>
      <c r="P60" s="405">
        <f t="shared" si="18"/>
        <v>1807.2945487354573</v>
      </c>
      <c r="S60" s="404"/>
      <c r="T60" s="404"/>
    </row>
    <row r="61" spans="1:20" ht="11.25">
      <c r="A61" s="401">
        <v>9</v>
      </c>
      <c r="B61" s="836">
        <v>-20</v>
      </c>
      <c r="C61" s="404"/>
      <c r="D61" s="836">
        <f t="shared" si="19"/>
        <v>32</v>
      </c>
      <c r="E61" s="408">
        <f t="shared" si="29"/>
        <v>901.4026846182084</v>
      </c>
      <c r="F61" s="408">
        <f t="shared" si="20"/>
        <v>0</v>
      </c>
      <c r="G61" s="408">
        <f t="shared" si="21"/>
        <v>185.60542921389026</v>
      </c>
      <c r="H61" s="408">
        <f t="shared" si="22"/>
        <v>461.2827334321176</v>
      </c>
      <c r="I61" s="404">
        <f t="shared" si="23"/>
        <v>1548.2908472642162</v>
      </c>
      <c r="J61" s="408">
        <f t="shared" si="24"/>
        <v>190.9571815304178</v>
      </c>
      <c r="K61" s="408">
        <f t="shared" si="25"/>
        <v>0</v>
      </c>
      <c r="L61" s="408">
        <f t="shared" si="26"/>
        <v>38.500937741224554</v>
      </c>
      <c r="M61" s="408">
        <f t="shared" si="27"/>
        <v>111.04954693736165</v>
      </c>
      <c r="N61" s="408">
        <f t="shared" si="28"/>
        <v>340.507666209004</v>
      </c>
      <c r="O61" s="408">
        <f t="shared" si="30"/>
        <v>1888.7985134732203</v>
      </c>
      <c r="P61" s="405">
        <f t="shared" si="18"/>
        <v>1900.7985134732203</v>
      </c>
      <c r="S61" s="404"/>
      <c r="T61" s="404"/>
    </row>
    <row r="62" spans="1:20" ht="11.25">
      <c r="A62" s="401">
        <v>10</v>
      </c>
      <c r="B62" s="836">
        <v>-20</v>
      </c>
      <c r="C62" s="404"/>
      <c r="D62" s="836">
        <f t="shared" si="19"/>
        <v>32</v>
      </c>
      <c r="E62" s="408">
        <f t="shared" si="29"/>
        <v>938.5237704609866</v>
      </c>
      <c r="F62" s="408">
        <f t="shared" si="20"/>
        <v>0</v>
      </c>
      <c r="G62" s="408">
        <f t="shared" si="21"/>
        <v>193.69334341636494</v>
      </c>
      <c r="H62" s="408">
        <f t="shared" si="22"/>
        <v>473.59887062718434</v>
      </c>
      <c r="I62" s="404">
        <f t="shared" si="23"/>
        <v>1605.815984504536</v>
      </c>
      <c r="J62" s="408">
        <f t="shared" si="24"/>
        <v>198.65736907866273</v>
      </c>
      <c r="K62" s="408">
        <f t="shared" si="25"/>
        <v>0</v>
      </c>
      <c r="L62" s="408">
        <f t="shared" si="26"/>
        <v>40.148833899044384</v>
      </c>
      <c r="M62" s="408">
        <f t="shared" si="27"/>
        <v>114.01454292876659</v>
      </c>
      <c r="N62" s="408">
        <f t="shared" si="28"/>
        <v>352.8207459064737</v>
      </c>
      <c r="O62" s="408">
        <f t="shared" si="30"/>
        <v>1958.6367304110095</v>
      </c>
      <c r="P62" s="405">
        <f t="shared" si="18"/>
        <v>1970.6367304110095</v>
      </c>
      <c r="S62" s="404"/>
      <c r="T62" s="404"/>
    </row>
    <row r="63" spans="1:20" ht="11.25">
      <c r="A63" s="401">
        <v>11</v>
      </c>
      <c r="B63" s="836">
        <v>-20</v>
      </c>
      <c r="C63" s="404"/>
      <c r="D63" s="836">
        <f t="shared" si="19"/>
        <v>32</v>
      </c>
      <c r="E63" s="408">
        <f t="shared" si="29"/>
        <v>977.2624391442597</v>
      </c>
      <c r="F63" s="408">
        <f t="shared" si="20"/>
        <v>0</v>
      </c>
      <c r="G63" s="408">
        <f t="shared" si="21"/>
        <v>202.14988261121667</v>
      </c>
      <c r="H63" s="408">
        <f t="shared" si="22"/>
        <v>487.806836746</v>
      </c>
      <c r="I63" s="404">
        <f t="shared" si="23"/>
        <v>1667.2191585014764</v>
      </c>
      <c r="J63" s="408">
        <f t="shared" si="24"/>
        <v>206.68713585847163</v>
      </c>
      <c r="K63" s="408">
        <f t="shared" si="25"/>
        <v>0</v>
      </c>
      <c r="L63" s="408">
        <f t="shared" si="26"/>
        <v>41.87081034287797</v>
      </c>
      <c r="M63" s="408">
        <f t="shared" si="27"/>
        <v>117.43497921662964</v>
      </c>
      <c r="N63" s="408">
        <f t="shared" si="28"/>
        <v>365.9929254179792</v>
      </c>
      <c r="O63" s="408">
        <f t="shared" si="30"/>
        <v>2033.2120839194556</v>
      </c>
      <c r="P63" s="405">
        <f t="shared" si="18"/>
        <v>2045.2120839194556</v>
      </c>
      <c r="S63" s="404"/>
      <c r="T63" s="404"/>
    </row>
    <row r="64" spans="1:20" ht="11.25">
      <c r="A64" s="401">
        <v>12</v>
      </c>
      <c r="B64" s="836">
        <v>-20</v>
      </c>
      <c r="C64" s="404"/>
      <c r="D64" s="836">
        <f t="shared" si="19"/>
        <v>32</v>
      </c>
      <c r="E64" s="408">
        <f t="shared" si="29"/>
        <v>1017.6924156665029</v>
      </c>
      <c r="F64" s="408">
        <f t="shared" si="20"/>
        <v>0</v>
      </c>
      <c r="G64" s="408">
        <f t="shared" si="21"/>
        <v>210.99240492653212</v>
      </c>
      <c r="H64" s="408">
        <f t="shared" si="22"/>
        <v>502.44104184838</v>
      </c>
      <c r="I64" s="404">
        <f t="shared" si="23"/>
        <v>1731.125862441415</v>
      </c>
      <c r="J64" s="408">
        <f t="shared" si="24"/>
        <v>215.0612979270472</v>
      </c>
      <c r="K64" s="408">
        <f t="shared" si="25"/>
        <v>0</v>
      </c>
      <c r="L64" s="408">
        <f t="shared" si="26"/>
        <v>43.670321651369676</v>
      </c>
      <c r="M64" s="408">
        <f t="shared" si="27"/>
        <v>120.95802859312852</v>
      </c>
      <c r="N64" s="408">
        <f t="shared" si="28"/>
        <v>379.6896481715454</v>
      </c>
      <c r="O64" s="408">
        <f t="shared" si="30"/>
        <v>2110.81551061296</v>
      </c>
      <c r="P64" s="405">
        <f t="shared" si="18"/>
        <v>2122.81551061296</v>
      </c>
      <c r="S64" s="404"/>
      <c r="T64" s="404"/>
    </row>
    <row r="65" spans="1:20" ht="11.25">
      <c r="A65" s="401">
        <v>13</v>
      </c>
      <c r="B65" s="836">
        <v>-20</v>
      </c>
      <c r="C65" s="404"/>
      <c r="D65" s="836">
        <f t="shared" si="19"/>
        <v>32</v>
      </c>
      <c r="E65" s="408">
        <f t="shared" si="29"/>
        <v>1059.8908966518093</v>
      </c>
      <c r="F65" s="408">
        <f t="shared" si="20"/>
        <v>0</v>
      </c>
      <c r="G65" s="408">
        <f t="shared" si="21"/>
        <v>220.23910420315593</v>
      </c>
      <c r="H65" s="408">
        <f t="shared" si="22"/>
        <v>517.5142731038314</v>
      </c>
      <c r="I65" s="404">
        <f t="shared" si="23"/>
        <v>1797.6442739587965</v>
      </c>
      <c r="J65" s="408">
        <f t="shared" si="24"/>
        <v>223.79536225732116</v>
      </c>
      <c r="K65" s="408">
        <f t="shared" si="25"/>
        <v>0</v>
      </c>
      <c r="L65" s="408">
        <f t="shared" si="26"/>
        <v>45.550987649026396</v>
      </c>
      <c r="M65" s="408">
        <f t="shared" si="27"/>
        <v>124.5867694509224</v>
      </c>
      <c r="N65" s="408">
        <f t="shared" si="28"/>
        <v>393.93311935726996</v>
      </c>
      <c r="O65" s="408">
        <f t="shared" si="30"/>
        <v>2191.5773933160663</v>
      </c>
      <c r="P65" s="405">
        <f t="shared" si="18"/>
        <v>2203.5773933160663</v>
      </c>
      <c r="S65" s="404"/>
      <c r="T65" s="404"/>
    </row>
    <row r="66" spans="1:20" ht="11.25">
      <c r="A66" s="401">
        <v>14</v>
      </c>
      <c r="B66" s="836">
        <v>-20</v>
      </c>
      <c r="C66" s="404"/>
      <c r="D66" s="836">
        <f t="shared" si="19"/>
        <v>32</v>
      </c>
      <c r="E66" s="408">
        <f t="shared" si="29"/>
        <v>1103.9387174924407</v>
      </c>
      <c r="F66" s="408">
        <f t="shared" si="20"/>
        <v>0</v>
      </c>
      <c r="G66" s="408">
        <f t="shared" si="21"/>
        <v>229.90905081451982</v>
      </c>
      <c r="H66" s="408">
        <f t="shared" si="22"/>
        <v>533.0397012969464</v>
      </c>
      <c r="I66" s="404">
        <f t="shared" si="23"/>
        <v>1866.887469603907</v>
      </c>
      <c r="J66" s="408">
        <f t="shared" si="24"/>
        <v>232.90555978712644</v>
      </c>
      <c r="K66" s="408">
        <f t="shared" si="25"/>
        <v>0</v>
      </c>
      <c r="L66" s="408">
        <f t="shared" si="26"/>
        <v>47.5166014440186</v>
      </c>
      <c r="M66" s="408">
        <f t="shared" si="27"/>
        <v>128.32437253445005</v>
      </c>
      <c r="N66" s="408">
        <f t="shared" si="28"/>
        <v>408.7465337655951</v>
      </c>
      <c r="O66" s="408">
        <f t="shared" si="30"/>
        <v>2275.634003369502</v>
      </c>
      <c r="P66" s="405">
        <f t="shared" si="18"/>
        <v>2287.634003369502</v>
      </c>
      <c r="S66" s="404"/>
      <c r="T66" s="404"/>
    </row>
    <row r="67" spans="1:20" ht="11.25">
      <c r="A67" s="401">
        <v>15</v>
      </c>
      <c r="B67" s="619">
        <v>-1700</v>
      </c>
      <c r="C67" s="404"/>
      <c r="D67" s="836">
        <f t="shared" si="19"/>
        <v>32</v>
      </c>
      <c r="E67" s="408">
        <f t="shared" si="29"/>
        <v>1149.920527655345</v>
      </c>
      <c r="F67" s="408">
        <f t="shared" si="20"/>
        <v>0</v>
      </c>
      <c r="G67" s="408">
        <f t="shared" si="21"/>
        <v>240.02223449848813</v>
      </c>
      <c r="H67" s="408">
        <f t="shared" si="22"/>
        <v>549.0308923358548</v>
      </c>
      <c r="I67" s="404">
        <f t="shared" si="23"/>
        <v>1938.973654489688</v>
      </c>
      <c r="J67" s="408">
        <f t="shared" si="24"/>
        <v>242.40888007593014</v>
      </c>
      <c r="K67" s="408">
        <f t="shared" si="25"/>
        <v>0</v>
      </c>
      <c r="L67" s="408">
        <f t="shared" si="26"/>
        <v>49.57113786113663</v>
      </c>
      <c r="M67" s="408">
        <f t="shared" si="27"/>
        <v>132.17410371048356</v>
      </c>
      <c r="N67" s="408">
        <f t="shared" si="28"/>
        <v>424.1541216475503</v>
      </c>
      <c r="O67" s="408">
        <f t="shared" si="30"/>
        <v>2363.1277761372385</v>
      </c>
      <c r="P67" s="405">
        <f t="shared" si="18"/>
        <v>695.1277761372385</v>
      </c>
      <c r="S67" s="404"/>
      <c r="T67" s="404"/>
    </row>
    <row r="68" spans="1:20" ht="11.25">
      <c r="A68" s="401">
        <v>16</v>
      </c>
      <c r="B68" s="836">
        <v>-20</v>
      </c>
      <c r="C68" s="404"/>
      <c r="D68" s="836">
        <f t="shared" si="19"/>
        <v>32</v>
      </c>
      <c r="E68" s="408">
        <f t="shared" si="29"/>
        <v>1197.9249745550424</v>
      </c>
      <c r="F68" s="408">
        <f t="shared" si="20"/>
        <v>0</v>
      </c>
      <c r="G68" s="408">
        <f t="shared" si="21"/>
        <v>250.5996093009521</v>
      </c>
      <c r="H68" s="408">
        <f t="shared" si="22"/>
        <v>565.5018191059304</v>
      </c>
      <c r="I68" s="404">
        <f t="shared" si="23"/>
        <v>2014.0264029619248</v>
      </c>
      <c r="J68" s="408">
        <f t="shared" si="24"/>
        <v>252.32310764815745</v>
      </c>
      <c r="K68" s="408">
        <f t="shared" si="25"/>
        <v>0</v>
      </c>
      <c r="L68" s="408">
        <f t="shared" si="26"/>
        <v>51.718762289458084</v>
      </c>
      <c r="M68" s="408">
        <f t="shared" si="27"/>
        <v>136.13932682179808</v>
      </c>
      <c r="N68" s="408">
        <f t="shared" si="28"/>
        <v>440.1811967594136</v>
      </c>
      <c r="O68" s="408">
        <f t="shared" si="30"/>
        <v>2454.2075997213383</v>
      </c>
      <c r="P68" s="405">
        <f t="shared" si="18"/>
        <v>2466.2075997213383</v>
      </c>
      <c r="S68" s="404"/>
      <c r="T68" s="404"/>
    </row>
    <row r="69" spans="1:20" ht="11.25">
      <c r="A69" s="401">
        <v>17</v>
      </c>
      <c r="B69" s="836">
        <v>-20</v>
      </c>
      <c r="C69" s="404"/>
      <c r="D69" s="836">
        <f t="shared" si="19"/>
        <v>32</v>
      </c>
      <c r="E69" s="408">
        <f t="shared" si="29"/>
        <v>1248.0448964152329</v>
      </c>
      <c r="F69" s="408">
        <f t="shared" si="20"/>
        <v>0</v>
      </c>
      <c r="G69" s="408">
        <f t="shared" si="21"/>
        <v>261.6631407358654</v>
      </c>
      <c r="H69" s="408">
        <f t="shared" si="22"/>
        <v>582.4668736791084</v>
      </c>
      <c r="I69" s="404">
        <f t="shared" si="23"/>
        <v>2092.1749108302065</v>
      </c>
      <c r="J69" s="408">
        <f t="shared" si="24"/>
        <v>262.6668601060491</v>
      </c>
      <c r="K69" s="408">
        <f t="shared" si="25"/>
        <v>0</v>
      </c>
      <c r="L69" s="408">
        <f t="shared" si="26"/>
        <v>53.96383996525355</v>
      </c>
      <c r="M69" s="408">
        <f t="shared" si="27"/>
        <v>140.22350662645206</v>
      </c>
      <c r="N69" s="408">
        <f t="shared" si="28"/>
        <v>456.85420669775476</v>
      </c>
      <c r="O69" s="408">
        <f t="shared" si="30"/>
        <v>2549.0291175279613</v>
      </c>
      <c r="P69" s="405">
        <f t="shared" si="18"/>
        <v>2561.0291175279613</v>
      </c>
      <c r="S69" s="404"/>
      <c r="T69" s="404"/>
    </row>
    <row r="70" spans="1:20" ht="11.25">
      <c r="A70" s="401">
        <v>18</v>
      </c>
      <c r="B70" s="836">
        <v>-20</v>
      </c>
      <c r="C70" s="404"/>
      <c r="D70" s="836">
        <f t="shared" si="19"/>
        <v>32</v>
      </c>
      <c r="E70" s="408">
        <f t="shared" si="29"/>
        <v>1300.3775245624063</v>
      </c>
      <c r="F70" s="408">
        <f t="shared" si="20"/>
        <v>0</v>
      </c>
      <c r="G70" s="408">
        <f t="shared" si="21"/>
        <v>273.2358552716205</v>
      </c>
      <c r="H70" s="408">
        <f t="shared" si="22"/>
        <v>599.9408798894816</v>
      </c>
      <c r="I70" s="404">
        <f t="shared" si="23"/>
        <v>2173.5542597235085</v>
      </c>
      <c r="J70" s="408">
        <f t="shared" si="24"/>
        <v>273.45962809909986</v>
      </c>
      <c r="K70" s="408">
        <f t="shared" si="25"/>
        <v>0</v>
      </c>
      <c r="L70" s="408">
        <f t="shared" si="26"/>
        <v>56.31094571167848</v>
      </c>
      <c r="M70" s="408">
        <f t="shared" si="27"/>
        <v>144.43021182524558</v>
      </c>
      <c r="N70" s="408">
        <f t="shared" si="28"/>
        <v>474.2007856360239</v>
      </c>
      <c r="O70" s="408">
        <f t="shared" si="30"/>
        <v>2647.7550453595322</v>
      </c>
      <c r="P70" s="405">
        <f t="shared" si="18"/>
        <v>2659.7550453595322</v>
      </c>
      <c r="S70" s="404"/>
      <c r="T70" s="404"/>
    </row>
    <row r="71" spans="1:20" ht="11.25">
      <c r="A71" s="401">
        <v>19</v>
      </c>
      <c r="B71" s="836">
        <v>-20</v>
      </c>
      <c r="C71" s="404"/>
      <c r="D71" s="836">
        <f t="shared" si="19"/>
        <v>32</v>
      </c>
      <c r="E71" s="408">
        <f t="shared" si="29"/>
        <v>1355.0246956167302</v>
      </c>
      <c r="F71" s="408">
        <f t="shared" si="20"/>
        <v>0</v>
      </c>
      <c r="G71" s="408">
        <f t="shared" si="21"/>
        <v>285.341892259132</v>
      </c>
      <c r="H71" s="408">
        <f t="shared" si="22"/>
        <v>617.9391062861662</v>
      </c>
      <c r="I71" s="404">
        <f t="shared" si="23"/>
        <v>2258.3056941620284</v>
      </c>
      <c r="J71" s="408">
        <f t="shared" si="24"/>
        <v>284.7218172414356</v>
      </c>
      <c r="K71" s="408">
        <f t="shared" si="25"/>
        <v>0</v>
      </c>
      <c r="L71" s="408">
        <f t="shared" si="26"/>
        <v>58.7648741578695</v>
      </c>
      <c r="M71" s="408">
        <f t="shared" si="27"/>
        <v>148.76311818000298</v>
      </c>
      <c r="N71" s="408">
        <f t="shared" si="28"/>
        <v>492.249809579308</v>
      </c>
      <c r="O71" s="408">
        <f t="shared" si="30"/>
        <v>2750.5555037413365</v>
      </c>
      <c r="P71" s="405">
        <f t="shared" si="18"/>
        <v>2762.5555037413365</v>
      </c>
      <c r="S71" s="404"/>
      <c r="T71" s="404"/>
    </row>
    <row r="72" spans="1:20" ht="11.25">
      <c r="A72" s="401">
        <v>20</v>
      </c>
      <c r="B72" s="836">
        <v>-20</v>
      </c>
      <c r="C72" s="404"/>
      <c r="D72" s="836">
        <f t="shared" si="19"/>
        <v>32</v>
      </c>
      <c r="E72" s="408">
        <f t="shared" si="29"/>
        <v>1412.0930740685562</v>
      </c>
      <c r="F72" s="408">
        <f t="shared" si="20"/>
        <v>0</v>
      </c>
      <c r="G72" s="408">
        <f t="shared" si="21"/>
        <v>298.0065584227371</v>
      </c>
      <c r="H72" s="408">
        <f t="shared" si="22"/>
        <v>636.4772794747511</v>
      </c>
      <c r="I72" s="404">
        <f t="shared" si="23"/>
        <v>2346.5769119660445</v>
      </c>
      <c r="J72" s="408">
        <f t="shared" si="24"/>
        <v>296.4747920730095</v>
      </c>
      <c r="K72" s="408">
        <f t="shared" si="25"/>
        <v>0</v>
      </c>
      <c r="L72" s="408">
        <f t="shared" si="26"/>
        <v>61.33065046118829</v>
      </c>
      <c r="M72" s="408">
        <f t="shared" si="27"/>
        <v>153.22601172540305</v>
      </c>
      <c r="N72" s="408">
        <f t="shared" si="28"/>
        <v>511.0314542596008</v>
      </c>
      <c r="O72" s="408">
        <f t="shared" si="30"/>
        <v>2857.608366225645</v>
      </c>
      <c r="P72" s="405">
        <f t="shared" si="18"/>
        <v>2869.608366225645</v>
      </c>
      <c r="S72" s="404"/>
      <c r="T72" s="404"/>
    </row>
    <row r="73" spans="1:20" ht="11.25">
      <c r="A73" s="401">
        <v>21</v>
      </c>
      <c r="B73" s="836">
        <v>-20</v>
      </c>
      <c r="C73" s="404"/>
      <c r="D73" s="836">
        <f t="shared" si="19"/>
        <v>32</v>
      </c>
      <c r="E73" s="408">
        <f t="shared" si="29"/>
        <v>1471.694385753104</v>
      </c>
      <c r="F73" s="408">
        <f t="shared" si="20"/>
        <v>0</v>
      </c>
      <c r="G73" s="408">
        <f t="shared" si="21"/>
        <v>311.256385041042</v>
      </c>
      <c r="H73" s="408">
        <f t="shared" si="22"/>
        <v>655.5715978589938</v>
      </c>
      <c r="I73" s="404">
        <f t="shared" si="23"/>
        <v>2438.52236865314</v>
      </c>
      <c r="J73" s="408">
        <f t="shared" si="24"/>
        <v>308.7409221652471</v>
      </c>
      <c r="K73" s="408">
        <f t="shared" si="25"/>
        <v>0</v>
      </c>
      <c r="L73" s="408">
        <f t="shared" si="26"/>
        <v>64.0135415575358</v>
      </c>
      <c r="M73" s="408">
        <f t="shared" si="27"/>
        <v>157.82279207716516</v>
      </c>
      <c r="N73" s="408">
        <f t="shared" si="28"/>
        <v>530.577255799948</v>
      </c>
      <c r="O73" s="408">
        <f t="shared" si="30"/>
        <v>2969.099624453088</v>
      </c>
      <c r="P73" s="405">
        <f t="shared" si="18"/>
        <v>2981.099624453088</v>
      </c>
      <c r="S73" s="404"/>
      <c r="T73" s="404"/>
    </row>
    <row r="74" spans="1:20" ht="11.25">
      <c r="A74" s="401">
        <v>22</v>
      </c>
      <c r="B74" s="836">
        <v>-20</v>
      </c>
      <c r="C74" s="404"/>
      <c r="D74" s="836">
        <f t="shared" si="19"/>
        <v>32</v>
      </c>
      <c r="E74" s="408">
        <f t="shared" si="29"/>
        <v>1533.9456627613126</v>
      </c>
      <c r="F74" s="408">
        <f t="shared" si="20"/>
        <v>0</v>
      </c>
      <c r="G74" s="408">
        <f t="shared" si="21"/>
        <v>325.119187951177</v>
      </c>
      <c r="H74" s="408">
        <f t="shared" si="22"/>
        <v>675.2387457947634</v>
      </c>
      <c r="I74" s="404">
        <f t="shared" si="23"/>
        <v>2534.303596507253</v>
      </c>
      <c r="J74" s="408">
        <f t="shared" si="24"/>
        <v>321.5436304767543</v>
      </c>
      <c r="K74" s="408">
        <f t="shared" si="25"/>
        <v>0</v>
      </c>
      <c r="L74" s="408">
        <f t="shared" si="26"/>
        <v>66.81906796589931</v>
      </c>
      <c r="M74" s="408">
        <f t="shared" si="27"/>
        <v>162.5574758394801</v>
      </c>
      <c r="N74" s="408">
        <f t="shared" si="28"/>
        <v>550.9201742821338</v>
      </c>
      <c r="O74" s="408">
        <f t="shared" si="30"/>
        <v>3085.223770789387</v>
      </c>
      <c r="P74" s="405">
        <f t="shared" si="18"/>
        <v>3097.223770789387</v>
      </c>
      <c r="S74" s="404"/>
      <c r="T74" s="404"/>
    </row>
    <row r="75" spans="1:20" ht="11.25">
      <c r="A75" s="401">
        <v>23</v>
      </c>
      <c r="B75" s="836">
        <v>-20</v>
      </c>
      <c r="C75" s="408"/>
      <c r="D75" s="836">
        <f t="shared" si="19"/>
        <v>32</v>
      </c>
      <c r="E75" s="408">
        <f t="shared" si="29"/>
        <v>1598.9695003515485</v>
      </c>
      <c r="F75" s="408">
        <f t="shared" si="20"/>
        <v>0</v>
      </c>
      <c r="G75" s="408">
        <f t="shared" si="21"/>
        <v>339.6241305165614</v>
      </c>
      <c r="H75" s="408">
        <f t="shared" si="22"/>
        <v>695.4959081686065</v>
      </c>
      <c r="I75" s="404">
        <f t="shared" si="23"/>
        <v>2634.0895390367164</v>
      </c>
      <c r="J75" s="408">
        <f t="shared" si="24"/>
        <v>334.9074440699342</v>
      </c>
      <c r="K75" s="408">
        <f t="shared" si="25"/>
        <v>0</v>
      </c>
      <c r="L75" s="408">
        <f t="shared" si="26"/>
        <v>69.7530161745956</v>
      </c>
      <c r="M75" s="408">
        <f t="shared" si="27"/>
        <v>167.43420011466455</v>
      </c>
      <c r="N75" s="408">
        <f t="shared" si="28"/>
        <v>572.0946603591943</v>
      </c>
      <c r="O75" s="408">
        <f t="shared" si="30"/>
        <v>3206.1841993959106</v>
      </c>
      <c r="P75" s="405">
        <f>B75+C75+D75+O75</f>
        <v>3218.1841993959106</v>
      </c>
      <c r="S75" s="404"/>
      <c r="T75" s="404"/>
    </row>
    <row r="76" spans="1:20" ht="11.25">
      <c r="A76" s="401">
        <v>24</v>
      </c>
      <c r="B76" s="836">
        <v>-20</v>
      </c>
      <c r="C76" s="408"/>
      <c r="D76" s="836">
        <f>D75</f>
        <v>32</v>
      </c>
      <c r="E76" s="408">
        <f>(((B43*($P$4-$P$5)+(C43*($P$6-$P$7)))*$G$17*$E$6))*$P$8/1000000</f>
        <v>1666.8943264548607</v>
      </c>
      <c r="F76" s="408">
        <f>(((D43*($P$4-$P$5)+(E43*($P$6-$P$7)))*$G$17*$E$6))*$P$8/1000000</f>
        <v>0</v>
      </c>
      <c r="G76" s="408">
        <f>0.5*(((F43*($P$4-$P$5)+(G43*($P$6-$P$7)))*$G$17*$E$6))*$P$8/1000000</f>
        <v>354.8017897052497</v>
      </c>
      <c r="H76" s="408">
        <f>(((H43*($P$4-$P$5)+(I43*($P$6-$P$7)))*$G$17*$E$6))*$P$8/1000000</f>
        <v>716.3607854136646</v>
      </c>
      <c r="I76" s="404">
        <f>E76+F76+G76+H76</f>
        <v>2738.0569015737747</v>
      </c>
      <c r="J76" s="408">
        <f>(((K43*($P$4-$P$5)+(L43*($P$6-$P$7)))*$Q$17*$E$6))*$P$8/1000000</f>
        <v>348.8580473048533</v>
      </c>
      <c r="K76" s="408">
        <f>(((M43*($P$4-$P$5)+(N43*($P$6-$P$7)))*$Q$17*$E$6))*$P$8/1000000</f>
        <v>0</v>
      </c>
      <c r="L76" s="408">
        <f>0.5*(((O43*($P$4-$P$5)+(P43*($P$6-$P$7)))*$Q$17*$E$6))*$P$8/1000000</f>
        <v>72.82145163803874</v>
      </c>
      <c r="M76" s="408">
        <f>(((Q43*($P$4-$P$5)+(R43*($P$6-$P$7)))*$Q$17*$E$6))*$P$8/1000000</f>
        <v>172.4572261181045</v>
      </c>
      <c r="N76" s="408">
        <f>J76+K76+L76+M76</f>
        <v>594.1367250609966</v>
      </c>
      <c r="O76" s="408">
        <f>I76+N76</f>
        <v>3332.193626634771</v>
      </c>
      <c r="P76" s="405">
        <f>B76+C76+D76+O76</f>
        <v>3344.193626634771</v>
      </c>
      <c r="S76" s="404"/>
      <c r="T76" s="404"/>
    </row>
    <row r="77" spans="1:20" ht="11.25">
      <c r="A77" s="401">
        <v>25</v>
      </c>
      <c r="B77" s="836">
        <v>-20</v>
      </c>
      <c r="C77" s="408"/>
      <c r="D77" s="836">
        <f>D76</f>
        <v>32</v>
      </c>
      <c r="E77" s="408">
        <f>(((B44*($P$4-$P$5)+(C44*($P$6-$P$7)))*$G$17*$E$6))*$P$8/1000000</f>
        <v>1737.8546843959105</v>
      </c>
      <c r="F77" s="408">
        <f>(((D44*($P$4-$P$5)+(E44*($P$6-$P$7)))*$G$17*$E$6))*$P$8/1000000</f>
        <v>0</v>
      </c>
      <c r="G77" s="408">
        <f>0.5*(((F44*($P$4-$P$5)+(G44*($P$6-$P$7)))*$G$17*$E$6))*$P$8/1000000</f>
        <v>370.68422543325835</v>
      </c>
      <c r="H77" s="408">
        <f>(((H44*($P$4-$P$5)+(I44*($P$6-$P$7)))*$G$17*$E$6))*$P$8/1000000</f>
        <v>737.8516089760747</v>
      </c>
      <c r="I77" s="404">
        <f>E77+F77+G77+H77</f>
        <v>2846.3905188052436</v>
      </c>
      <c r="J77" s="408">
        <f>(((K44*($P$4-$P$5)+(L44*($P$6-$P$7)))*$Q$17*$E$6))*$P$8/1000000</f>
        <v>363.42233763246105</v>
      </c>
      <c r="K77" s="408">
        <f>(((M44*($P$4-$P$5)+(N44*($P$6-$P$7)))*$Q$17*$E$6))*$P$8/1000000</f>
        <v>0</v>
      </c>
      <c r="L77" s="408">
        <f>0.5*(((O44*($P$4-$P$5)+(P44*($P$6-$P$7)))*$Q$17*$E$6))*$P$8/1000000</f>
        <v>76.03073241429544</v>
      </c>
      <c r="M77" s="408">
        <f>(((Q44*($P$4-$P$5)+(R44*($P$6-$P$7)))*$Q$17*$E$6))*$P$8/1000000</f>
        <v>177.6309429016476</v>
      </c>
      <c r="N77" s="408">
        <f>J77+K77+L77+M77</f>
        <v>617.084012948404</v>
      </c>
      <c r="O77" s="408">
        <f>I77+N77</f>
        <v>3463.4745317536476</v>
      </c>
      <c r="P77" s="405">
        <f>B77+C77+D77+O77</f>
        <v>3475.4745317536476</v>
      </c>
      <c r="S77" s="404"/>
      <c r="T77" s="404"/>
    </row>
    <row r="78" spans="1:18" ht="11.25">
      <c r="A78" s="403" t="s">
        <v>717</v>
      </c>
      <c r="B78" s="621">
        <f>SUM(B53:B77)</f>
        <v>-19428.164000000004</v>
      </c>
      <c r="C78" s="405">
        <f aca="true" t="shared" si="31" ref="C78:P78">SUM(C53:C77)</f>
        <v>0</v>
      </c>
      <c r="D78" s="405">
        <f t="shared" si="31"/>
        <v>800</v>
      </c>
      <c r="E78" s="405">
        <f t="shared" si="31"/>
        <v>25673.5117947404</v>
      </c>
      <c r="F78" s="405">
        <f t="shared" si="31"/>
        <v>0</v>
      </c>
      <c r="G78" s="405">
        <f t="shared" si="31"/>
        <v>5371.436808678364</v>
      </c>
      <c r="H78" s="405">
        <f t="shared" si="31"/>
        <v>11351.333182346556</v>
      </c>
      <c r="I78" s="405">
        <f t="shared" si="31"/>
        <v>42396.28178576531</v>
      </c>
      <c r="J78" s="405">
        <f t="shared" si="31"/>
        <v>5407.453225905365</v>
      </c>
      <c r="K78" s="405">
        <f t="shared" si="31"/>
        <v>0</v>
      </c>
      <c r="L78" s="405">
        <f t="shared" si="31"/>
        <v>1108.5130031797564</v>
      </c>
      <c r="M78" s="405">
        <f t="shared" si="31"/>
        <v>2732.7283587130605</v>
      </c>
      <c r="N78" s="405">
        <f t="shared" si="31"/>
        <v>9248.694587798182</v>
      </c>
      <c r="O78" s="405">
        <f t="shared" si="31"/>
        <v>51644.9763735635</v>
      </c>
      <c r="P78" s="405">
        <f t="shared" si="31"/>
        <v>33016.8123735635</v>
      </c>
      <c r="R78" s="404"/>
    </row>
    <row r="79" ht="11.25"/>
    <row r="80" spans="3:15" ht="11.25">
      <c r="C80" s="409"/>
      <c r="G80" s="409"/>
      <c r="N80" s="400" t="s">
        <v>421</v>
      </c>
      <c r="O80" s="410">
        <f>IRR(P53:P77)</f>
        <v>0.0890991249811063</v>
      </c>
    </row>
    <row r="81" spans="14:15" ht="11.25">
      <c r="N81" s="394" t="s">
        <v>888</v>
      </c>
      <c r="O81" s="410">
        <f>IRR(P53:P72)</f>
        <v>0.06927303661953076</v>
      </c>
    </row>
    <row r="82" ht="12.75">
      <c r="A82" s="9" t="s">
        <v>862</v>
      </c>
    </row>
    <row r="84" spans="2:16" ht="11.25">
      <c r="B84" s="394" t="str">
        <f aca="true" t="shared" si="32" ref="B84:C86">B49</f>
        <v>Project</v>
      </c>
      <c r="C84" s="394" t="str">
        <f t="shared" si="32"/>
        <v>Price</v>
      </c>
      <c r="D84" s="394" t="str">
        <f aca="true" t="shared" si="33" ref="D84:E86">D49</f>
        <v>Existing</v>
      </c>
      <c r="E84" s="394" t="str">
        <f t="shared" si="33"/>
        <v>Niono - Diabaly VOC &amp; Time Savings</v>
      </c>
      <c r="J84" s="394" t="str">
        <f>J49</f>
        <v>Diabaly - Goma Coura VOC &amp; Time Savings</v>
      </c>
      <c r="O84" s="394" t="str">
        <f aca="true" t="shared" si="34" ref="O84:P86">O49</f>
        <v>Total</v>
      </c>
      <c r="P84" s="403" t="str">
        <f t="shared" si="34"/>
        <v>Total</v>
      </c>
    </row>
    <row r="85" spans="2:16" ht="11.25">
      <c r="B85" s="394" t="str">
        <f t="shared" si="32"/>
        <v>Con/Main</v>
      </c>
      <c r="C85" s="394" t="str">
        <f>C50</f>
        <v>Contingency</v>
      </c>
      <c r="D85" s="394" t="str">
        <f t="shared" si="33"/>
        <v>Maint.</v>
      </c>
      <c r="E85" s="394" t="str">
        <f t="shared" si="33"/>
        <v>Normal</v>
      </c>
      <c r="F85" s="394" t="str">
        <f aca="true" t="shared" si="35" ref="F85:I86">F50</f>
        <v>Diverted</v>
      </c>
      <c r="G85" s="394" t="str">
        <f t="shared" si="35"/>
        <v>Generated</v>
      </c>
      <c r="H85" s="394" t="str">
        <f t="shared" si="35"/>
        <v>AIP</v>
      </c>
      <c r="I85" s="394" t="str">
        <f t="shared" si="35"/>
        <v>Total</v>
      </c>
      <c r="J85" s="394" t="str">
        <f>J50</f>
        <v>Normal</v>
      </c>
      <c r="K85" s="394" t="str">
        <f aca="true" t="shared" si="36" ref="K85:N86">K50</f>
        <v>Diverted</v>
      </c>
      <c r="L85" s="394" t="str">
        <f t="shared" si="36"/>
        <v>Generated</v>
      </c>
      <c r="M85" s="394" t="str">
        <f t="shared" si="36"/>
        <v>AIP</v>
      </c>
      <c r="N85" s="394" t="str">
        <f t="shared" si="36"/>
        <v>Total</v>
      </c>
      <c r="O85" s="394" t="str">
        <f t="shared" si="34"/>
        <v>VOC/Time</v>
      </c>
      <c r="P85" s="403" t="str">
        <f t="shared" si="34"/>
        <v>Net</v>
      </c>
    </row>
    <row r="86" spans="2:16" ht="11.25">
      <c r="B86" s="394" t="str">
        <f t="shared" si="32"/>
        <v>Cost</v>
      </c>
      <c r="D86" s="394" t="str">
        <f t="shared" si="33"/>
        <v>Spending</v>
      </c>
      <c r="E86" s="394" t="str">
        <f t="shared" si="33"/>
        <v>Traffic</v>
      </c>
      <c r="F86" s="394" t="str">
        <f t="shared" si="35"/>
        <v>Traffic</v>
      </c>
      <c r="G86" s="394" t="str">
        <f t="shared" si="35"/>
        <v>Traffic</v>
      </c>
      <c r="H86" s="394" t="str">
        <f t="shared" si="35"/>
        <v>Traffic</v>
      </c>
      <c r="I86" s="394" t="str">
        <f t="shared" si="35"/>
        <v>Traffic</v>
      </c>
      <c r="J86" s="394" t="str">
        <f>J51</f>
        <v>Traffic</v>
      </c>
      <c r="K86" s="394" t="str">
        <f t="shared" si="36"/>
        <v>Traffic</v>
      </c>
      <c r="L86" s="394" t="str">
        <f t="shared" si="36"/>
        <v>Traffic</v>
      </c>
      <c r="M86" s="394" t="str">
        <f t="shared" si="36"/>
        <v>Traffic</v>
      </c>
      <c r="N86" s="394" t="str">
        <f t="shared" si="36"/>
        <v>Traffic</v>
      </c>
      <c r="O86" s="394" t="str">
        <f t="shared" si="34"/>
        <v>Savings</v>
      </c>
      <c r="P86" s="403" t="str">
        <f t="shared" si="34"/>
        <v>Benefits</v>
      </c>
    </row>
    <row r="87" spans="1:16" ht="11.25">
      <c r="A87" s="394" t="str">
        <f aca="true" t="shared" si="37" ref="A87:A113">A52</f>
        <v>Year</v>
      </c>
      <c r="P87" s="403"/>
    </row>
    <row r="88" spans="1:16" ht="11.25">
      <c r="A88" s="394">
        <f t="shared" si="37"/>
        <v>1</v>
      </c>
      <c r="B88" s="620">
        <f aca="true" t="shared" si="38" ref="B88:O88">B53*1000000/$G$120</f>
        <v>-8190615.384615385</v>
      </c>
      <c r="C88" s="406">
        <f t="shared" si="38"/>
        <v>0</v>
      </c>
      <c r="D88" s="406">
        <f t="shared" si="38"/>
        <v>61538.46153846154</v>
      </c>
      <c r="E88" s="406">
        <f t="shared" si="38"/>
        <v>0</v>
      </c>
      <c r="F88" s="406">
        <f t="shared" si="38"/>
        <v>0</v>
      </c>
      <c r="G88" s="406">
        <f t="shared" si="38"/>
        <v>0</v>
      </c>
      <c r="H88" s="406">
        <f t="shared" si="38"/>
        <v>0</v>
      </c>
      <c r="I88" s="406">
        <f t="shared" si="38"/>
        <v>0</v>
      </c>
      <c r="J88" s="406">
        <f t="shared" si="38"/>
        <v>0</v>
      </c>
      <c r="K88" s="406">
        <f t="shared" si="38"/>
        <v>0</v>
      </c>
      <c r="L88" s="406">
        <f t="shared" si="38"/>
        <v>0</v>
      </c>
      <c r="M88" s="406">
        <f t="shared" si="38"/>
        <v>0</v>
      </c>
      <c r="N88" s="406">
        <f t="shared" si="38"/>
        <v>0</v>
      </c>
      <c r="O88" s="406">
        <f t="shared" si="38"/>
        <v>0</v>
      </c>
      <c r="P88" s="411">
        <f>P53*1000000/$G$120</f>
        <v>-8129076.923076923</v>
      </c>
    </row>
    <row r="89" spans="1:16" ht="11.25">
      <c r="A89" s="394">
        <f t="shared" si="37"/>
        <v>2</v>
      </c>
      <c r="B89" s="620">
        <f aca="true" t="shared" si="39" ref="B89:P89">B54*1000000/$G$120</f>
        <v>-16476134.615384616</v>
      </c>
      <c r="C89" s="406">
        <f t="shared" si="39"/>
        <v>0</v>
      </c>
      <c r="D89" s="406">
        <f t="shared" si="39"/>
        <v>61538.46153846154</v>
      </c>
      <c r="E89" s="406">
        <f t="shared" si="39"/>
        <v>0</v>
      </c>
      <c r="F89" s="406">
        <f t="shared" si="39"/>
        <v>0</v>
      </c>
      <c r="G89" s="406">
        <f t="shared" si="39"/>
        <v>0</v>
      </c>
      <c r="H89" s="406">
        <f t="shared" si="39"/>
        <v>0</v>
      </c>
      <c r="I89" s="406">
        <f t="shared" si="39"/>
        <v>0</v>
      </c>
      <c r="J89" s="406">
        <f t="shared" si="39"/>
        <v>0</v>
      </c>
      <c r="K89" s="406">
        <f t="shared" si="39"/>
        <v>0</v>
      </c>
      <c r="L89" s="406">
        <f t="shared" si="39"/>
        <v>0</v>
      </c>
      <c r="M89" s="406">
        <f t="shared" si="39"/>
        <v>0</v>
      </c>
      <c r="N89" s="406">
        <f t="shared" si="39"/>
        <v>0</v>
      </c>
      <c r="O89" s="406">
        <f t="shared" si="39"/>
        <v>0</v>
      </c>
      <c r="P89" s="411">
        <f t="shared" si="39"/>
        <v>-16414596.153846154</v>
      </c>
    </row>
    <row r="90" spans="1:16" ht="11.25">
      <c r="A90" s="394">
        <f t="shared" si="37"/>
        <v>3</v>
      </c>
      <c r="B90" s="620">
        <f aca="true" t="shared" si="40" ref="B90:P90">B55*1000000/$G$120</f>
        <v>-8505442.307692308</v>
      </c>
      <c r="C90" s="406">
        <f t="shared" si="40"/>
        <v>0</v>
      </c>
      <c r="D90" s="406">
        <f t="shared" si="40"/>
        <v>61538.46153846154</v>
      </c>
      <c r="E90" s="406">
        <f t="shared" si="40"/>
        <v>0</v>
      </c>
      <c r="F90" s="406">
        <f t="shared" si="40"/>
        <v>0</v>
      </c>
      <c r="G90" s="406">
        <f t="shared" si="40"/>
        <v>0</v>
      </c>
      <c r="H90" s="406">
        <f t="shared" si="40"/>
        <v>0</v>
      </c>
      <c r="I90" s="406">
        <f t="shared" si="40"/>
        <v>0</v>
      </c>
      <c r="J90" s="406">
        <f t="shared" si="40"/>
        <v>0</v>
      </c>
      <c r="K90" s="406">
        <f t="shared" si="40"/>
        <v>0</v>
      </c>
      <c r="L90" s="406">
        <f t="shared" si="40"/>
        <v>0</v>
      </c>
      <c r="M90" s="406">
        <f t="shared" si="40"/>
        <v>0</v>
      </c>
      <c r="N90" s="406">
        <f t="shared" si="40"/>
        <v>0</v>
      </c>
      <c r="O90" s="406">
        <f t="shared" si="40"/>
        <v>0</v>
      </c>
      <c r="P90" s="411">
        <f t="shared" si="40"/>
        <v>-8443903.846153846</v>
      </c>
    </row>
    <row r="91" spans="1:16" ht="11.25">
      <c r="A91" s="394">
        <f t="shared" si="37"/>
        <v>4</v>
      </c>
      <c r="B91" s="620">
        <f aca="true" t="shared" si="41" ref="B91:P91">B56*1000000/$G$120</f>
        <v>-94830.76923076923</v>
      </c>
      <c r="C91" s="406">
        <f t="shared" si="41"/>
        <v>0</v>
      </c>
      <c r="D91" s="406">
        <f t="shared" si="41"/>
        <v>61538.46153846154</v>
      </c>
      <c r="E91" s="406">
        <f t="shared" si="41"/>
        <v>1418661.8610517082</v>
      </c>
      <c r="F91" s="406">
        <f t="shared" si="41"/>
        <v>0</v>
      </c>
      <c r="G91" s="406">
        <f t="shared" si="41"/>
        <v>288733.5521177562</v>
      </c>
      <c r="H91" s="406">
        <f t="shared" si="41"/>
        <v>160395.17746193646</v>
      </c>
      <c r="I91" s="406">
        <f t="shared" si="41"/>
        <v>1867790.590631401</v>
      </c>
      <c r="J91" s="406">
        <f t="shared" si="41"/>
        <v>301780.5451526321</v>
      </c>
      <c r="K91" s="406">
        <f t="shared" si="41"/>
        <v>0</v>
      </c>
      <c r="L91" s="406">
        <f t="shared" si="41"/>
        <v>60119.96618289481</v>
      </c>
      <c r="M91" s="406">
        <f t="shared" si="41"/>
        <v>38613.65383342914</v>
      </c>
      <c r="N91" s="406">
        <f t="shared" si="41"/>
        <v>400514.16516895604</v>
      </c>
      <c r="O91" s="406">
        <f t="shared" si="41"/>
        <v>2268304.755800357</v>
      </c>
      <c r="P91" s="411">
        <f t="shared" si="41"/>
        <v>2235012.4481080496</v>
      </c>
    </row>
    <row r="92" spans="1:16" ht="11.25">
      <c r="A92" s="394">
        <f t="shared" si="37"/>
        <v>5</v>
      </c>
      <c r="B92" s="620">
        <f aca="true" t="shared" si="42" ref="B92:P92">B57*1000000/$G$120</f>
        <v>-94830.76923076923</v>
      </c>
      <c r="C92" s="406">
        <f t="shared" si="42"/>
        <v>0</v>
      </c>
      <c r="D92" s="406">
        <f t="shared" si="42"/>
        <v>61538.46153846154</v>
      </c>
      <c r="E92" s="406">
        <f t="shared" si="42"/>
        <v>1476408.5714752597</v>
      </c>
      <c r="F92" s="406">
        <f t="shared" si="42"/>
        <v>0</v>
      </c>
      <c r="G92" s="406">
        <f t="shared" si="42"/>
        <v>301192.2723292889</v>
      </c>
      <c r="H92" s="406">
        <f t="shared" si="42"/>
        <v>360385.546052827</v>
      </c>
      <c r="I92" s="406">
        <f t="shared" si="42"/>
        <v>2137986.3898573755</v>
      </c>
      <c r="J92" s="406">
        <f t="shared" si="42"/>
        <v>313804.53838921105</v>
      </c>
      <c r="K92" s="406">
        <f t="shared" si="42"/>
        <v>0</v>
      </c>
      <c r="L92" s="406">
        <f t="shared" si="42"/>
        <v>62666.20938888165</v>
      </c>
      <c r="M92" s="406">
        <f t="shared" si="42"/>
        <v>86759.48330901391</v>
      </c>
      <c r="N92" s="406">
        <f t="shared" si="42"/>
        <v>463230.23108710663</v>
      </c>
      <c r="O92" s="406">
        <f t="shared" si="42"/>
        <v>2601216.6209444823</v>
      </c>
      <c r="P92" s="411">
        <f t="shared" si="42"/>
        <v>2567924.3132521743</v>
      </c>
    </row>
    <row r="93" spans="1:16" ht="11.25">
      <c r="A93" s="394">
        <f t="shared" si="37"/>
        <v>6</v>
      </c>
      <c r="B93" s="620">
        <f aca="true" t="shared" si="43" ref="B93:P93">B58*1000000/$G$120</f>
        <v>-38461.53846153846</v>
      </c>
      <c r="C93" s="406">
        <f t="shared" si="43"/>
        <v>0</v>
      </c>
      <c r="D93" s="406">
        <f t="shared" si="43"/>
        <v>61538.46153846154</v>
      </c>
      <c r="E93" s="406">
        <f t="shared" si="43"/>
        <v>1536647.0259411174</v>
      </c>
      <c r="F93" s="406">
        <f t="shared" si="43"/>
        <v>0</v>
      </c>
      <c r="G93" s="406">
        <f t="shared" si="43"/>
        <v>314214.5898295677</v>
      </c>
      <c r="H93" s="406">
        <f t="shared" si="43"/>
        <v>520719.8889155662</v>
      </c>
      <c r="I93" s="406">
        <f t="shared" si="43"/>
        <v>2371581.5046862513</v>
      </c>
      <c r="J93" s="406">
        <f t="shared" si="43"/>
        <v>326337.78026698733</v>
      </c>
      <c r="K93" s="406">
        <f t="shared" si="43"/>
        <v>0</v>
      </c>
      <c r="L93" s="406">
        <f t="shared" si="43"/>
        <v>65325.97210207311</v>
      </c>
      <c r="M93" s="406">
        <f t="shared" si="43"/>
        <v>125358.49177596965</v>
      </c>
      <c r="N93" s="406">
        <f t="shared" si="43"/>
        <v>517022.2441450302</v>
      </c>
      <c r="O93" s="406">
        <f t="shared" si="43"/>
        <v>2888603.748831282</v>
      </c>
      <c r="P93" s="411">
        <f t="shared" si="43"/>
        <v>2911680.671908205</v>
      </c>
    </row>
    <row r="94" spans="1:16" ht="11.25">
      <c r="A94" s="394">
        <f t="shared" si="37"/>
        <v>7</v>
      </c>
      <c r="B94" s="620">
        <f aca="true" t="shared" si="44" ref="B94:P94">B59*1000000/$G$120</f>
        <v>-38461.53846153846</v>
      </c>
      <c r="C94" s="406">
        <f t="shared" si="44"/>
        <v>0</v>
      </c>
      <c r="D94" s="406">
        <f t="shared" si="44"/>
        <v>61538.46153846154</v>
      </c>
      <c r="E94" s="406">
        <f t="shared" si="44"/>
        <v>1599489.943907031</v>
      </c>
      <c r="F94" s="406">
        <f t="shared" si="44"/>
        <v>0</v>
      </c>
      <c r="G94" s="406">
        <f t="shared" si="44"/>
        <v>327826.90432137466</v>
      </c>
      <c r="H94" s="406">
        <f t="shared" si="44"/>
        <v>719506.1462042765</v>
      </c>
      <c r="I94" s="406">
        <f t="shared" si="44"/>
        <v>2646822.994432682</v>
      </c>
      <c r="J94" s="406">
        <f t="shared" si="44"/>
        <v>339402.974687402</v>
      </c>
      <c r="K94" s="406">
        <f t="shared" si="44"/>
        <v>0</v>
      </c>
      <c r="L94" s="406">
        <f t="shared" si="44"/>
        <v>68104.51651823656</v>
      </c>
      <c r="M94" s="406">
        <f t="shared" si="44"/>
        <v>173214.44260473322</v>
      </c>
      <c r="N94" s="406">
        <f t="shared" si="44"/>
        <v>580721.9338103718</v>
      </c>
      <c r="O94" s="406">
        <f t="shared" si="44"/>
        <v>3227544.928243054</v>
      </c>
      <c r="P94" s="411">
        <f t="shared" si="44"/>
        <v>3250621.851319977</v>
      </c>
    </row>
    <row r="95" spans="1:16" ht="11.25">
      <c r="A95" s="394">
        <f t="shared" si="37"/>
        <v>8</v>
      </c>
      <c r="B95" s="620">
        <f aca="true" t="shared" si="45" ref="B95:P95">B60*1000000/$G$120</f>
        <v>-38461.53846153846</v>
      </c>
      <c r="C95" s="406">
        <f t="shared" si="45"/>
        <v>0</v>
      </c>
      <c r="D95" s="406">
        <f t="shared" si="45"/>
        <v>61538.46153846154</v>
      </c>
      <c r="E95" s="406">
        <f t="shared" si="45"/>
        <v>1665055.3247713062</v>
      </c>
      <c r="F95" s="406">
        <f t="shared" si="45"/>
        <v>0</v>
      </c>
      <c r="G95" s="406">
        <f t="shared" si="45"/>
        <v>342056.88208778197</v>
      </c>
      <c r="H95" s="406">
        <f t="shared" si="45"/>
        <v>823174.4496513589</v>
      </c>
      <c r="I95" s="406">
        <f t="shared" si="45"/>
        <v>2830286.656510447</v>
      </c>
      <c r="J95" s="406">
        <f t="shared" si="45"/>
        <v>353023.8779910493</v>
      </c>
      <c r="K95" s="406">
        <f t="shared" si="45"/>
        <v>0</v>
      </c>
      <c r="L95" s="406">
        <f t="shared" si="45"/>
        <v>71007.35552953997</v>
      </c>
      <c r="M95" s="406">
        <f t="shared" si="45"/>
        <v>198171.62676791975</v>
      </c>
      <c r="N95" s="406">
        <f t="shared" si="45"/>
        <v>622202.860288509</v>
      </c>
      <c r="O95" s="406">
        <f t="shared" si="45"/>
        <v>3452489.5167989563</v>
      </c>
      <c r="P95" s="411">
        <f t="shared" si="45"/>
        <v>3475566.4398758793</v>
      </c>
    </row>
    <row r="96" spans="1:16" ht="11.25">
      <c r="A96" s="394">
        <f t="shared" si="37"/>
        <v>9</v>
      </c>
      <c r="B96" s="620">
        <f aca="true" t="shared" si="46" ref="B96:P96">B61*1000000/$G$120</f>
        <v>-38461.53846153846</v>
      </c>
      <c r="C96" s="406">
        <f t="shared" si="46"/>
        <v>0</v>
      </c>
      <c r="D96" s="406">
        <f t="shared" si="46"/>
        <v>61538.46153846154</v>
      </c>
      <c r="E96" s="406">
        <f t="shared" si="46"/>
        <v>1733466.7011888623</v>
      </c>
      <c r="F96" s="406">
        <f t="shared" si="46"/>
        <v>0</v>
      </c>
      <c r="G96" s="406">
        <f t="shared" si="46"/>
        <v>356933.5177190197</v>
      </c>
      <c r="H96" s="406">
        <f t="shared" si="46"/>
        <v>887082.1796771492</v>
      </c>
      <c r="I96" s="406">
        <f t="shared" si="46"/>
        <v>2977482.3985850313</v>
      </c>
      <c r="J96" s="406">
        <f t="shared" si="46"/>
        <v>367225.3490969573</v>
      </c>
      <c r="K96" s="406">
        <f t="shared" si="46"/>
        <v>0</v>
      </c>
      <c r="L96" s="406">
        <f t="shared" si="46"/>
        <v>74040.2648869703</v>
      </c>
      <c r="M96" s="406">
        <f t="shared" si="46"/>
        <v>213556.8210333878</v>
      </c>
      <c r="N96" s="406">
        <f t="shared" si="46"/>
        <v>654822.4350173153</v>
      </c>
      <c r="O96" s="406">
        <f t="shared" si="46"/>
        <v>3632304.833602347</v>
      </c>
      <c r="P96" s="411">
        <f t="shared" si="46"/>
        <v>3655381.75667927</v>
      </c>
    </row>
    <row r="97" spans="1:16" ht="11.25">
      <c r="A97" s="394">
        <f t="shared" si="37"/>
        <v>10</v>
      </c>
      <c r="B97" s="620">
        <f aca="true" t="shared" si="47" ref="B97:P97">B62*1000000/$G$120</f>
        <v>-38461.53846153846</v>
      </c>
      <c r="C97" s="406">
        <f t="shared" si="47"/>
        <v>0</v>
      </c>
      <c r="D97" s="406">
        <f t="shared" si="47"/>
        <v>61538.46153846154</v>
      </c>
      <c r="E97" s="406">
        <f t="shared" si="47"/>
        <v>1804853.4047326667</v>
      </c>
      <c r="F97" s="406">
        <f t="shared" si="47"/>
        <v>0</v>
      </c>
      <c r="G97" s="406">
        <f t="shared" si="47"/>
        <v>372487.1988776249</v>
      </c>
      <c r="H97" s="406">
        <f t="shared" si="47"/>
        <v>910767.0588984314</v>
      </c>
      <c r="I97" s="406">
        <f t="shared" si="47"/>
        <v>3088107.662508723</v>
      </c>
      <c r="J97" s="406">
        <f t="shared" si="47"/>
        <v>382033.4020743514</v>
      </c>
      <c r="K97" s="406">
        <f t="shared" si="47"/>
        <v>0</v>
      </c>
      <c r="L97" s="406">
        <f t="shared" si="47"/>
        <v>77209.29595970074</v>
      </c>
      <c r="M97" s="406">
        <f t="shared" si="47"/>
        <v>219258.73640147422</v>
      </c>
      <c r="N97" s="406">
        <f t="shared" si="47"/>
        <v>678501.4344355264</v>
      </c>
      <c r="O97" s="406">
        <f t="shared" si="47"/>
        <v>3766609.0969442492</v>
      </c>
      <c r="P97" s="411">
        <f t="shared" si="47"/>
        <v>3789686.0200211722</v>
      </c>
    </row>
    <row r="98" spans="1:16" ht="11.25">
      <c r="A98" s="394">
        <f t="shared" si="37"/>
        <v>11</v>
      </c>
      <c r="B98" s="620">
        <f aca="true" t="shared" si="48" ref="B98:P98">B63*1000000/$G$120</f>
        <v>-38461.53846153846</v>
      </c>
      <c r="C98" s="406">
        <f t="shared" si="48"/>
        <v>0</v>
      </c>
      <c r="D98" s="406">
        <f t="shared" si="48"/>
        <v>61538.46153846154</v>
      </c>
      <c r="E98" s="406">
        <f t="shared" si="48"/>
        <v>1879350.8445081918</v>
      </c>
      <c r="F98" s="406">
        <f t="shared" si="48"/>
        <v>0</v>
      </c>
      <c r="G98" s="406">
        <f t="shared" si="48"/>
        <v>388749.77425233973</v>
      </c>
      <c r="H98" s="406">
        <f t="shared" si="48"/>
        <v>938090.0706653846</v>
      </c>
      <c r="I98" s="406">
        <f t="shared" si="48"/>
        <v>3206190.689425916</v>
      </c>
      <c r="J98" s="406">
        <f t="shared" si="48"/>
        <v>397475.2612662916</v>
      </c>
      <c r="K98" s="406">
        <f t="shared" si="48"/>
        <v>0</v>
      </c>
      <c r="L98" s="406">
        <f t="shared" si="48"/>
        <v>80520.78912091917</v>
      </c>
      <c r="M98" s="406">
        <f t="shared" si="48"/>
        <v>225836.49849351853</v>
      </c>
      <c r="N98" s="406">
        <f t="shared" si="48"/>
        <v>703832.5488807294</v>
      </c>
      <c r="O98" s="406">
        <f t="shared" si="48"/>
        <v>3910023.2383066453</v>
      </c>
      <c r="P98" s="411">
        <f t="shared" si="48"/>
        <v>3933100.1613835683</v>
      </c>
    </row>
    <row r="99" spans="1:16" ht="11.25">
      <c r="A99" s="394">
        <f t="shared" si="37"/>
        <v>12</v>
      </c>
      <c r="B99" s="620">
        <f aca="true" t="shared" si="49" ref="B99:P99">B64*1000000/$G$120</f>
        <v>-38461.53846153846</v>
      </c>
      <c r="C99" s="406">
        <f t="shared" si="49"/>
        <v>0</v>
      </c>
      <c r="D99" s="406">
        <f t="shared" si="49"/>
        <v>61538.46153846154</v>
      </c>
      <c r="E99" s="406">
        <f t="shared" si="49"/>
        <v>1957100.7993586594</v>
      </c>
      <c r="F99" s="406">
        <f t="shared" si="49"/>
        <v>0</v>
      </c>
      <c r="G99" s="406">
        <f t="shared" si="49"/>
        <v>405754.62485871563</v>
      </c>
      <c r="H99" s="406">
        <f t="shared" si="49"/>
        <v>966232.7727853461</v>
      </c>
      <c r="I99" s="406">
        <f t="shared" si="49"/>
        <v>3329088.197002721</v>
      </c>
      <c r="J99" s="406">
        <f t="shared" si="49"/>
        <v>413579.41909047536</v>
      </c>
      <c r="K99" s="406">
        <f t="shared" si="49"/>
        <v>0</v>
      </c>
      <c r="L99" s="406">
        <f t="shared" si="49"/>
        <v>83981.38779109553</v>
      </c>
      <c r="M99" s="406">
        <f t="shared" si="49"/>
        <v>232611.59344832407</v>
      </c>
      <c r="N99" s="406">
        <f t="shared" si="49"/>
        <v>730172.400329895</v>
      </c>
      <c r="O99" s="406">
        <f t="shared" si="49"/>
        <v>4059260.597332616</v>
      </c>
      <c r="P99" s="411">
        <f t="shared" si="49"/>
        <v>4082337.5204095393</v>
      </c>
    </row>
    <row r="100" spans="1:16" ht="11.25">
      <c r="A100" s="394">
        <f t="shared" si="37"/>
        <v>13</v>
      </c>
      <c r="B100" s="620">
        <f aca="true" t="shared" si="50" ref="B100:P100">B65*1000000/$G$120</f>
        <v>-38461.53846153846</v>
      </c>
      <c r="C100" s="406">
        <f t="shared" si="50"/>
        <v>0</v>
      </c>
      <c r="D100" s="406">
        <f t="shared" si="50"/>
        <v>61538.46153846154</v>
      </c>
      <c r="E100" s="406">
        <f t="shared" si="50"/>
        <v>2038251.7243304024</v>
      </c>
      <c r="F100" s="406">
        <f t="shared" si="50"/>
        <v>0</v>
      </c>
      <c r="G100" s="406">
        <f t="shared" si="50"/>
        <v>423536.738852223</v>
      </c>
      <c r="H100" s="406">
        <f t="shared" si="50"/>
        <v>995219.7559689067</v>
      </c>
      <c r="I100" s="406">
        <f t="shared" si="50"/>
        <v>3457008.219151532</v>
      </c>
      <c r="J100" s="406">
        <f t="shared" si="50"/>
        <v>430375.6966486945</v>
      </c>
      <c r="K100" s="406">
        <f t="shared" si="50"/>
        <v>0</v>
      </c>
      <c r="L100" s="406">
        <f t="shared" si="50"/>
        <v>87598.0531712046</v>
      </c>
      <c r="M100" s="406">
        <f t="shared" si="50"/>
        <v>239589.94125177385</v>
      </c>
      <c r="N100" s="406">
        <f t="shared" si="50"/>
        <v>757563.691071673</v>
      </c>
      <c r="O100" s="406">
        <f t="shared" si="50"/>
        <v>4214571.910223205</v>
      </c>
      <c r="P100" s="411">
        <f t="shared" si="50"/>
        <v>4237648.833300128</v>
      </c>
    </row>
    <row r="101" spans="1:16" ht="11.25">
      <c r="A101" s="394">
        <f t="shared" si="37"/>
        <v>14</v>
      </c>
      <c r="B101" s="620">
        <f aca="true" t="shared" si="51" ref="B101:P101">B66*1000000/$G$120</f>
        <v>-38461.53846153846</v>
      </c>
      <c r="C101" s="406">
        <f t="shared" si="51"/>
        <v>0</v>
      </c>
      <c r="D101" s="406">
        <f t="shared" si="51"/>
        <v>61538.46153846154</v>
      </c>
      <c r="E101" s="406">
        <f t="shared" si="51"/>
        <v>2122959.0721008475</v>
      </c>
      <c r="F101" s="406">
        <f t="shared" si="51"/>
        <v>0</v>
      </c>
      <c r="G101" s="406">
        <f t="shared" si="51"/>
        <v>442132.7900279227</v>
      </c>
      <c r="H101" s="406">
        <f t="shared" si="51"/>
        <v>1025076.3486479738</v>
      </c>
      <c r="I101" s="406">
        <f t="shared" si="51"/>
        <v>3590168.2107767444</v>
      </c>
      <c r="J101" s="406">
        <f t="shared" si="51"/>
        <v>447895.3072829354</v>
      </c>
      <c r="K101" s="406">
        <f t="shared" si="51"/>
        <v>0</v>
      </c>
      <c r="L101" s="406">
        <f t="shared" si="51"/>
        <v>91378.07970003576</v>
      </c>
      <c r="M101" s="406">
        <f t="shared" si="51"/>
        <v>246777.63948932703</v>
      </c>
      <c r="N101" s="406">
        <f t="shared" si="51"/>
        <v>786051.0264722982</v>
      </c>
      <c r="O101" s="406">
        <f t="shared" si="51"/>
        <v>4376219.237249043</v>
      </c>
      <c r="P101" s="411">
        <f t="shared" si="51"/>
        <v>4399296.160325966</v>
      </c>
    </row>
    <row r="102" spans="1:16" ht="11.25">
      <c r="A102" s="394">
        <f t="shared" si="37"/>
        <v>15</v>
      </c>
      <c r="B102" s="620">
        <f aca="true" t="shared" si="52" ref="B102:P102">B67*1000000/$G$120</f>
        <v>-3269230.769230769</v>
      </c>
      <c r="C102" s="406">
        <f t="shared" si="52"/>
        <v>0</v>
      </c>
      <c r="D102" s="406">
        <f t="shared" si="52"/>
        <v>61538.46153846154</v>
      </c>
      <c r="E102" s="406">
        <f t="shared" si="52"/>
        <v>2211385.630106433</v>
      </c>
      <c r="F102" s="406">
        <f t="shared" si="52"/>
        <v>0</v>
      </c>
      <c r="G102" s="406">
        <f t="shared" si="52"/>
        <v>461581.22018940025</v>
      </c>
      <c r="H102" s="406">
        <f t="shared" si="52"/>
        <v>1055828.6391074131</v>
      </c>
      <c r="I102" s="406">
        <f t="shared" si="52"/>
        <v>3728795.489403246</v>
      </c>
      <c r="J102" s="406">
        <f t="shared" si="52"/>
        <v>466170.92322294257</v>
      </c>
      <c r="K102" s="406">
        <f t="shared" si="52"/>
        <v>0</v>
      </c>
      <c r="L102" s="406">
        <f t="shared" si="52"/>
        <v>95329.1112714166</v>
      </c>
      <c r="M102" s="406">
        <f t="shared" si="52"/>
        <v>254180.96867400687</v>
      </c>
      <c r="N102" s="406">
        <f t="shared" si="52"/>
        <v>815681.0031683659</v>
      </c>
      <c r="O102" s="406">
        <f t="shared" si="52"/>
        <v>4544476.492571613</v>
      </c>
      <c r="P102" s="411">
        <f t="shared" si="52"/>
        <v>1336784.1848793048</v>
      </c>
    </row>
    <row r="103" spans="1:16" ht="11.25">
      <c r="A103" s="394">
        <f t="shared" si="37"/>
        <v>16</v>
      </c>
      <c r="B103" s="620">
        <f aca="true" t="shared" si="53" ref="B103:P103">B68*1000000/$G$120</f>
        <v>-38461.53846153846</v>
      </c>
      <c r="C103" s="406">
        <f t="shared" si="53"/>
        <v>0</v>
      </c>
      <c r="D103" s="406">
        <f t="shared" si="53"/>
        <v>61538.46153846154</v>
      </c>
      <c r="E103" s="406">
        <f t="shared" si="53"/>
        <v>2303701.874144312</v>
      </c>
      <c r="F103" s="406">
        <f t="shared" si="53"/>
        <v>0</v>
      </c>
      <c r="G103" s="406">
        <f t="shared" si="53"/>
        <v>481922.32557875407</v>
      </c>
      <c r="H103" s="406">
        <f t="shared" si="53"/>
        <v>1087503.4982806356</v>
      </c>
      <c r="I103" s="406">
        <f t="shared" si="53"/>
        <v>3873127.6980037014</v>
      </c>
      <c r="J103" s="406">
        <f t="shared" si="53"/>
        <v>485236.74547722586</v>
      </c>
      <c r="K103" s="406">
        <f t="shared" si="53"/>
        <v>0</v>
      </c>
      <c r="L103" s="406">
        <f t="shared" si="53"/>
        <v>99459.15824895784</v>
      </c>
      <c r="M103" s="406">
        <f t="shared" si="53"/>
        <v>261806.3977342271</v>
      </c>
      <c r="N103" s="406">
        <f t="shared" si="53"/>
        <v>846502.3014604108</v>
      </c>
      <c r="O103" s="406">
        <f t="shared" si="53"/>
        <v>4719629.999464112</v>
      </c>
      <c r="P103" s="411">
        <f t="shared" si="53"/>
        <v>4742706.922541035</v>
      </c>
    </row>
    <row r="104" spans="1:16" ht="11.25">
      <c r="A104" s="394">
        <f t="shared" si="37"/>
        <v>17</v>
      </c>
      <c r="B104" s="620">
        <f aca="true" t="shared" si="54" ref="B104:P104">B69*1000000/$G$120</f>
        <v>-38461.53846153846</v>
      </c>
      <c r="C104" s="406">
        <f t="shared" si="54"/>
        <v>0</v>
      </c>
      <c r="D104" s="406">
        <f t="shared" si="54"/>
        <v>61538.46153846154</v>
      </c>
      <c r="E104" s="406">
        <f t="shared" si="54"/>
        <v>2400086.339260063</v>
      </c>
      <c r="F104" s="406">
        <f t="shared" si="54"/>
        <v>0</v>
      </c>
      <c r="G104" s="406">
        <f t="shared" si="54"/>
        <v>503198.3475689719</v>
      </c>
      <c r="H104" s="406">
        <f t="shared" si="54"/>
        <v>1120128.6032290545</v>
      </c>
      <c r="I104" s="406">
        <f t="shared" si="54"/>
        <v>4023413.2900580894</v>
      </c>
      <c r="J104" s="406">
        <f t="shared" si="54"/>
        <v>505128.57712701755</v>
      </c>
      <c r="K104" s="406">
        <f t="shared" si="54"/>
        <v>0</v>
      </c>
      <c r="L104" s="406">
        <f t="shared" si="54"/>
        <v>103776.61531779528</v>
      </c>
      <c r="M104" s="406">
        <f t="shared" si="54"/>
        <v>269660.58966625395</v>
      </c>
      <c r="N104" s="406">
        <f t="shared" si="54"/>
        <v>878565.7821110669</v>
      </c>
      <c r="O104" s="406">
        <f t="shared" si="54"/>
        <v>4901979.072169156</v>
      </c>
      <c r="P104" s="411">
        <f t="shared" si="54"/>
        <v>4925055.99524608</v>
      </c>
    </row>
    <row r="105" spans="1:16" ht="11.25">
      <c r="A105" s="394">
        <f t="shared" si="37"/>
        <v>18</v>
      </c>
      <c r="B105" s="620">
        <f aca="true" t="shared" si="55" ref="B105:P105">B70*1000000/$G$120</f>
        <v>-38461.53846153846</v>
      </c>
      <c r="C105" s="406">
        <f t="shared" si="55"/>
        <v>0</v>
      </c>
      <c r="D105" s="406">
        <f t="shared" si="55"/>
        <v>61538.46153846154</v>
      </c>
      <c r="E105" s="406">
        <f t="shared" si="55"/>
        <v>2500726.008773858</v>
      </c>
      <c r="F105" s="406">
        <f t="shared" si="55"/>
        <v>0</v>
      </c>
      <c r="G105" s="406">
        <f t="shared" si="55"/>
        <v>525453.5678300394</v>
      </c>
      <c r="H105" s="406">
        <f t="shared" si="55"/>
        <v>1153732.4613259262</v>
      </c>
      <c r="I105" s="406">
        <f t="shared" si="55"/>
        <v>4179912.0379298236</v>
      </c>
      <c r="J105" s="406">
        <f t="shared" si="55"/>
        <v>525883.9001905767</v>
      </c>
      <c r="K105" s="406">
        <f t="shared" si="55"/>
        <v>0</v>
      </c>
      <c r="L105" s="406">
        <f t="shared" si="55"/>
        <v>108290.2802147663</v>
      </c>
      <c r="M105" s="406">
        <f t="shared" si="55"/>
        <v>277750.40735624154</v>
      </c>
      <c r="N105" s="406">
        <f t="shared" si="55"/>
        <v>911924.5877615844</v>
      </c>
      <c r="O105" s="406">
        <f t="shared" si="55"/>
        <v>5091836.625691408</v>
      </c>
      <c r="P105" s="411">
        <f t="shared" si="55"/>
        <v>5114913.548768331</v>
      </c>
    </row>
    <row r="106" spans="1:16" ht="11.25">
      <c r="A106" s="394">
        <f t="shared" si="37"/>
        <v>19</v>
      </c>
      <c r="B106" s="620">
        <f aca="true" t="shared" si="56" ref="B106:P106">B71*1000000/$G$120</f>
        <v>-38461.53846153846</v>
      </c>
      <c r="C106" s="406">
        <f t="shared" si="56"/>
        <v>0</v>
      </c>
      <c r="D106" s="406">
        <f t="shared" si="56"/>
        <v>61538.46153846154</v>
      </c>
      <c r="E106" s="406">
        <f t="shared" si="56"/>
        <v>2605816.7223398658</v>
      </c>
      <c r="F106" s="406">
        <f t="shared" si="56"/>
        <v>0</v>
      </c>
      <c r="G106" s="406">
        <f t="shared" si="56"/>
        <v>548734.4081906385</v>
      </c>
      <c r="H106" s="406">
        <f t="shared" si="56"/>
        <v>1188344.4351657042</v>
      </c>
      <c r="I106" s="406">
        <f t="shared" si="56"/>
        <v>4342895.565696209</v>
      </c>
      <c r="J106" s="406">
        <f t="shared" si="56"/>
        <v>547541.95623353</v>
      </c>
      <c r="K106" s="406">
        <f t="shared" si="56"/>
        <v>0</v>
      </c>
      <c r="L106" s="406">
        <f t="shared" si="56"/>
        <v>113009.37338051827</v>
      </c>
      <c r="M106" s="406">
        <f t="shared" si="56"/>
        <v>286082.91957692883</v>
      </c>
      <c r="N106" s="406">
        <f t="shared" si="56"/>
        <v>946634.249190977</v>
      </c>
      <c r="O106" s="406">
        <f t="shared" si="56"/>
        <v>5289529.814887186</v>
      </c>
      <c r="P106" s="411">
        <f t="shared" si="56"/>
        <v>5312606.737964109</v>
      </c>
    </row>
    <row r="107" spans="1:16" ht="11.25">
      <c r="A107" s="394">
        <f t="shared" si="37"/>
        <v>20</v>
      </c>
      <c r="B107" s="620">
        <f aca="true" t="shared" si="57" ref="B107:P107">B72*1000000/$G$120</f>
        <v>-38461.53846153846</v>
      </c>
      <c r="C107" s="406">
        <f t="shared" si="57"/>
        <v>0</v>
      </c>
      <c r="D107" s="406">
        <f t="shared" si="57"/>
        <v>61538.46153846154</v>
      </c>
      <c r="E107" s="406">
        <f t="shared" si="57"/>
        <v>2715563.603977993</v>
      </c>
      <c r="F107" s="406">
        <f t="shared" si="57"/>
        <v>0</v>
      </c>
      <c r="G107" s="406">
        <f t="shared" si="57"/>
        <v>573089.5354283407</v>
      </c>
      <c r="H107" s="406">
        <f t="shared" si="57"/>
        <v>1223994.7682206752</v>
      </c>
      <c r="I107" s="406">
        <f t="shared" si="57"/>
        <v>4512647.907627009</v>
      </c>
      <c r="J107" s="406">
        <f t="shared" si="57"/>
        <v>570143.8309096337</v>
      </c>
      <c r="K107" s="406">
        <f t="shared" si="57"/>
        <v>0</v>
      </c>
      <c r="L107" s="406">
        <f t="shared" si="57"/>
        <v>117943.55857920826</v>
      </c>
      <c r="M107" s="406">
        <f t="shared" si="57"/>
        <v>294665.4071642366</v>
      </c>
      <c r="N107" s="406">
        <f t="shared" si="57"/>
        <v>982752.7966530785</v>
      </c>
      <c r="O107" s="406">
        <f t="shared" si="57"/>
        <v>5495400.704280087</v>
      </c>
      <c r="P107" s="411">
        <f t="shared" si="57"/>
        <v>5518477.62735701</v>
      </c>
    </row>
    <row r="108" spans="1:16" ht="11.25">
      <c r="A108" s="394">
        <f t="shared" si="37"/>
        <v>21</v>
      </c>
      <c r="B108" s="620">
        <f aca="true" t="shared" si="58" ref="B108:P108">B73*1000000/$G$120</f>
        <v>-38461.53846153846</v>
      </c>
      <c r="C108" s="406">
        <f t="shared" si="58"/>
        <v>0</v>
      </c>
      <c r="D108" s="406">
        <f t="shared" si="58"/>
        <v>61538.46153846154</v>
      </c>
      <c r="E108" s="406">
        <f t="shared" si="58"/>
        <v>2830181.5110636614</v>
      </c>
      <c r="F108" s="406">
        <f t="shared" si="58"/>
        <v>0</v>
      </c>
      <c r="G108" s="406">
        <f t="shared" si="58"/>
        <v>598569.971232773</v>
      </c>
      <c r="H108" s="406">
        <f t="shared" si="58"/>
        <v>1260714.6112672957</v>
      </c>
      <c r="I108" s="406">
        <f t="shared" si="58"/>
        <v>4689466.093563731</v>
      </c>
      <c r="J108" s="406">
        <f t="shared" si="58"/>
        <v>593732.5426254753</v>
      </c>
      <c r="K108" s="406">
        <f t="shared" si="58"/>
        <v>0</v>
      </c>
      <c r="L108" s="406">
        <f t="shared" si="58"/>
        <v>123102.9645337227</v>
      </c>
      <c r="M108" s="406">
        <f t="shared" si="58"/>
        <v>303505.3693791638</v>
      </c>
      <c r="N108" s="406">
        <f t="shared" si="58"/>
        <v>1020340.8765383617</v>
      </c>
      <c r="O108" s="406">
        <f t="shared" si="58"/>
        <v>5709806.970102092</v>
      </c>
      <c r="P108" s="411">
        <f t="shared" si="58"/>
        <v>5732883.893179015</v>
      </c>
    </row>
    <row r="109" spans="1:16" ht="11.25">
      <c r="A109" s="394">
        <f t="shared" si="37"/>
        <v>22</v>
      </c>
      <c r="B109" s="620">
        <f aca="true" t="shared" si="59" ref="B109:P109">B74*1000000/$G$120</f>
        <v>-38461.53846153846</v>
      </c>
      <c r="C109" s="406">
        <f t="shared" si="59"/>
        <v>0</v>
      </c>
      <c r="D109" s="406">
        <f t="shared" si="59"/>
        <v>61538.46153846154</v>
      </c>
      <c r="E109" s="406">
        <f t="shared" si="59"/>
        <v>2949895.505310217</v>
      </c>
      <c r="F109" s="406">
        <f t="shared" si="59"/>
        <v>0</v>
      </c>
      <c r="G109" s="406">
        <f t="shared" si="59"/>
        <v>625229.2075984173</v>
      </c>
      <c r="H109" s="406">
        <f t="shared" si="59"/>
        <v>1298536.0496053144</v>
      </c>
      <c r="I109" s="406">
        <f t="shared" si="59"/>
        <v>4873660.762513949</v>
      </c>
      <c r="J109" s="406">
        <f t="shared" si="59"/>
        <v>618353.1355322198</v>
      </c>
      <c r="K109" s="406">
        <f t="shared" si="59"/>
        <v>0</v>
      </c>
      <c r="L109" s="406">
        <f t="shared" si="59"/>
        <v>128498.20762672945</v>
      </c>
      <c r="M109" s="406">
        <f t="shared" si="59"/>
        <v>312610.53046053863</v>
      </c>
      <c r="N109" s="406">
        <f t="shared" si="59"/>
        <v>1059461.873619488</v>
      </c>
      <c r="O109" s="406">
        <f t="shared" si="59"/>
        <v>5933122.636133436</v>
      </c>
      <c r="P109" s="411">
        <f t="shared" si="59"/>
        <v>5956199.559210359</v>
      </c>
    </row>
    <row r="110" spans="1:16" ht="11.25">
      <c r="A110" s="394">
        <f t="shared" si="37"/>
        <v>23</v>
      </c>
      <c r="B110" s="620">
        <f aca="true" t="shared" si="60" ref="B110:P110">B75*1000000/$G$120</f>
        <v>-38461.53846153846</v>
      </c>
      <c r="C110" s="406">
        <f t="shared" si="60"/>
        <v>0</v>
      </c>
      <c r="D110" s="406">
        <f t="shared" si="60"/>
        <v>61538.46153846154</v>
      </c>
      <c r="E110" s="406">
        <f t="shared" si="60"/>
        <v>3074941.346829901</v>
      </c>
      <c r="F110" s="406">
        <f t="shared" si="60"/>
        <v>0</v>
      </c>
      <c r="G110" s="406">
        <f t="shared" si="60"/>
        <v>653123.3279164643</v>
      </c>
      <c r="H110" s="406">
        <f t="shared" si="60"/>
        <v>1337492.131093474</v>
      </c>
      <c r="I110" s="406">
        <f t="shared" si="60"/>
        <v>5065556.805839839</v>
      </c>
      <c r="J110" s="406">
        <f t="shared" si="60"/>
        <v>644052.7770575657</v>
      </c>
      <c r="K110" s="406">
        <f t="shared" si="60"/>
        <v>0</v>
      </c>
      <c r="L110" s="406">
        <f t="shared" si="60"/>
        <v>134140.41572037616</v>
      </c>
      <c r="M110" s="406">
        <f t="shared" si="60"/>
        <v>321988.8463743549</v>
      </c>
      <c r="N110" s="406">
        <f t="shared" si="60"/>
        <v>1100182.0391522967</v>
      </c>
      <c r="O110" s="406">
        <f t="shared" si="60"/>
        <v>6165738.844992136</v>
      </c>
      <c r="P110" s="411">
        <f t="shared" si="60"/>
        <v>6188815.768069059</v>
      </c>
    </row>
    <row r="111" spans="1:16" ht="11.25">
      <c r="A111" s="394">
        <f t="shared" si="37"/>
        <v>24</v>
      </c>
      <c r="B111" s="620">
        <f aca="true" t="shared" si="61" ref="B111:P111">B76*1000000/$G$120</f>
        <v>-38461.53846153846</v>
      </c>
      <c r="C111" s="406">
        <f t="shared" si="61"/>
        <v>0</v>
      </c>
      <c r="D111" s="406">
        <f t="shared" si="61"/>
        <v>61538.46153846154</v>
      </c>
      <c r="E111" s="406">
        <f t="shared" si="61"/>
        <v>3205566.0124131935</v>
      </c>
      <c r="F111" s="406">
        <f t="shared" si="61"/>
        <v>0</v>
      </c>
      <c r="G111" s="406">
        <f t="shared" si="61"/>
        <v>682311.134048557</v>
      </c>
      <c r="H111" s="406">
        <f t="shared" si="61"/>
        <v>1377616.8950262782</v>
      </c>
      <c r="I111" s="406">
        <f t="shared" si="61"/>
        <v>5265494.041488028</v>
      </c>
      <c r="J111" s="406">
        <f t="shared" si="61"/>
        <v>670880.860201641</v>
      </c>
      <c r="K111" s="406">
        <f t="shared" si="61"/>
        <v>0</v>
      </c>
      <c r="L111" s="406">
        <f t="shared" si="61"/>
        <v>140041.2531500745</v>
      </c>
      <c r="M111" s="406">
        <f t="shared" si="61"/>
        <v>331648.5117655856</v>
      </c>
      <c r="N111" s="406">
        <f t="shared" si="61"/>
        <v>1142570.625117301</v>
      </c>
      <c r="O111" s="406">
        <f t="shared" si="61"/>
        <v>6408064.666605329</v>
      </c>
      <c r="P111" s="411">
        <f t="shared" si="61"/>
        <v>6431141.589682252</v>
      </c>
    </row>
    <row r="112" spans="1:16" ht="11.25">
      <c r="A112" s="394">
        <f t="shared" si="37"/>
        <v>25</v>
      </c>
      <c r="B112" s="620">
        <f aca="true" t="shared" si="62" ref="B112:P112">B77*1000000/$G$120</f>
        <v>-38461.53846153846</v>
      </c>
      <c r="C112" s="406">
        <f t="shared" si="62"/>
        <v>0</v>
      </c>
      <c r="D112" s="406">
        <f t="shared" si="62"/>
        <v>61538.46153846154</v>
      </c>
      <c r="E112" s="406">
        <f t="shared" si="62"/>
        <v>3342028.2392229047</v>
      </c>
      <c r="F112" s="406">
        <f t="shared" si="62"/>
        <v>0</v>
      </c>
      <c r="G112" s="406">
        <f t="shared" si="62"/>
        <v>712854.279679343</v>
      </c>
      <c r="H112" s="406">
        <f t="shared" si="62"/>
        <v>1418945.4018770668</v>
      </c>
      <c r="I112" s="406">
        <f t="shared" si="62"/>
        <v>5473827.920779315</v>
      </c>
      <c r="J112" s="406">
        <f t="shared" si="62"/>
        <v>698889.1108316559</v>
      </c>
      <c r="K112" s="406">
        <f t="shared" si="62"/>
        <v>0</v>
      </c>
      <c r="L112" s="406">
        <f t="shared" si="62"/>
        <v>146212.94695056818</v>
      </c>
      <c r="M112" s="406">
        <f t="shared" si="62"/>
        <v>341597.96711855306</v>
      </c>
      <c r="N112" s="406">
        <f t="shared" si="62"/>
        <v>1186700.024900777</v>
      </c>
      <c r="O112" s="406">
        <f t="shared" si="62"/>
        <v>6660527.945680092</v>
      </c>
      <c r="P112" s="411">
        <f t="shared" si="62"/>
        <v>6683604.868757015</v>
      </c>
    </row>
    <row r="113" spans="1:16" ht="11.25">
      <c r="A113" s="403" t="str">
        <f t="shared" si="37"/>
        <v>TOTAL</v>
      </c>
      <c r="B113" s="622">
        <f>SUM(B88:B112)</f>
        <v>-37361853.84615382</v>
      </c>
      <c r="C113" s="411">
        <f aca="true" t="shared" si="63" ref="C113:P113">SUM(C88:C112)</f>
        <v>0</v>
      </c>
      <c r="D113" s="411">
        <f t="shared" si="63"/>
        <v>1538461.538461538</v>
      </c>
      <c r="E113" s="411">
        <f t="shared" si="63"/>
        <v>49372138.06680846</v>
      </c>
      <c r="F113" s="411">
        <f t="shared" si="63"/>
        <v>0</v>
      </c>
      <c r="G113" s="411">
        <f t="shared" si="63"/>
        <v>10329686.170535313</v>
      </c>
      <c r="H113" s="411">
        <f t="shared" si="63"/>
        <v>21829486.889127996</v>
      </c>
      <c r="I113" s="411">
        <f t="shared" si="63"/>
        <v>81531311.12647176</v>
      </c>
      <c r="J113" s="411">
        <f t="shared" si="63"/>
        <v>10398948.511356473</v>
      </c>
      <c r="K113" s="411">
        <f t="shared" si="63"/>
        <v>0</v>
      </c>
      <c r="L113" s="411">
        <f t="shared" si="63"/>
        <v>2131755.775345686</v>
      </c>
      <c r="M113" s="411">
        <f t="shared" si="63"/>
        <v>5255246.843678962</v>
      </c>
      <c r="N113" s="411">
        <f t="shared" si="63"/>
        <v>17785951.13038112</v>
      </c>
      <c r="O113" s="411">
        <f t="shared" si="63"/>
        <v>99317262.25685287</v>
      </c>
      <c r="P113" s="411">
        <f t="shared" si="63"/>
        <v>63493869.949160576</v>
      </c>
    </row>
    <row r="114" ht="11.25">
      <c r="H114" s="406"/>
    </row>
    <row r="115" spans="3:15" ht="11.25">
      <c r="C115" s="406"/>
      <c r="N115" s="400" t="s">
        <v>421</v>
      </c>
      <c r="O115" s="410">
        <f>IRR(P88:P112)</f>
        <v>0.08909912498110517</v>
      </c>
    </row>
    <row r="116" spans="14:15" ht="12" thickBot="1">
      <c r="N116" s="394" t="s">
        <v>888</v>
      </c>
      <c r="O116" s="410">
        <f>IRR(P88:P107)</f>
        <v>0.06927303661952851</v>
      </c>
    </row>
    <row r="117" spans="1:10" ht="11.25">
      <c r="A117" s="412" t="s">
        <v>7</v>
      </c>
      <c r="B117" s="413"/>
      <c r="C117" s="413"/>
      <c r="D117" s="413"/>
      <c r="E117" s="413"/>
      <c r="F117" s="413"/>
      <c r="G117" s="1115">
        <v>2</v>
      </c>
      <c r="I117" s="403" t="s">
        <v>887</v>
      </c>
      <c r="J117" s="397" t="str">
        <f>IF('Summary ERRs'!$B$92=3,IF('Summary ERRs'!$B$93=2,IF('Summary ERRs'!$B$96=1,IF('Summary ERRs'!$B$97=1,"Base Case",""),""),""),"")</f>
        <v>Base Case</v>
      </c>
    </row>
    <row r="118" spans="1:16" ht="12.75" customHeight="1">
      <c r="A118" s="456" t="s">
        <v>21</v>
      </c>
      <c r="B118" s="457"/>
      <c r="C118" s="457"/>
      <c r="D118" s="457"/>
      <c r="E118" s="457"/>
      <c r="F118" s="457"/>
      <c r="G118" s="1116"/>
      <c r="P118" s="406"/>
    </row>
    <row r="119" spans="1:16" ht="13.5" customHeight="1" thickBot="1">
      <c r="A119" s="467" t="s">
        <v>22</v>
      </c>
      <c r="B119" s="468"/>
      <c r="C119" s="468"/>
      <c r="D119" s="468"/>
      <c r="E119" s="468"/>
      <c r="F119" s="468"/>
      <c r="G119" s="1117"/>
      <c r="J119" s="449">
        <f>IF('Summary ERRs'!$B$92=2,IF('Summary ERRs'!$B$93=3,IF('Summary ERRs'!$B$96=1.1,IF('Summary ERRs'!$B$97=0.8,"Best Case",""),""),""),"")</f>
      </c>
      <c r="P119" s="406"/>
    </row>
    <row r="120" spans="1:7" ht="12" thickBot="1">
      <c r="A120" s="467" t="s">
        <v>863</v>
      </c>
      <c r="B120" s="468"/>
      <c r="C120" s="468"/>
      <c r="D120" s="468"/>
      <c r="E120" s="468"/>
      <c r="F120" s="469"/>
      <c r="G120" s="1025">
        <v>520</v>
      </c>
    </row>
  </sheetData>
  <mergeCells count="2">
    <mergeCell ref="G117:G119"/>
    <mergeCell ref="A15:I15"/>
  </mergeCells>
  <conditionalFormatting sqref="A15">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600" verticalDpi="600" orientation="landscape" r:id="rId4"/>
  <headerFooter alignWithMargins="0">
    <oddHeader>&amp;C&amp;"Times New Roman,Bold"&amp;12Appendix 5.1 - Preliminary Economic Evaluation&amp;"Arial,Regular"&amp;10
</oddHeader>
  </headerFooter>
  <rowBreaks count="1" manualBreakCount="1">
    <brk id="45" max="255"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dimension ref="A1:AE36"/>
  <sheetViews>
    <sheetView workbookViewId="0" topLeftCell="A1">
      <selection activeCell="A1" sqref="A1:IV1"/>
    </sheetView>
  </sheetViews>
  <sheetFormatPr defaultColWidth="9.140625" defaultRowHeight="12.75"/>
  <cols>
    <col min="1" max="1" width="5.8515625" style="0" customWidth="1"/>
    <col min="2" max="2" width="9.57421875" style="0" bestFit="1" customWidth="1"/>
    <col min="5" max="5" width="1.8515625" style="0" customWidth="1"/>
    <col min="12" max="12" width="10.00390625" style="0" customWidth="1"/>
    <col min="13" max="13" width="10.421875" style="0" customWidth="1"/>
    <col min="14" max="14" width="2.140625" style="0" customWidth="1"/>
    <col min="23" max="23" width="10.28125" style="0" customWidth="1"/>
    <col min="24" max="24" width="10.421875" style="0" customWidth="1"/>
    <col min="25" max="25" width="2.28125" style="0" customWidth="1"/>
    <col min="29" max="29" width="2.421875" style="0" customWidth="1"/>
    <col min="36" max="36" width="4.8515625" style="0" customWidth="1"/>
  </cols>
  <sheetData>
    <row r="1" spans="1:7" s="268" customFormat="1" ht="23.25">
      <c r="A1" s="924" t="s">
        <v>511</v>
      </c>
      <c r="C1" s="925"/>
      <c r="G1" s="1005"/>
    </row>
    <row r="2" s="1200" customFormat="1" ht="34.5" customHeight="1">
      <c r="A2" s="1200" t="s">
        <v>228</v>
      </c>
    </row>
    <row r="3" spans="1:30" ht="12.75" customHeight="1">
      <c r="A3" s="1085">
        <f>IF('ERR &amp; Sensitivity Analysis'!$I$10="N","Note: Current calculations are based on user input and are not the original MCC estimates.",IF('ERR &amp; Sensitivity Analysis'!$I$11="N","Note: Current calculations are based on user input and are not the original MCC estimates.",0))</f>
        <v>0</v>
      </c>
      <c r="B3" s="1085"/>
      <c r="C3" s="1085"/>
      <c r="D3" s="1085"/>
      <c r="E3" s="1085"/>
      <c r="F3" s="1085"/>
      <c r="G3" s="1085"/>
      <c r="H3" s="1085"/>
      <c r="I3" s="1085"/>
      <c r="J3" s="1085"/>
      <c r="K3" s="1085"/>
      <c r="L3" s="378"/>
      <c r="M3" s="378"/>
      <c r="N3" s="378"/>
      <c r="O3" s="378"/>
      <c r="Y3" s="378"/>
      <c r="Z3" s="378"/>
      <c r="AA3" s="378"/>
      <c r="AB3" s="378"/>
      <c r="AC3" s="378"/>
      <c r="AD3" s="378"/>
    </row>
    <row r="4" spans="1:30" ht="12.75">
      <c r="A4" t="s">
        <v>235</v>
      </c>
      <c r="E4" s="378"/>
      <c r="F4" s="378" t="s">
        <v>205</v>
      </c>
      <c r="G4" s="378"/>
      <c r="H4" s="378"/>
      <c r="I4" s="378"/>
      <c r="J4" s="378"/>
      <c r="K4" s="378"/>
      <c r="L4" s="378"/>
      <c r="M4" s="378"/>
      <c r="N4" s="378"/>
      <c r="O4" s="378" t="s">
        <v>205</v>
      </c>
      <c r="Y4" s="378"/>
      <c r="Z4" s="378" t="s">
        <v>233</v>
      </c>
      <c r="AA4" s="378"/>
      <c r="AB4" s="378"/>
      <c r="AC4" s="378"/>
      <c r="AD4" s="378" t="s">
        <v>230</v>
      </c>
    </row>
    <row r="5" spans="1:30" ht="13.5" thickBot="1">
      <c r="A5" t="s">
        <v>234</v>
      </c>
      <c r="E5" s="378"/>
      <c r="F5" s="378" t="s">
        <v>206</v>
      </c>
      <c r="G5" s="378"/>
      <c r="H5" s="378"/>
      <c r="I5" s="378"/>
      <c r="J5" s="378"/>
      <c r="K5" s="378"/>
      <c r="L5" s="378"/>
      <c r="M5" s="378"/>
      <c r="N5" s="378"/>
      <c r="O5" s="378" t="s">
        <v>207</v>
      </c>
      <c r="Y5" s="378"/>
      <c r="Z5" s="378" t="s">
        <v>229</v>
      </c>
      <c r="AA5" s="378"/>
      <c r="AB5" s="378"/>
      <c r="AC5" s="378"/>
      <c r="AD5" s="378" t="s">
        <v>232</v>
      </c>
    </row>
    <row r="6" spans="1:31" ht="38.25">
      <c r="A6" s="218" t="s">
        <v>540</v>
      </c>
      <c r="B6" s="689" t="s">
        <v>208</v>
      </c>
      <c r="C6" s="689" t="s">
        <v>209</v>
      </c>
      <c r="D6" s="689" t="s">
        <v>210</v>
      </c>
      <c r="E6" s="1006"/>
      <c r="F6" s="1007" t="s">
        <v>211</v>
      </c>
      <c r="G6" s="1007" t="s">
        <v>212</v>
      </c>
      <c r="H6" s="1007" t="s">
        <v>213</v>
      </c>
      <c r="I6" s="1007" t="s">
        <v>214</v>
      </c>
      <c r="J6" s="1007" t="s">
        <v>215</v>
      </c>
      <c r="K6" s="1007" t="s">
        <v>216</v>
      </c>
      <c r="L6" s="1007" t="s">
        <v>217</v>
      </c>
      <c r="M6" s="1007" t="s">
        <v>218</v>
      </c>
      <c r="N6" s="1007"/>
      <c r="O6" s="1007" t="s">
        <v>211</v>
      </c>
      <c r="P6" s="689" t="s">
        <v>212</v>
      </c>
      <c r="Q6" s="689" t="s">
        <v>213</v>
      </c>
      <c r="R6" s="689" t="s">
        <v>214</v>
      </c>
      <c r="S6" s="689" t="s">
        <v>219</v>
      </c>
      <c r="T6" s="689" t="s">
        <v>220</v>
      </c>
      <c r="U6" s="689" t="s">
        <v>215</v>
      </c>
      <c r="V6" s="689" t="s">
        <v>216</v>
      </c>
      <c r="W6" s="689" t="s">
        <v>217</v>
      </c>
      <c r="X6" s="689" t="s">
        <v>218</v>
      </c>
      <c r="Y6" s="1006"/>
      <c r="Z6" s="1007" t="s">
        <v>221</v>
      </c>
      <c r="AA6" s="1007" t="s">
        <v>222</v>
      </c>
      <c r="AB6" s="1007" t="s">
        <v>210</v>
      </c>
      <c r="AC6" s="1006"/>
      <c r="AD6" s="1007" t="s">
        <v>210</v>
      </c>
      <c r="AE6" s="690"/>
    </row>
    <row r="7" spans="1:31" ht="12.75">
      <c r="A7" s="691"/>
      <c r="B7" s="203" t="s">
        <v>223</v>
      </c>
      <c r="C7" s="203" t="s">
        <v>223</v>
      </c>
      <c r="D7" s="203" t="s">
        <v>223</v>
      </c>
      <c r="E7" s="545"/>
      <c r="F7" s="545" t="s">
        <v>224</v>
      </c>
      <c r="G7" s="545" t="s">
        <v>224</v>
      </c>
      <c r="H7" s="545" t="s">
        <v>225</v>
      </c>
      <c r="I7" s="545" t="s">
        <v>223</v>
      </c>
      <c r="J7" s="545" t="s">
        <v>224</v>
      </c>
      <c r="K7" s="545" t="s">
        <v>226</v>
      </c>
      <c r="L7" s="545" t="s">
        <v>227</v>
      </c>
      <c r="M7" s="545" t="s">
        <v>223</v>
      </c>
      <c r="N7" s="545"/>
      <c r="O7" s="545" t="s">
        <v>224</v>
      </c>
      <c r="P7" s="203" t="s">
        <v>224</v>
      </c>
      <c r="Q7" s="203" t="s">
        <v>225</v>
      </c>
      <c r="R7" s="203" t="s">
        <v>223</v>
      </c>
      <c r="S7" s="203" t="s">
        <v>223</v>
      </c>
      <c r="T7" s="203" t="s">
        <v>223</v>
      </c>
      <c r="U7" s="203" t="s">
        <v>224</v>
      </c>
      <c r="V7" s="203" t="s">
        <v>226</v>
      </c>
      <c r="W7" s="203" t="s">
        <v>227</v>
      </c>
      <c r="X7" s="203" t="s">
        <v>223</v>
      </c>
      <c r="Y7" s="545"/>
      <c r="Z7" s="545" t="s">
        <v>223</v>
      </c>
      <c r="AA7" s="545" t="s">
        <v>223</v>
      </c>
      <c r="AB7" s="545" t="s">
        <v>223</v>
      </c>
      <c r="AC7" s="545"/>
      <c r="AD7" s="545" t="s">
        <v>223</v>
      </c>
      <c r="AE7" s="692"/>
    </row>
    <row r="8" spans="1:31" ht="12.75">
      <c r="A8" s="691">
        <v>1</v>
      </c>
      <c r="B8" s="534">
        <f>'Summary ERRs'!$C$84</f>
        <v>61.53846153846154</v>
      </c>
      <c r="C8" s="42">
        <f>'Summary ERRs'!$C$45</f>
        <v>-24608.73596042113</v>
      </c>
      <c r="D8" s="534">
        <f>B8+C8</f>
        <v>-24547.19749888267</v>
      </c>
      <c r="E8" s="545"/>
      <c r="F8" s="545">
        <v>80000</v>
      </c>
      <c r="G8" s="545"/>
      <c r="H8" s="545"/>
      <c r="I8" s="545"/>
      <c r="J8" s="545">
        <f>F8+G8</f>
        <v>80000</v>
      </c>
      <c r="K8" s="545">
        <f>6*'Summary ERRs'!$B$96</f>
        <v>6</v>
      </c>
      <c r="L8" s="545">
        <f>J8*K8</f>
        <v>480000</v>
      </c>
      <c r="M8" s="545">
        <f>L8*0.27</f>
        <v>129600.00000000001</v>
      </c>
      <c r="N8" s="545"/>
      <c r="O8" s="545">
        <v>80000</v>
      </c>
      <c r="P8" s="203"/>
      <c r="Q8" s="203"/>
      <c r="R8" s="203"/>
      <c r="S8" s="203">
        <f>6000*'Summary ERRs'!$B$97</f>
        <v>6000</v>
      </c>
      <c r="T8" s="203">
        <f aca="true" t="shared" si="0" ref="T8:T13">R8+S8</f>
        <v>6000</v>
      </c>
      <c r="U8" s="203">
        <f>O8+P8</f>
        <v>80000</v>
      </c>
      <c r="V8" s="203">
        <f>6*'Summary ERRs'!$B$96</f>
        <v>6</v>
      </c>
      <c r="W8" s="203">
        <f>U8*V8</f>
        <v>480000</v>
      </c>
      <c r="X8" s="203">
        <f>W8*0.27</f>
        <v>129600.00000000001</v>
      </c>
      <c r="Y8" s="545"/>
      <c r="Z8" s="545">
        <f>(T8-I8)*'ERR &amp; Sensitivity Analysis'!$G$10</f>
        <v>6000</v>
      </c>
      <c r="AA8" s="545">
        <f>(X8-M8)*'ERR &amp; Sensitivity Analysis'!$G$11</f>
        <v>0</v>
      </c>
      <c r="AB8" s="545">
        <f>AA8-Z8</f>
        <v>-6000</v>
      </c>
      <c r="AC8" s="545"/>
      <c r="AD8" s="1009">
        <f>D8+AB8</f>
        <v>-30547.19749888267</v>
      </c>
      <c r="AE8" s="692"/>
    </row>
    <row r="9" spans="1:31" ht="12.75">
      <c r="A9" s="691">
        <v>2</v>
      </c>
      <c r="B9" s="534">
        <f>'Summary ERRs'!$D$84</f>
        <v>61.53846153846154</v>
      </c>
      <c r="C9" s="42">
        <f>'Summary ERRs'!$D$45</f>
        <v>-61337.04959989374</v>
      </c>
      <c r="D9" s="534">
        <f aca="true" t="shared" si="1" ref="D9:D32">B9+C9</f>
        <v>-61275.51113835528</v>
      </c>
      <c r="E9" s="545"/>
      <c r="F9" s="545"/>
      <c r="G9" s="545"/>
      <c r="H9" s="545"/>
      <c r="I9" s="545"/>
      <c r="J9" s="545">
        <f>J8+G9</f>
        <v>80000</v>
      </c>
      <c r="K9" s="545">
        <f>6*'Summary ERRs'!$B$96</f>
        <v>6</v>
      </c>
      <c r="L9" s="545">
        <f aca="true" t="shared" si="2" ref="L9:L31">J9*K9</f>
        <v>480000</v>
      </c>
      <c r="M9" s="545">
        <f aca="true" t="shared" si="3" ref="M9:M30">L9*0.27</f>
        <v>129600.00000000001</v>
      </c>
      <c r="N9" s="545"/>
      <c r="O9" s="545"/>
      <c r="P9" s="203"/>
      <c r="Q9" s="203"/>
      <c r="R9" s="203"/>
      <c r="S9" s="203">
        <f>6000*'Summary ERRs'!$B$97</f>
        <v>6000</v>
      </c>
      <c r="T9" s="203">
        <f t="shared" si="0"/>
        <v>6000</v>
      </c>
      <c r="U9" s="203">
        <f>U8+P9</f>
        <v>80000</v>
      </c>
      <c r="V9" s="203">
        <f>6*'Summary ERRs'!$B$96</f>
        <v>6</v>
      </c>
      <c r="W9" s="203">
        <f aca="true" t="shared" si="4" ref="W9:W31">U9*V9</f>
        <v>480000</v>
      </c>
      <c r="X9" s="203">
        <f aca="true" t="shared" si="5" ref="X9:X29">W9*0.27</f>
        <v>129600.00000000001</v>
      </c>
      <c r="Y9" s="545"/>
      <c r="Z9" s="545">
        <f>(T9-I9)*'ERR &amp; Sensitivity Analysis'!$G$10</f>
        <v>6000</v>
      </c>
      <c r="AA9" s="545">
        <f>(X9-M9)*'ERR &amp; Sensitivity Analysis'!$G$11</f>
        <v>0</v>
      </c>
      <c r="AB9" s="545">
        <f aca="true" t="shared" si="6" ref="AB9:AB32">AA9-Z9</f>
        <v>-6000</v>
      </c>
      <c r="AC9" s="545"/>
      <c r="AD9" s="1009">
        <f>D9+AB9</f>
        <v>-67275.51113835527</v>
      </c>
      <c r="AE9" s="692"/>
    </row>
    <row r="10" spans="1:31" ht="12.75">
      <c r="A10" s="691">
        <v>3</v>
      </c>
      <c r="B10" s="534">
        <f>'Summary ERRs'!$E$84</f>
        <v>2483.15375456159</v>
      </c>
      <c r="C10" s="42">
        <f>'Summary ERRs'!$E$45</f>
        <v>-66776.64243364475</v>
      </c>
      <c r="D10" s="534">
        <f t="shared" si="1"/>
        <v>-64293.488679083166</v>
      </c>
      <c r="E10" s="545"/>
      <c r="F10" s="545"/>
      <c r="G10" s="545"/>
      <c r="H10" s="545"/>
      <c r="I10" s="545"/>
      <c r="J10" s="545">
        <f aca="true" t="shared" si="7" ref="J10:J31">J9+G10</f>
        <v>80000</v>
      </c>
      <c r="K10" s="545">
        <f>6*'Summary ERRs'!$B$96</f>
        <v>6</v>
      </c>
      <c r="L10" s="545">
        <f t="shared" si="2"/>
        <v>480000</v>
      </c>
      <c r="M10" s="545">
        <f t="shared" si="3"/>
        <v>129600.00000000001</v>
      </c>
      <c r="N10" s="545"/>
      <c r="O10" s="545"/>
      <c r="P10" s="203"/>
      <c r="Q10" s="203"/>
      <c r="R10" s="203"/>
      <c r="S10" s="203"/>
      <c r="T10" s="203">
        <f t="shared" si="0"/>
        <v>0</v>
      </c>
      <c r="U10" s="203">
        <f aca="true" t="shared" si="8" ref="U10:U31">U9+P10</f>
        <v>80000</v>
      </c>
      <c r="V10" s="203">
        <f>6*'Summary ERRs'!$B$96</f>
        <v>6</v>
      </c>
      <c r="W10" s="203">
        <f t="shared" si="4"/>
        <v>480000</v>
      </c>
      <c r="X10" s="203">
        <f t="shared" si="5"/>
        <v>129600.00000000001</v>
      </c>
      <c r="Y10" s="545"/>
      <c r="Z10" s="545">
        <f>(T10-I10)*'ERR &amp; Sensitivity Analysis'!$G$10</f>
        <v>0</v>
      </c>
      <c r="AA10" s="545">
        <f>(X10-M10)*'ERR &amp; Sensitivity Analysis'!$G$11</f>
        <v>0</v>
      </c>
      <c r="AB10" s="545">
        <f t="shared" si="6"/>
        <v>0</v>
      </c>
      <c r="AC10" s="545"/>
      <c r="AD10" s="1009">
        <f aca="true" t="shared" si="9" ref="AD10:AD32">D10+AB10</f>
        <v>-64293.488679083166</v>
      </c>
      <c r="AE10" s="692"/>
    </row>
    <row r="11" spans="1:31" ht="12.75">
      <c r="A11" s="691">
        <v>4</v>
      </c>
      <c r="B11" s="534">
        <f>'Summary ERRs'!$F$84</f>
        <v>9203.724156026692</v>
      </c>
      <c r="C11" s="42">
        <f>'Summary ERRs'!$F$45</f>
        <v>-52647.6184427835</v>
      </c>
      <c r="D11" s="534">
        <f t="shared" si="1"/>
        <v>-43443.89428675681</v>
      </c>
      <c r="E11" s="545"/>
      <c r="F11" s="545"/>
      <c r="G11" s="545"/>
      <c r="H11" s="545"/>
      <c r="I11" s="545"/>
      <c r="J11" s="545">
        <f t="shared" si="7"/>
        <v>80000</v>
      </c>
      <c r="K11" s="545">
        <f>6*'Summary ERRs'!$B$96</f>
        <v>6</v>
      </c>
      <c r="L11" s="545">
        <f t="shared" si="2"/>
        <v>480000</v>
      </c>
      <c r="M11" s="545">
        <f t="shared" si="3"/>
        <v>129600.00000000001</v>
      </c>
      <c r="N11" s="545"/>
      <c r="O11" s="545"/>
      <c r="P11" s="203"/>
      <c r="Q11" s="203"/>
      <c r="R11" s="203"/>
      <c r="S11" s="203"/>
      <c r="T11" s="203">
        <f t="shared" si="0"/>
        <v>0</v>
      </c>
      <c r="U11" s="203">
        <f t="shared" si="8"/>
        <v>80000</v>
      </c>
      <c r="V11" s="203">
        <f>6*'Summary ERRs'!$B$96</f>
        <v>6</v>
      </c>
      <c r="W11" s="203">
        <f t="shared" si="4"/>
        <v>480000</v>
      </c>
      <c r="X11" s="203">
        <f t="shared" si="5"/>
        <v>129600.00000000001</v>
      </c>
      <c r="Y11" s="545"/>
      <c r="Z11" s="545">
        <f>(T11-I11)*'ERR &amp; Sensitivity Analysis'!$G$10</f>
        <v>0</v>
      </c>
      <c r="AA11" s="545">
        <f>(X11-M11)*'ERR &amp; Sensitivity Analysis'!$G$11</f>
        <v>0</v>
      </c>
      <c r="AB11" s="545">
        <f t="shared" si="6"/>
        <v>0</v>
      </c>
      <c r="AC11" s="545"/>
      <c r="AD11" s="1009">
        <f t="shared" si="9"/>
        <v>-43443.89428675681</v>
      </c>
      <c r="AE11" s="692"/>
    </row>
    <row r="12" spans="1:31" ht="12.75">
      <c r="A12" s="691">
        <v>5</v>
      </c>
      <c r="B12" s="534">
        <f>'Summary ERRs'!$G$84</f>
        <v>15434.032867692471</v>
      </c>
      <c r="C12" s="42">
        <f>'Summary ERRs'!$G$45</f>
        <v>-26242.3233558513</v>
      </c>
      <c r="D12" s="534">
        <f t="shared" si="1"/>
        <v>-10808.290488158827</v>
      </c>
      <c r="E12" s="545"/>
      <c r="F12" s="545"/>
      <c r="G12" s="545">
        <v>5000</v>
      </c>
      <c r="H12" s="545">
        <f>6*'Summary ERRs'!$B$97</f>
        <v>6</v>
      </c>
      <c r="I12" s="545">
        <f>H12*G12</f>
        <v>30000</v>
      </c>
      <c r="J12" s="545">
        <f t="shared" si="7"/>
        <v>85000</v>
      </c>
      <c r="K12" s="545">
        <f>6*'Summary ERRs'!$B$96</f>
        <v>6</v>
      </c>
      <c r="L12" s="545">
        <f t="shared" si="2"/>
        <v>510000</v>
      </c>
      <c r="M12" s="545">
        <f t="shared" si="3"/>
        <v>137700</v>
      </c>
      <c r="N12" s="545"/>
      <c r="O12" s="545"/>
      <c r="P12" s="203">
        <v>5000</v>
      </c>
      <c r="Q12" s="203">
        <f>6*'Summary ERRs'!$B$97</f>
        <v>6</v>
      </c>
      <c r="R12" s="203">
        <f>P12*Q12</f>
        <v>30000</v>
      </c>
      <c r="S12" s="203"/>
      <c r="T12" s="203">
        <f t="shared" si="0"/>
        <v>30000</v>
      </c>
      <c r="U12" s="203">
        <f t="shared" si="8"/>
        <v>85000</v>
      </c>
      <c r="V12" s="203">
        <f>6*'Summary ERRs'!$B$96</f>
        <v>6</v>
      </c>
      <c r="W12" s="203">
        <f t="shared" si="4"/>
        <v>510000</v>
      </c>
      <c r="X12" s="203">
        <f t="shared" si="5"/>
        <v>137700</v>
      </c>
      <c r="Y12" s="545"/>
      <c r="Z12" s="545">
        <f>(T12-I12)*'ERR &amp; Sensitivity Analysis'!$G$10</f>
        <v>0</v>
      </c>
      <c r="AA12" s="545">
        <f>(X12-M12)*'ERR &amp; Sensitivity Analysis'!$G$11</f>
        <v>0</v>
      </c>
      <c r="AB12" s="545">
        <f t="shared" si="6"/>
        <v>0</v>
      </c>
      <c r="AC12" s="545"/>
      <c r="AD12" s="1009">
        <f t="shared" si="9"/>
        <v>-10808.290488158827</v>
      </c>
      <c r="AE12" s="692"/>
    </row>
    <row r="13" spans="1:31" ht="12.75">
      <c r="A13" s="691">
        <v>6</v>
      </c>
      <c r="B13" s="534">
        <f>'Summary ERRs'!$H$84</f>
        <v>21056.3481180864</v>
      </c>
      <c r="C13" s="42">
        <f>'Summary ERRs'!$H$45</f>
        <v>-678.4615384615385</v>
      </c>
      <c r="D13" s="534">
        <f t="shared" si="1"/>
        <v>20377.88657962486</v>
      </c>
      <c r="E13" s="545"/>
      <c r="F13" s="545"/>
      <c r="G13" s="545"/>
      <c r="H13" s="545"/>
      <c r="I13" s="545"/>
      <c r="J13" s="545">
        <f t="shared" si="7"/>
        <v>85000</v>
      </c>
      <c r="K13" s="545">
        <f>6*'Summary ERRs'!$B$96</f>
        <v>6</v>
      </c>
      <c r="L13" s="545">
        <f t="shared" si="2"/>
        <v>510000</v>
      </c>
      <c r="M13" s="545">
        <f t="shared" si="3"/>
        <v>137700</v>
      </c>
      <c r="N13" s="545"/>
      <c r="O13" s="545"/>
      <c r="P13" s="203"/>
      <c r="Q13" s="203"/>
      <c r="R13" s="203"/>
      <c r="S13" s="203"/>
      <c r="T13" s="203">
        <f t="shared" si="0"/>
        <v>0</v>
      </c>
      <c r="U13" s="203">
        <f t="shared" si="8"/>
        <v>85000</v>
      </c>
      <c r="V13" s="203">
        <f>6*'Summary ERRs'!$B$96</f>
        <v>6</v>
      </c>
      <c r="W13" s="203">
        <f t="shared" si="4"/>
        <v>510000</v>
      </c>
      <c r="X13" s="203">
        <f t="shared" si="5"/>
        <v>137700</v>
      </c>
      <c r="Y13" s="545"/>
      <c r="Z13" s="545">
        <f>(T13-I13)*'ERR &amp; Sensitivity Analysis'!$G$10</f>
        <v>0</v>
      </c>
      <c r="AA13" s="545">
        <f>(X13-M13)*'ERR &amp; Sensitivity Analysis'!$G$11</f>
        <v>0</v>
      </c>
      <c r="AB13" s="545">
        <f t="shared" si="6"/>
        <v>0</v>
      </c>
      <c r="AC13" s="545"/>
      <c r="AD13" s="1009">
        <f t="shared" si="9"/>
        <v>20377.88657962486</v>
      </c>
      <c r="AE13" s="692"/>
    </row>
    <row r="14" spans="1:31" ht="12.75">
      <c r="A14" s="691">
        <v>7</v>
      </c>
      <c r="B14" s="534">
        <f>'Summary ERRs'!$I$84</f>
        <v>24548.21026405311</v>
      </c>
      <c r="C14" s="42">
        <f>'Summary ERRs'!$I$45</f>
        <v>-678.4615384615385</v>
      </c>
      <c r="D14" s="534">
        <f t="shared" si="1"/>
        <v>23869.74872559157</v>
      </c>
      <c r="E14" s="545"/>
      <c r="F14" s="545"/>
      <c r="G14" s="545"/>
      <c r="H14" s="545"/>
      <c r="I14" s="545"/>
      <c r="J14" s="545">
        <f t="shared" si="7"/>
        <v>85000</v>
      </c>
      <c r="K14" s="545">
        <f>5.5*'Summary ERRs'!$B$96</f>
        <v>5.5</v>
      </c>
      <c r="L14" s="545">
        <f t="shared" si="2"/>
        <v>467500</v>
      </c>
      <c r="M14" s="545">
        <f t="shared" si="3"/>
        <v>126225.00000000001</v>
      </c>
      <c r="N14" s="545"/>
      <c r="O14" s="545"/>
      <c r="P14" s="203"/>
      <c r="Q14" s="203"/>
      <c r="R14" s="203"/>
      <c r="S14" s="203"/>
      <c r="T14" s="203"/>
      <c r="U14" s="203">
        <f t="shared" si="8"/>
        <v>85000</v>
      </c>
      <c r="V14" s="203">
        <f>6*'Summary ERRs'!$B$96</f>
        <v>6</v>
      </c>
      <c r="W14" s="203">
        <f t="shared" si="4"/>
        <v>510000</v>
      </c>
      <c r="X14" s="203">
        <f t="shared" si="5"/>
        <v>137700</v>
      </c>
      <c r="Y14" s="545"/>
      <c r="Z14" s="545">
        <f>(T14-I14)*'ERR &amp; Sensitivity Analysis'!$G$10</f>
        <v>0</v>
      </c>
      <c r="AA14" s="545">
        <f>(X14-M14)*'ERR &amp; Sensitivity Analysis'!$G$11</f>
        <v>11474.999999999985</v>
      </c>
      <c r="AB14" s="545">
        <f>AA14-Z14</f>
        <v>11474.999999999985</v>
      </c>
      <c r="AC14" s="545"/>
      <c r="AD14" s="1009">
        <f t="shared" si="9"/>
        <v>35344.748725591555</v>
      </c>
      <c r="AE14" s="692"/>
    </row>
    <row r="15" spans="1:31" ht="12.75">
      <c r="A15" s="691">
        <v>8</v>
      </c>
      <c r="B15" s="534">
        <f>'Summary ERRs'!$J$84</f>
        <v>27057.29144088773</v>
      </c>
      <c r="C15" s="42">
        <f>'Summary ERRs'!$I$45</f>
        <v>-678.4615384615385</v>
      </c>
      <c r="D15" s="534">
        <f t="shared" si="1"/>
        <v>26378.82990242619</v>
      </c>
      <c r="E15" s="545"/>
      <c r="F15" s="545"/>
      <c r="G15" s="545"/>
      <c r="H15" s="545"/>
      <c r="I15" s="545"/>
      <c r="J15" s="545">
        <f t="shared" si="7"/>
        <v>85000</v>
      </c>
      <c r="K15" s="545">
        <f>5.5*'Summary ERRs'!$B$96</f>
        <v>5.5</v>
      </c>
      <c r="L15" s="545">
        <f t="shared" si="2"/>
        <v>467500</v>
      </c>
      <c r="M15" s="545">
        <f t="shared" si="3"/>
        <v>126225.00000000001</v>
      </c>
      <c r="N15" s="545"/>
      <c r="O15" s="545"/>
      <c r="P15" s="203"/>
      <c r="Q15" s="203"/>
      <c r="R15" s="203"/>
      <c r="S15" s="203"/>
      <c r="T15" s="203"/>
      <c r="U15" s="203">
        <f t="shared" si="8"/>
        <v>85000</v>
      </c>
      <c r="V15" s="203">
        <f>6*'Summary ERRs'!$B$96</f>
        <v>6</v>
      </c>
      <c r="W15" s="203">
        <f t="shared" si="4"/>
        <v>510000</v>
      </c>
      <c r="X15" s="203">
        <f t="shared" si="5"/>
        <v>137700</v>
      </c>
      <c r="Y15" s="545"/>
      <c r="Z15" s="545">
        <f>(T15-I15)*'ERR &amp; Sensitivity Analysis'!$G$10</f>
        <v>0</v>
      </c>
      <c r="AA15" s="545">
        <f>(X15-M15)*'ERR &amp; Sensitivity Analysis'!$G$11</f>
        <v>11474.999999999985</v>
      </c>
      <c r="AB15" s="545">
        <f t="shared" si="6"/>
        <v>11474.999999999985</v>
      </c>
      <c r="AC15" s="545"/>
      <c r="AD15" s="1009">
        <f t="shared" si="9"/>
        <v>37853.82990242618</v>
      </c>
      <c r="AE15" s="692"/>
    </row>
    <row r="16" spans="1:31" ht="12.75">
      <c r="A16" s="691">
        <v>9</v>
      </c>
      <c r="B16" s="534">
        <f>'Summary ERRs'!$K$84</f>
        <v>28131.53949445793</v>
      </c>
      <c r="C16" s="42">
        <f>'Summary ERRs'!$I$45</f>
        <v>-678.4615384615385</v>
      </c>
      <c r="D16" s="534">
        <f t="shared" si="1"/>
        <v>27453.077955996392</v>
      </c>
      <c r="E16" s="545"/>
      <c r="F16" s="545"/>
      <c r="G16" s="545"/>
      <c r="H16" s="545"/>
      <c r="I16" s="545"/>
      <c r="J16" s="545">
        <f t="shared" si="7"/>
        <v>85000</v>
      </c>
      <c r="K16" s="545">
        <f>5*'Summary ERRs'!$B$96</f>
        <v>5</v>
      </c>
      <c r="L16" s="545">
        <f t="shared" si="2"/>
        <v>425000</v>
      </c>
      <c r="M16" s="545">
        <f t="shared" si="3"/>
        <v>114750.00000000001</v>
      </c>
      <c r="N16" s="545"/>
      <c r="O16" s="545"/>
      <c r="P16" s="203"/>
      <c r="Q16" s="203"/>
      <c r="R16" s="203"/>
      <c r="S16" s="203"/>
      <c r="T16" s="203"/>
      <c r="U16" s="203">
        <f t="shared" si="8"/>
        <v>85000</v>
      </c>
      <c r="V16" s="203">
        <f>6*'Summary ERRs'!$B$96</f>
        <v>6</v>
      </c>
      <c r="W16" s="203">
        <f t="shared" si="4"/>
        <v>510000</v>
      </c>
      <c r="X16" s="203">
        <f t="shared" si="5"/>
        <v>137700</v>
      </c>
      <c r="Y16" s="545"/>
      <c r="Z16" s="545">
        <f>(T16-I16)*'ERR &amp; Sensitivity Analysis'!$G$10</f>
        <v>0</v>
      </c>
      <c r="AA16" s="545">
        <f>(X16-M16)*'ERR &amp; Sensitivity Analysis'!$G$11</f>
        <v>22949.999999999985</v>
      </c>
      <c r="AB16" s="545">
        <f t="shared" si="6"/>
        <v>22949.999999999985</v>
      </c>
      <c r="AC16" s="545"/>
      <c r="AD16" s="1009">
        <f t="shared" si="9"/>
        <v>50403.07795599638</v>
      </c>
      <c r="AE16" s="692"/>
    </row>
    <row r="17" spans="1:31" ht="12.75">
      <c r="A17" s="691">
        <v>10</v>
      </c>
      <c r="B17" s="534">
        <f>'Summary ERRs'!$L$84</f>
        <v>28713.669645175403</v>
      </c>
      <c r="C17" s="42">
        <f>'Summary ERRs'!$I$45</f>
        <v>-678.4615384615385</v>
      </c>
      <c r="D17" s="534">
        <f t="shared" si="1"/>
        <v>28035.208106713864</v>
      </c>
      <c r="E17" s="545"/>
      <c r="F17" s="545"/>
      <c r="G17" s="545"/>
      <c r="H17" s="545"/>
      <c r="I17" s="545"/>
      <c r="J17" s="545">
        <f t="shared" si="7"/>
        <v>85000</v>
      </c>
      <c r="K17" s="545">
        <f>5*'Summary ERRs'!$B$96</f>
        <v>5</v>
      </c>
      <c r="L17" s="545">
        <f t="shared" si="2"/>
        <v>425000</v>
      </c>
      <c r="M17" s="545">
        <f t="shared" si="3"/>
        <v>114750.00000000001</v>
      </c>
      <c r="N17" s="545"/>
      <c r="O17" s="545"/>
      <c r="P17" s="203"/>
      <c r="Q17" s="203"/>
      <c r="R17" s="203"/>
      <c r="S17" s="203"/>
      <c r="T17" s="203"/>
      <c r="U17" s="203">
        <f t="shared" si="8"/>
        <v>85000</v>
      </c>
      <c r="V17" s="203">
        <f>6*'Summary ERRs'!$B$96</f>
        <v>6</v>
      </c>
      <c r="W17" s="203">
        <f t="shared" si="4"/>
        <v>510000</v>
      </c>
      <c r="X17" s="203">
        <f t="shared" si="5"/>
        <v>137700</v>
      </c>
      <c r="Y17" s="545"/>
      <c r="Z17" s="545">
        <f>(T17-I17)*'ERR &amp; Sensitivity Analysis'!$G$10</f>
        <v>0</v>
      </c>
      <c r="AA17" s="545">
        <f>(X17-M17)*'ERR &amp; Sensitivity Analysis'!$G$11</f>
        <v>22949.999999999985</v>
      </c>
      <c r="AB17" s="545">
        <f t="shared" si="6"/>
        <v>22949.999999999985</v>
      </c>
      <c r="AC17" s="545"/>
      <c r="AD17" s="1009">
        <f t="shared" si="9"/>
        <v>50985.20810671385</v>
      </c>
      <c r="AE17" s="692"/>
    </row>
    <row r="18" spans="1:31" ht="12.75">
      <c r="A18" s="691">
        <v>11</v>
      </c>
      <c r="B18" s="534">
        <f>'Summary ERRs'!$M$84</f>
        <v>28857.0837865378</v>
      </c>
      <c r="C18" s="42">
        <f>'Summary ERRs'!$I$45</f>
        <v>-678.4615384615385</v>
      </c>
      <c r="D18" s="534">
        <f t="shared" si="1"/>
        <v>28178.622248076263</v>
      </c>
      <c r="E18" s="545"/>
      <c r="F18" s="545"/>
      <c r="G18" s="545"/>
      <c r="H18" s="545"/>
      <c r="I18" s="545"/>
      <c r="J18" s="545">
        <f t="shared" si="7"/>
        <v>85000</v>
      </c>
      <c r="K18" s="545">
        <f>4.5*'Summary ERRs'!$B$96</f>
        <v>4.5</v>
      </c>
      <c r="L18" s="545">
        <f t="shared" si="2"/>
        <v>382500</v>
      </c>
      <c r="M18" s="545">
        <f t="shared" si="3"/>
        <v>103275</v>
      </c>
      <c r="N18" s="545"/>
      <c r="O18" s="545"/>
      <c r="P18" s="203"/>
      <c r="Q18" s="203"/>
      <c r="R18" s="203"/>
      <c r="S18" s="203"/>
      <c r="T18" s="203"/>
      <c r="U18" s="203">
        <f t="shared" si="8"/>
        <v>85000</v>
      </c>
      <c r="V18" s="203">
        <f>6*'Summary ERRs'!$B$96</f>
        <v>6</v>
      </c>
      <c r="W18" s="203">
        <f t="shared" si="4"/>
        <v>510000</v>
      </c>
      <c r="X18" s="203">
        <f t="shared" si="5"/>
        <v>137700</v>
      </c>
      <c r="Y18" s="545"/>
      <c r="Z18" s="545">
        <f>(T18-I18)*'ERR &amp; Sensitivity Analysis'!$G$10</f>
        <v>0</v>
      </c>
      <c r="AA18" s="545">
        <f>(X18-M18)*'ERR &amp; Sensitivity Analysis'!$G$11</f>
        <v>34425</v>
      </c>
      <c r="AB18" s="545">
        <f t="shared" si="6"/>
        <v>34425</v>
      </c>
      <c r="AC18" s="545"/>
      <c r="AD18" s="1009">
        <f t="shared" si="9"/>
        <v>62603.622248076266</v>
      </c>
      <c r="AE18" s="692"/>
    </row>
    <row r="19" spans="1:31" ht="12.75">
      <c r="A19" s="691">
        <v>12</v>
      </c>
      <c r="B19" s="534">
        <f>'Summary ERRs'!$N$84</f>
        <v>29006.321145563772</v>
      </c>
      <c r="C19" s="42">
        <f>'Summary ERRs'!$I$45</f>
        <v>-678.4615384615385</v>
      </c>
      <c r="D19" s="534">
        <f t="shared" si="1"/>
        <v>28327.859607102233</v>
      </c>
      <c r="E19" s="545"/>
      <c r="F19" s="545"/>
      <c r="G19" s="545"/>
      <c r="H19" s="545"/>
      <c r="I19" s="545"/>
      <c r="J19" s="545">
        <f t="shared" si="7"/>
        <v>85000</v>
      </c>
      <c r="K19" s="545">
        <f>4.5*'Summary ERRs'!$B$96</f>
        <v>4.5</v>
      </c>
      <c r="L19" s="545">
        <f t="shared" si="2"/>
        <v>382500</v>
      </c>
      <c r="M19" s="545">
        <f t="shared" si="3"/>
        <v>103275</v>
      </c>
      <c r="N19" s="545"/>
      <c r="O19" s="545"/>
      <c r="P19" s="203"/>
      <c r="Q19" s="203"/>
      <c r="R19" s="203"/>
      <c r="S19" s="203"/>
      <c r="T19" s="203"/>
      <c r="U19" s="203">
        <f t="shared" si="8"/>
        <v>85000</v>
      </c>
      <c r="V19" s="203">
        <f>6*'Summary ERRs'!$B$96</f>
        <v>6</v>
      </c>
      <c r="W19" s="203">
        <f t="shared" si="4"/>
        <v>510000</v>
      </c>
      <c r="X19" s="203">
        <f t="shared" si="5"/>
        <v>137700</v>
      </c>
      <c r="Y19" s="545"/>
      <c r="Z19" s="545">
        <f>(T19-I19)*'ERR &amp; Sensitivity Analysis'!$G$10</f>
        <v>0</v>
      </c>
      <c r="AA19" s="545">
        <f>(X19-M19)*'ERR &amp; Sensitivity Analysis'!$G$11</f>
        <v>34425</v>
      </c>
      <c r="AB19" s="545">
        <f t="shared" si="6"/>
        <v>34425</v>
      </c>
      <c r="AC19" s="545"/>
      <c r="AD19" s="1009">
        <f t="shared" si="9"/>
        <v>62752.85960710223</v>
      </c>
      <c r="AE19" s="692"/>
    </row>
    <row r="20" spans="1:31" ht="12.75">
      <c r="A20" s="691">
        <v>13</v>
      </c>
      <c r="B20" s="534">
        <f>'Summary ERRs'!$O$84</f>
        <v>29161.63245845436</v>
      </c>
      <c r="C20" s="42">
        <f>'Summary ERRs'!$I$45</f>
        <v>-678.4615384615385</v>
      </c>
      <c r="D20" s="534">
        <f t="shared" si="1"/>
        <v>28483.170919992823</v>
      </c>
      <c r="E20" s="545"/>
      <c r="F20" s="545"/>
      <c r="G20" s="545"/>
      <c r="H20" s="545"/>
      <c r="I20" s="545"/>
      <c r="J20" s="545">
        <f t="shared" si="7"/>
        <v>85000</v>
      </c>
      <c r="K20" s="545">
        <f>4.5*'Summary ERRs'!$B$96</f>
        <v>4.5</v>
      </c>
      <c r="L20" s="545">
        <f t="shared" si="2"/>
        <v>382500</v>
      </c>
      <c r="M20" s="545">
        <f t="shared" si="3"/>
        <v>103275</v>
      </c>
      <c r="N20" s="545"/>
      <c r="O20" s="545"/>
      <c r="P20" s="203"/>
      <c r="Q20" s="203"/>
      <c r="R20" s="203"/>
      <c r="S20" s="203"/>
      <c r="T20" s="203"/>
      <c r="U20" s="203">
        <f t="shared" si="8"/>
        <v>85000</v>
      </c>
      <c r="V20" s="203">
        <f>6*'Summary ERRs'!$B$96</f>
        <v>6</v>
      </c>
      <c r="W20" s="203">
        <f t="shared" si="4"/>
        <v>510000</v>
      </c>
      <c r="X20" s="203">
        <f t="shared" si="5"/>
        <v>137700</v>
      </c>
      <c r="Y20" s="545"/>
      <c r="Z20" s="545">
        <f>(T20-I20)*'ERR &amp; Sensitivity Analysis'!$G$10</f>
        <v>0</v>
      </c>
      <c r="AA20" s="545">
        <f>(X20-M20)*'ERR &amp; Sensitivity Analysis'!$G$11</f>
        <v>34425</v>
      </c>
      <c r="AB20" s="545">
        <f t="shared" si="6"/>
        <v>34425</v>
      </c>
      <c r="AC20" s="545"/>
      <c r="AD20" s="1009">
        <f t="shared" si="9"/>
        <v>62908.17091999282</v>
      </c>
      <c r="AE20" s="692"/>
    </row>
    <row r="21" spans="1:31" ht="12.75" customHeight="1">
      <c r="A21" s="691">
        <v>14</v>
      </c>
      <c r="B21" s="534">
        <f>'Summary ERRs'!$P$84</f>
        <v>29323.279785480197</v>
      </c>
      <c r="C21" s="42">
        <f>'Summary ERRs'!$I$45</f>
        <v>-678.4615384615385</v>
      </c>
      <c r="D21" s="534">
        <f t="shared" si="1"/>
        <v>28644.81824701866</v>
      </c>
      <c r="E21" s="545"/>
      <c r="F21" s="545"/>
      <c r="G21" s="545"/>
      <c r="H21" s="545"/>
      <c r="I21" s="545"/>
      <c r="J21" s="545">
        <f t="shared" si="7"/>
        <v>85000</v>
      </c>
      <c r="K21" s="545">
        <f>4.5*'Summary ERRs'!$B$96</f>
        <v>4.5</v>
      </c>
      <c r="L21" s="545">
        <f t="shared" si="2"/>
        <v>382500</v>
      </c>
      <c r="M21" s="545">
        <f t="shared" si="3"/>
        <v>103275</v>
      </c>
      <c r="N21" s="545"/>
      <c r="O21" s="545"/>
      <c r="P21" s="688"/>
      <c r="Q21" s="1118" t="s">
        <v>239</v>
      </c>
      <c r="R21" s="1119"/>
      <c r="S21" s="1120"/>
      <c r="T21" s="203"/>
      <c r="U21" s="203">
        <f>U20+P21</f>
        <v>85000</v>
      </c>
      <c r="V21" s="203">
        <f>6*'Summary ERRs'!$B$96</f>
        <v>6</v>
      </c>
      <c r="W21" s="203">
        <f t="shared" si="4"/>
        <v>510000</v>
      </c>
      <c r="X21" s="203">
        <f t="shared" si="5"/>
        <v>137700</v>
      </c>
      <c r="Y21" s="545"/>
      <c r="Z21" s="545">
        <f>(T21-I21)*'ERR &amp; Sensitivity Analysis'!$G$10</f>
        <v>0</v>
      </c>
      <c r="AA21" s="545">
        <f>(X21-M21)*'ERR &amp; Sensitivity Analysis'!$G$11</f>
        <v>34425</v>
      </c>
      <c r="AB21" s="545">
        <f t="shared" si="6"/>
        <v>34425</v>
      </c>
      <c r="AC21" s="545"/>
      <c r="AD21" s="1009">
        <f t="shared" si="9"/>
        <v>63069.81824701866</v>
      </c>
      <c r="AE21" s="692"/>
    </row>
    <row r="22" spans="1:31" ht="12.75">
      <c r="A22" s="691">
        <v>15</v>
      </c>
      <c r="B22" s="534">
        <f>'Summary ERRs'!$Q$84</f>
        <v>29491.537040802767</v>
      </c>
      <c r="C22" s="42">
        <f>'Summary ERRs'!Q45</f>
        <v>-3909.230769230769</v>
      </c>
      <c r="D22" s="534">
        <f t="shared" si="1"/>
        <v>25582.306271571997</v>
      </c>
      <c r="E22" s="545"/>
      <c r="F22" s="545"/>
      <c r="G22" s="545"/>
      <c r="H22" s="545"/>
      <c r="I22" s="545"/>
      <c r="J22" s="545">
        <f t="shared" si="7"/>
        <v>85000</v>
      </c>
      <c r="K22" s="545">
        <f>4.5*'Summary ERRs'!$B$96</f>
        <v>4.5</v>
      </c>
      <c r="L22" s="545">
        <f t="shared" si="2"/>
        <v>382500</v>
      </c>
      <c r="M22" s="545">
        <f t="shared" si="3"/>
        <v>103275</v>
      </c>
      <c r="N22" s="545"/>
      <c r="O22" s="545"/>
      <c r="P22" s="688"/>
      <c r="Q22" s="1121"/>
      <c r="R22" s="1122"/>
      <c r="S22" s="1123"/>
      <c r="T22" s="203"/>
      <c r="U22" s="203">
        <f>U21+P22</f>
        <v>85000</v>
      </c>
      <c r="V22" s="203">
        <f>6*'Summary ERRs'!$B$96</f>
        <v>6</v>
      </c>
      <c r="W22" s="203">
        <f t="shared" si="4"/>
        <v>510000</v>
      </c>
      <c r="X22" s="203">
        <f t="shared" si="5"/>
        <v>137700</v>
      </c>
      <c r="Y22" s="545"/>
      <c r="Z22" s="545">
        <f>(T22-I22)*'ERR &amp; Sensitivity Analysis'!$G$10</f>
        <v>0</v>
      </c>
      <c r="AA22" s="545">
        <f>(X22-M22)*'ERR &amp; Sensitivity Analysis'!$G$11</f>
        <v>34425</v>
      </c>
      <c r="AB22" s="545">
        <f t="shared" si="6"/>
        <v>34425</v>
      </c>
      <c r="AC22" s="545"/>
      <c r="AD22" s="1009">
        <f t="shared" si="9"/>
        <v>60007.306271572</v>
      </c>
      <c r="AE22" s="692"/>
    </row>
    <row r="23" spans="1:31" ht="12.75">
      <c r="A23" s="691">
        <v>16</v>
      </c>
      <c r="B23" s="534">
        <f>'Summary ERRs'!$R$84</f>
        <v>29666.690547695267</v>
      </c>
      <c r="C23" s="42">
        <f>'Summary ERRs'!$I$45</f>
        <v>-678.4615384615385</v>
      </c>
      <c r="D23" s="534">
        <f t="shared" si="1"/>
        <v>28988.229009233728</v>
      </c>
      <c r="E23" s="545"/>
      <c r="F23" s="545"/>
      <c r="G23" s="545"/>
      <c r="H23" s="545"/>
      <c r="I23" s="545"/>
      <c r="J23" s="545">
        <f t="shared" si="7"/>
        <v>85000</v>
      </c>
      <c r="K23" s="545">
        <f>4.5*'Summary ERRs'!$B$96</f>
        <v>4.5</v>
      </c>
      <c r="L23" s="545">
        <f t="shared" si="2"/>
        <v>382500</v>
      </c>
      <c r="M23" s="545">
        <f t="shared" si="3"/>
        <v>103275</v>
      </c>
      <c r="N23" s="545"/>
      <c r="O23" s="545"/>
      <c r="P23" s="688"/>
      <c r="Q23" s="1121"/>
      <c r="R23" s="1122"/>
      <c r="S23" s="1123"/>
      <c r="T23" s="203"/>
      <c r="U23" s="203">
        <f>U22+P23</f>
        <v>85000</v>
      </c>
      <c r="V23" s="203">
        <f>6*'Summary ERRs'!$B$96</f>
        <v>6</v>
      </c>
      <c r="W23" s="203">
        <f t="shared" si="4"/>
        <v>510000</v>
      </c>
      <c r="X23" s="203">
        <f t="shared" si="5"/>
        <v>137700</v>
      </c>
      <c r="Y23" s="545"/>
      <c r="Z23" s="545">
        <f>(T23-I23)*'ERR &amp; Sensitivity Analysis'!$G$10</f>
        <v>0</v>
      </c>
      <c r="AA23" s="545">
        <f>(X23-M23)*'ERR &amp; Sensitivity Analysis'!$G$11</f>
        <v>34425</v>
      </c>
      <c r="AB23" s="545">
        <f t="shared" si="6"/>
        <v>34425</v>
      </c>
      <c r="AC23" s="545"/>
      <c r="AD23" s="1009">
        <f t="shared" si="9"/>
        <v>63413.22900923373</v>
      </c>
      <c r="AE23" s="692"/>
    </row>
    <row r="24" spans="1:31" ht="12.75">
      <c r="A24" s="691">
        <v>17</v>
      </c>
      <c r="B24" s="534">
        <f>'Summary ERRs'!$S$84</f>
        <v>29849.039620400312</v>
      </c>
      <c r="C24" s="42">
        <f>'Summary ERRs'!$I$45</f>
        <v>-678.4615384615385</v>
      </c>
      <c r="D24" s="534">
        <f t="shared" si="1"/>
        <v>29170.578081938773</v>
      </c>
      <c r="E24" s="545"/>
      <c r="F24" s="545"/>
      <c r="G24" s="545"/>
      <c r="H24" s="545"/>
      <c r="I24" s="545"/>
      <c r="J24" s="545">
        <f t="shared" si="7"/>
        <v>85000</v>
      </c>
      <c r="K24" s="545">
        <f>4.5*'Summary ERRs'!$B$96</f>
        <v>4.5</v>
      </c>
      <c r="L24" s="545">
        <f t="shared" si="2"/>
        <v>382500</v>
      </c>
      <c r="M24" s="545">
        <f t="shared" si="3"/>
        <v>103275</v>
      </c>
      <c r="N24" s="545"/>
      <c r="O24" s="545"/>
      <c r="P24" s="688"/>
      <c r="Q24" s="1121"/>
      <c r="R24" s="1122"/>
      <c r="S24" s="1123"/>
      <c r="T24" s="203"/>
      <c r="U24" s="203">
        <f>U23+P24</f>
        <v>85000</v>
      </c>
      <c r="V24" s="203">
        <f>6*'Summary ERRs'!$B$96</f>
        <v>6</v>
      </c>
      <c r="W24" s="203">
        <f t="shared" si="4"/>
        <v>510000</v>
      </c>
      <c r="X24" s="203">
        <f t="shared" si="5"/>
        <v>137700</v>
      </c>
      <c r="Y24" s="545"/>
      <c r="Z24" s="545">
        <f>(T24-I24)*'ERR &amp; Sensitivity Analysis'!$G$10</f>
        <v>0</v>
      </c>
      <c r="AA24" s="545">
        <f>(X24-M24)*'ERR &amp; Sensitivity Analysis'!$G$11</f>
        <v>34425</v>
      </c>
      <c r="AB24" s="545">
        <f t="shared" si="6"/>
        <v>34425</v>
      </c>
      <c r="AC24" s="545"/>
      <c r="AD24" s="1009">
        <f t="shared" si="9"/>
        <v>63595.57808193877</v>
      </c>
      <c r="AE24" s="692"/>
    </row>
    <row r="25" spans="1:31" ht="12.75">
      <c r="A25" s="691">
        <v>18</v>
      </c>
      <c r="B25" s="534">
        <f>'Summary ERRs'!$T$84</f>
        <v>30038.897173922564</v>
      </c>
      <c r="C25" s="42">
        <f>'Summary ERRs'!$I$45</f>
        <v>-678.4615384615385</v>
      </c>
      <c r="D25" s="534">
        <f t="shared" si="1"/>
        <v>29360.435635461025</v>
      </c>
      <c r="E25" s="545"/>
      <c r="F25" s="545"/>
      <c r="G25" s="545"/>
      <c r="H25" s="545"/>
      <c r="I25" s="545"/>
      <c r="J25" s="545">
        <f t="shared" si="7"/>
        <v>85000</v>
      </c>
      <c r="K25" s="545">
        <f>4.5*'Summary ERRs'!$B$96</f>
        <v>4.5</v>
      </c>
      <c r="L25" s="545">
        <f t="shared" si="2"/>
        <v>382500</v>
      </c>
      <c r="M25" s="545">
        <f t="shared" si="3"/>
        <v>103275</v>
      </c>
      <c r="N25" s="545"/>
      <c r="O25" s="545"/>
      <c r="P25" s="688"/>
      <c r="Q25" s="1124"/>
      <c r="R25" s="1125"/>
      <c r="S25" s="1126"/>
      <c r="T25" s="203"/>
      <c r="U25" s="203">
        <f>U24+P25</f>
        <v>85000</v>
      </c>
      <c r="V25" s="203">
        <f>6*'Summary ERRs'!$B$96</f>
        <v>6</v>
      </c>
      <c r="W25" s="203">
        <f t="shared" si="4"/>
        <v>510000</v>
      </c>
      <c r="X25" s="203">
        <f t="shared" si="5"/>
        <v>137700</v>
      </c>
      <c r="Y25" s="545"/>
      <c r="Z25" s="545">
        <f>(T25-I25)*'ERR &amp; Sensitivity Analysis'!$G$10</f>
        <v>0</v>
      </c>
      <c r="AA25" s="545">
        <f>(X25-M25)*'ERR &amp; Sensitivity Analysis'!$G$11</f>
        <v>34425</v>
      </c>
      <c r="AB25" s="545">
        <f t="shared" si="6"/>
        <v>34425</v>
      </c>
      <c r="AC25" s="545"/>
      <c r="AD25" s="1009">
        <f t="shared" si="9"/>
        <v>63785.43563546102</v>
      </c>
      <c r="AE25" s="692"/>
    </row>
    <row r="26" spans="1:31" ht="12.75">
      <c r="A26" s="691">
        <v>19</v>
      </c>
      <c r="B26" s="534">
        <f>'Summary ERRs'!$U$84</f>
        <v>30236.59036311834</v>
      </c>
      <c r="C26" s="42">
        <f>'Summary ERRs'!$I$45</f>
        <v>-678.4615384615385</v>
      </c>
      <c r="D26" s="534">
        <f t="shared" si="1"/>
        <v>29558.1288246568</v>
      </c>
      <c r="E26" s="545"/>
      <c r="F26" s="545"/>
      <c r="G26" s="545"/>
      <c r="H26" s="545"/>
      <c r="I26" s="545"/>
      <c r="J26" s="545">
        <f t="shared" si="7"/>
        <v>85000</v>
      </c>
      <c r="K26" s="545">
        <f>4.5*'Summary ERRs'!$B$96</f>
        <v>4.5</v>
      </c>
      <c r="L26" s="545">
        <f t="shared" si="2"/>
        <v>382500</v>
      </c>
      <c r="M26" s="545">
        <f t="shared" si="3"/>
        <v>103275</v>
      </c>
      <c r="N26" s="545"/>
      <c r="O26" s="545"/>
      <c r="P26" s="203"/>
      <c r="Q26" s="203"/>
      <c r="R26" s="203"/>
      <c r="S26" s="203"/>
      <c r="T26" s="203"/>
      <c r="U26" s="203">
        <f t="shared" si="8"/>
        <v>85000</v>
      </c>
      <c r="V26" s="203">
        <f>6*'Summary ERRs'!$B$96</f>
        <v>6</v>
      </c>
      <c r="W26" s="203">
        <f t="shared" si="4"/>
        <v>510000</v>
      </c>
      <c r="X26" s="203">
        <f t="shared" si="5"/>
        <v>137700</v>
      </c>
      <c r="Y26" s="545"/>
      <c r="Z26" s="545">
        <f>(T26-I26)*'ERR &amp; Sensitivity Analysis'!$G$10</f>
        <v>0</v>
      </c>
      <c r="AA26" s="545">
        <f>(X26-M26)*'ERR &amp; Sensitivity Analysis'!$G$11</f>
        <v>34425</v>
      </c>
      <c r="AB26" s="545">
        <f t="shared" si="6"/>
        <v>34425</v>
      </c>
      <c r="AC26" s="545"/>
      <c r="AD26" s="1009">
        <f t="shared" si="9"/>
        <v>63983.1288246568</v>
      </c>
      <c r="AE26" s="692"/>
    </row>
    <row r="27" spans="1:31" ht="12.75">
      <c r="A27" s="691">
        <v>20</v>
      </c>
      <c r="B27" s="534">
        <f>'Summary ERRs'!$V$84</f>
        <v>30442.461252511242</v>
      </c>
      <c r="C27" s="42">
        <f>'Summary ERRs'!$I$45</f>
        <v>-678.4615384615385</v>
      </c>
      <c r="D27" s="534">
        <f t="shared" si="1"/>
        <v>29763.999714049703</v>
      </c>
      <c r="E27" s="545"/>
      <c r="F27" s="545"/>
      <c r="G27" s="545"/>
      <c r="H27" s="545"/>
      <c r="I27" s="545"/>
      <c r="J27" s="545">
        <f t="shared" si="7"/>
        <v>85000</v>
      </c>
      <c r="K27" s="545">
        <f>4.5*'Summary ERRs'!$B$96</f>
        <v>4.5</v>
      </c>
      <c r="L27" s="545">
        <f t="shared" si="2"/>
        <v>382500</v>
      </c>
      <c r="M27" s="545">
        <f t="shared" si="3"/>
        <v>103275</v>
      </c>
      <c r="N27" s="545"/>
      <c r="O27" s="545"/>
      <c r="P27" s="203"/>
      <c r="Q27" s="203"/>
      <c r="R27" s="203"/>
      <c r="S27" s="203"/>
      <c r="T27" s="203"/>
      <c r="U27" s="203">
        <f t="shared" si="8"/>
        <v>85000</v>
      </c>
      <c r="V27" s="203">
        <f>6*'Summary ERRs'!$B$96</f>
        <v>6</v>
      </c>
      <c r="W27" s="203">
        <f t="shared" si="4"/>
        <v>510000</v>
      </c>
      <c r="X27" s="203">
        <f t="shared" si="5"/>
        <v>137700</v>
      </c>
      <c r="Y27" s="545"/>
      <c r="Z27" s="545">
        <f>(T27-I27)*'ERR &amp; Sensitivity Analysis'!$G$10</f>
        <v>0</v>
      </c>
      <c r="AA27" s="545">
        <f>(X27-M27)*'ERR &amp; Sensitivity Analysis'!$G$11</f>
        <v>34425</v>
      </c>
      <c r="AB27" s="545">
        <f t="shared" si="6"/>
        <v>34425</v>
      </c>
      <c r="AC27" s="545"/>
      <c r="AD27" s="1009">
        <f t="shared" si="9"/>
        <v>64188.9997140497</v>
      </c>
      <c r="AE27" s="692"/>
    </row>
    <row r="28" spans="1:31" ht="12.75">
      <c r="A28" s="691">
        <v>21</v>
      </c>
      <c r="B28" s="534">
        <f>'Summary ERRs'!$W$84</f>
        <v>30656.86751833325</v>
      </c>
      <c r="C28" s="42">
        <f>'Summary ERRs'!$I$45</f>
        <v>-678.4615384615385</v>
      </c>
      <c r="D28" s="534">
        <f t="shared" si="1"/>
        <v>29978.40597987171</v>
      </c>
      <c r="E28" s="545"/>
      <c r="F28" s="545"/>
      <c r="G28" s="545"/>
      <c r="H28" s="545"/>
      <c r="I28" s="545"/>
      <c r="J28" s="545">
        <f t="shared" si="7"/>
        <v>85000</v>
      </c>
      <c r="K28" s="545">
        <f>4.5*'Summary ERRs'!$B$96</f>
        <v>4.5</v>
      </c>
      <c r="L28" s="545">
        <f t="shared" si="2"/>
        <v>382500</v>
      </c>
      <c r="M28" s="545">
        <f t="shared" si="3"/>
        <v>103275</v>
      </c>
      <c r="N28" s="545"/>
      <c r="O28" s="545"/>
      <c r="P28" s="203"/>
      <c r="Q28" s="203"/>
      <c r="R28" s="203"/>
      <c r="S28" s="203"/>
      <c r="T28" s="203"/>
      <c r="U28" s="203">
        <f t="shared" si="8"/>
        <v>85000</v>
      </c>
      <c r="V28" s="203">
        <f>6*'Summary ERRs'!$B$96</f>
        <v>6</v>
      </c>
      <c r="W28" s="203">
        <f t="shared" si="4"/>
        <v>510000</v>
      </c>
      <c r="X28" s="203">
        <f t="shared" si="5"/>
        <v>137700</v>
      </c>
      <c r="Y28" s="545"/>
      <c r="Z28" s="545">
        <f>(T28-I28)*'ERR &amp; Sensitivity Analysis'!$G$10</f>
        <v>0</v>
      </c>
      <c r="AA28" s="545">
        <f>(X28-M28)*'ERR &amp; Sensitivity Analysis'!$G$11</f>
        <v>34425</v>
      </c>
      <c r="AB28" s="545">
        <f t="shared" si="6"/>
        <v>34425</v>
      </c>
      <c r="AC28" s="545"/>
      <c r="AD28" s="1009">
        <f t="shared" si="9"/>
        <v>64403.405979871706</v>
      </c>
      <c r="AE28" s="692"/>
    </row>
    <row r="29" spans="1:31" ht="12.75">
      <c r="A29" s="691">
        <v>22</v>
      </c>
      <c r="B29" s="534">
        <f>'Summary ERRs'!$X$84</f>
        <v>30880.183184364592</v>
      </c>
      <c r="C29" s="42">
        <f>'Summary ERRs'!$I$45</f>
        <v>-678.4615384615385</v>
      </c>
      <c r="D29" s="534">
        <f t="shared" si="1"/>
        <v>30201.721645903053</v>
      </c>
      <c r="E29" s="545"/>
      <c r="F29" s="545"/>
      <c r="G29" s="545"/>
      <c r="H29" s="545"/>
      <c r="I29" s="545"/>
      <c r="J29" s="545">
        <f t="shared" si="7"/>
        <v>85000</v>
      </c>
      <c r="K29" s="545">
        <f>4.5*'Summary ERRs'!$B$96</f>
        <v>4.5</v>
      </c>
      <c r="L29" s="545">
        <f t="shared" si="2"/>
        <v>382500</v>
      </c>
      <c r="M29" s="545">
        <f t="shared" si="3"/>
        <v>103275</v>
      </c>
      <c r="N29" s="545"/>
      <c r="O29" s="545"/>
      <c r="P29" s="203"/>
      <c r="Q29" s="203"/>
      <c r="R29" s="203"/>
      <c r="S29" s="203"/>
      <c r="T29" s="203"/>
      <c r="U29" s="203">
        <f t="shared" si="8"/>
        <v>85000</v>
      </c>
      <c r="V29" s="203">
        <f>6*'Summary ERRs'!$B$96</f>
        <v>6</v>
      </c>
      <c r="W29" s="203">
        <f t="shared" si="4"/>
        <v>510000</v>
      </c>
      <c r="X29" s="203">
        <f t="shared" si="5"/>
        <v>137700</v>
      </c>
      <c r="Y29" s="545"/>
      <c r="Z29" s="545">
        <f>(T29-I29)*'ERR &amp; Sensitivity Analysis'!$G$10</f>
        <v>0</v>
      </c>
      <c r="AA29" s="545">
        <f>(X29-M29)*'ERR &amp; Sensitivity Analysis'!$G$11</f>
        <v>34425</v>
      </c>
      <c r="AB29" s="545">
        <f t="shared" si="6"/>
        <v>34425</v>
      </c>
      <c r="AC29" s="545"/>
      <c r="AD29" s="1009">
        <f t="shared" si="9"/>
        <v>64626.72164590305</v>
      </c>
      <c r="AE29" s="692"/>
    </row>
    <row r="30" spans="1:31" ht="12.75">
      <c r="A30" s="691">
        <v>23</v>
      </c>
      <c r="B30" s="534">
        <f>'Summary ERRs'!$Y$84</f>
        <v>31112.799393223293</v>
      </c>
      <c r="C30" s="42">
        <f>'Summary ERRs'!$I$45</f>
        <v>-678.4615384615385</v>
      </c>
      <c r="D30" s="534">
        <f t="shared" si="1"/>
        <v>30434.337854761754</v>
      </c>
      <c r="E30" s="545"/>
      <c r="F30" s="545"/>
      <c r="G30" s="545"/>
      <c r="H30" s="545"/>
      <c r="I30" s="545"/>
      <c r="J30" s="545">
        <f t="shared" si="7"/>
        <v>85000</v>
      </c>
      <c r="K30" s="545">
        <f>4.5*'Summary ERRs'!$B$96</f>
        <v>4.5</v>
      </c>
      <c r="L30" s="545">
        <f t="shared" si="2"/>
        <v>382500</v>
      </c>
      <c r="M30" s="545">
        <f t="shared" si="3"/>
        <v>103275</v>
      </c>
      <c r="N30" s="545"/>
      <c r="O30" s="545"/>
      <c r="P30" s="203"/>
      <c r="Q30" s="203"/>
      <c r="R30" s="203"/>
      <c r="S30" s="203"/>
      <c r="T30" s="203"/>
      <c r="U30" s="203">
        <f t="shared" si="8"/>
        <v>85000</v>
      </c>
      <c r="V30" s="203">
        <f>6*'Summary ERRs'!$B$96</f>
        <v>6</v>
      </c>
      <c r="W30" s="203">
        <f t="shared" si="4"/>
        <v>510000</v>
      </c>
      <c r="X30" s="203">
        <f>W30*0.27</f>
        <v>137700</v>
      </c>
      <c r="Y30" s="545"/>
      <c r="Z30" s="545">
        <f>(T30-I30)*'ERR &amp; Sensitivity Analysis'!$G$10</f>
        <v>0</v>
      </c>
      <c r="AA30" s="545">
        <f>(X30-M30)*'ERR &amp; Sensitivity Analysis'!$G$11</f>
        <v>34425</v>
      </c>
      <c r="AB30" s="545">
        <f t="shared" si="6"/>
        <v>34425</v>
      </c>
      <c r="AC30" s="545"/>
      <c r="AD30" s="1009">
        <f t="shared" si="9"/>
        <v>64859.337854761754</v>
      </c>
      <c r="AE30" s="692"/>
    </row>
    <row r="31" spans="1:31" ht="13.5" thickBot="1">
      <c r="A31" s="702">
        <v>24</v>
      </c>
      <c r="B31" s="703">
        <f>'Summary ERRs'!$Z$84</f>
        <v>31355.125214836484</v>
      </c>
      <c r="C31" s="36">
        <f>'Summary ERRs'!$I$45</f>
        <v>-678.4615384615385</v>
      </c>
      <c r="D31" s="703">
        <f>B31+C31</f>
        <v>30676.663676374945</v>
      </c>
      <c r="E31" s="548"/>
      <c r="F31" s="1008"/>
      <c r="G31" s="1008"/>
      <c r="H31" s="1008"/>
      <c r="I31" s="1008"/>
      <c r="J31" s="1008">
        <f t="shared" si="7"/>
        <v>85000</v>
      </c>
      <c r="K31" s="1008">
        <f>4.5*'Summary ERRs'!$B$96</f>
        <v>4.5</v>
      </c>
      <c r="L31" s="1008">
        <f t="shared" si="2"/>
        <v>382500</v>
      </c>
      <c r="M31" s="1008">
        <f>L31*0.27</f>
        <v>103275</v>
      </c>
      <c r="N31" s="548"/>
      <c r="O31" s="1008"/>
      <c r="P31" s="212"/>
      <c r="Q31" s="212"/>
      <c r="R31" s="212"/>
      <c r="S31" s="212"/>
      <c r="T31" s="212"/>
      <c r="U31" s="212">
        <f t="shared" si="8"/>
        <v>85000</v>
      </c>
      <c r="V31" s="212">
        <f>6*'Summary ERRs'!$B$96</f>
        <v>6</v>
      </c>
      <c r="W31" s="212">
        <f t="shared" si="4"/>
        <v>510000</v>
      </c>
      <c r="X31" s="212">
        <f>W31*0.27</f>
        <v>137700</v>
      </c>
      <c r="Y31" s="548"/>
      <c r="Z31" s="545">
        <f>(T31-I31)*'ERR &amp; Sensitivity Analysis'!$G$10</f>
        <v>0</v>
      </c>
      <c r="AA31" s="545">
        <f>(X31-M31)*'ERR &amp; Sensitivity Analysis'!$G$11</f>
        <v>34425</v>
      </c>
      <c r="AB31" s="548">
        <f>AA31-Z31</f>
        <v>34425</v>
      </c>
      <c r="AC31" s="548"/>
      <c r="AD31" s="1010">
        <f t="shared" si="9"/>
        <v>65101.66367637494</v>
      </c>
      <c r="AE31" s="704"/>
    </row>
    <row r="32" spans="1:31" ht="13.5" thickBot="1">
      <c r="A32" s="219">
        <v>25</v>
      </c>
      <c r="B32" s="693">
        <f>'Summary ERRs'!$AA$84</f>
        <v>31607.588493911247</v>
      </c>
      <c r="C32" s="694">
        <f>'Summary ERRs'!$I$45</f>
        <v>-678.4615384615385</v>
      </c>
      <c r="D32" s="693">
        <f t="shared" si="1"/>
        <v>30929.12695544971</v>
      </c>
      <c r="E32" s="1008"/>
      <c r="F32" s="1008"/>
      <c r="G32" s="1008"/>
      <c r="H32" s="1008"/>
      <c r="I32" s="1008"/>
      <c r="J32" s="1008">
        <f>J30+G32</f>
        <v>85000</v>
      </c>
      <c r="K32" s="1008">
        <f>AVERAGE(K8:K31)</f>
        <v>5</v>
      </c>
      <c r="L32" s="1008">
        <f>J32*K32</f>
        <v>425000</v>
      </c>
      <c r="M32" s="1008">
        <f>L32*0.165</f>
        <v>70125</v>
      </c>
      <c r="N32" s="1008"/>
      <c r="O32" s="1008"/>
      <c r="P32" s="212"/>
      <c r="Q32" s="212"/>
      <c r="R32" s="212"/>
      <c r="S32" s="212"/>
      <c r="T32" s="212"/>
      <c r="U32" s="212">
        <f>U30+R32</f>
        <v>85000</v>
      </c>
      <c r="V32" s="212">
        <f>AVERAGE(V8:V31)</f>
        <v>6</v>
      </c>
      <c r="W32" s="212">
        <f>U32*V32</f>
        <v>510000</v>
      </c>
      <c r="X32" s="212">
        <f>W32*0.27</f>
        <v>137700</v>
      </c>
      <c r="Y32" s="1008"/>
      <c r="Z32" s="1008">
        <f>(T32-I32)*'ERR &amp; Sensitivity Analysis'!$G$10</f>
        <v>0</v>
      </c>
      <c r="AA32" s="1008">
        <f>(X32-M32)*'ERR &amp; Sensitivity Analysis'!$G$11</f>
        <v>67575</v>
      </c>
      <c r="AB32" s="1008">
        <f t="shared" si="6"/>
        <v>67575</v>
      </c>
      <c r="AC32" s="1008"/>
      <c r="AD32" s="1011">
        <f t="shared" si="9"/>
        <v>98504.12695544971</v>
      </c>
      <c r="AE32" s="695"/>
    </row>
    <row r="33" spans="5:30" ht="13.5" thickBot="1">
      <c r="E33" s="378"/>
      <c r="F33" s="378"/>
      <c r="G33" s="378"/>
      <c r="H33" s="378"/>
      <c r="I33" s="378"/>
      <c r="J33" s="378"/>
      <c r="K33" s="378"/>
      <c r="L33" s="378"/>
      <c r="M33" s="378"/>
      <c r="N33" s="378"/>
      <c r="O33" s="378"/>
      <c r="Y33" s="378"/>
      <c r="Z33" s="378"/>
      <c r="AA33" s="378"/>
      <c r="AB33" s="378"/>
      <c r="AC33" s="378"/>
      <c r="AD33" s="378"/>
    </row>
    <row r="34" spans="2:31" ht="16.5" thickBot="1">
      <c r="B34" s="49"/>
      <c r="C34" s="696" t="s">
        <v>655</v>
      </c>
      <c r="D34" s="701">
        <f>IRR(D8:D32)</f>
        <v>0.08980186348160676</v>
      </c>
      <c r="E34" s="378"/>
      <c r="F34" s="378"/>
      <c r="G34" s="378"/>
      <c r="H34" s="378"/>
      <c r="I34" s="378"/>
      <c r="J34" s="378"/>
      <c r="K34" s="378"/>
      <c r="L34" s="378"/>
      <c r="M34" s="378"/>
      <c r="N34" s="378"/>
      <c r="O34" s="378"/>
      <c r="Y34" s="378"/>
      <c r="Z34" s="1012" t="s">
        <v>655</v>
      </c>
      <c r="AA34" s="1013">
        <f>IRR(AB8:AB32)</f>
        <v>0.38688902461268404</v>
      </c>
      <c r="AB34" s="1014"/>
      <c r="AC34" s="1015"/>
      <c r="AD34" s="1012" t="s">
        <v>655</v>
      </c>
      <c r="AE34" s="700">
        <f>IRR(AD8:AD32)</f>
        <v>0.1527885803804294</v>
      </c>
    </row>
    <row r="35" spans="5:30" ht="12.75">
      <c r="E35" s="378"/>
      <c r="F35" s="378"/>
      <c r="G35" s="378"/>
      <c r="H35" s="378"/>
      <c r="I35" s="378"/>
      <c r="J35" s="378"/>
      <c r="K35" s="378"/>
      <c r="L35" s="378"/>
      <c r="M35" s="378"/>
      <c r="N35" s="378"/>
      <c r="O35" s="378"/>
      <c r="Y35" s="378"/>
      <c r="Z35" s="378"/>
      <c r="AA35" s="378"/>
      <c r="AB35" s="378"/>
      <c r="AC35" s="378"/>
      <c r="AD35" s="378"/>
    </row>
    <row r="36" spans="5:13" ht="12.75">
      <c r="E36" s="378"/>
      <c r="F36" s="378"/>
      <c r="G36" s="378"/>
      <c r="H36" s="378"/>
      <c r="I36" s="378"/>
      <c r="J36" s="378"/>
      <c r="K36" s="378"/>
      <c r="L36" s="378"/>
      <c r="M36" s="378"/>
    </row>
  </sheetData>
  <mergeCells count="2">
    <mergeCell ref="Q21:S25"/>
    <mergeCell ref="A3:K3"/>
  </mergeCells>
  <conditionalFormatting sqref="A3">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600" verticalDpi="600" orientation="landscape" scale="95" r:id="rId4"/>
  <drawing r:id="rId3"/>
  <legacyDrawing r:id="rId2"/>
</worksheet>
</file>

<file path=xl/worksheets/sheet9.xml><?xml version="1.0" encoding="utf-8"?>
<worksheet xmlns="http://schemas.openxmlformats.org/spreadsheetml/2006/main" xmlns:r="http://schemas.openxmlformats.org/officeDocument/2006/relationships">
  <sheetPr codeName="Sheet3">
    <pageSetUpPr fitToPage="1"/>
  </sheetPr>
  <dimension ref="A1:O261"/>
  <sheetViews>
    <sheetView workbookViewId="0" topLeftCell="A1">
      <selection activeCell="A2" sqref="A2:IV2"/>
    </sheetView>
  </sheetViews>
  <sheetFormatPr defaultColWidth="9.140625" defaultRowHeight="12.75"/>
  <cols>
    <col min="1" max="1" width="0.5625" style="0" customWidth="1"/>
    <col min="2" max="2" width="36.7109375" style="0" customWidth="1"/>
    <col min="3" max="3" width="9.00390625" style="0" customWidth="1"/>
    <col min="4" max="5" width="10.421875" style="0" customWidth="1"/>
    <col min="6" max="6" width="10.28125" style="0" bestFit="1" customWidth="1"/>
    <col min="7" max="7" width="11.140625" style="0" customWidth="1"/>
    <col min="8" max="8" width="1.7109375" style="0" customWidth="1"/>
    <col min="9" max="9" width="36.7109375" style="0" customWidth="1"/>
    <col min="10" max="10" width="14.421875" style="0" customWidth="1"/>
    <col min="11" max="11" width="10.7109375" style="0" customWidth="1"/>
    <col min="12" max="12" width="10.57421875" style="0" customWidth="1"/>
    <col min="13" max="13" width="11.8515625" style="0" customWidth="1"/>
    <col min="14" max="14" width="11.00390625" style="0" customWidth="1"/>
  </cols>
  <sheetData>
    <row r="1" spans="2:10" ht="12.75">
      <c r="B1" s="1085">
        <f>IF('ERR &amp; Sensitivity Analysis'!$I$10="N","Note: Current calculations are based on user input and are not the original MCC estimates.",IF('ERR &amp; Sensitivity Analysis'!$I$11="N","Note: Current calculations are based on user input and are not the original MCC estimates.",0))</f>
        <v>0</v>
      </c>
      <c r="C1" s="1085"/>
      <c r="D1" s="1085"/>
      <c r="E1" s="1085"/>
      <c r="F1" s="1085"/>
      <c r="G1" s="1085"/>
      <c r="H1" s="1085"/>
      <c r="I1" s="1085"/>
      <c r="J1" s="1085"/>
    </row>
    <row r="2" spans="1:7" s="268" customFormat="1" ht="23.25">
      <c r="A2" s="924" t="s">
        <v>511</v>
      </c>
      <c r="C2" s="925"/>
      <c r="G2" s="1005"/>
    </row>
    <row r="3" spans="1:7" s="268" customFormat="1" ht="23.25">
      <c r="A3" s="924"/>
      <c r="C3" s="925"/>
      <c r="G3" s="1005"/>
    </row>
    <row r="4" spans="3:11" ht="12.75">
      <c r="C4" s="1149" t="s">
        <v>279</v>
      </c>
      <c r="D4" s="1149" t="s">
        <v>549</v>
      </c>
      <c r="J4" s="1149" t="s">
        <v>279</v>
      </c>
      <c r="K4" s="1149" t="s">
        <v>549</v>
      </c>
    </row>
    <row r="5" spans="2:11" ht="13.5" thickBot="1">
      <c r="B5" s="214" t="s">
        <v>659</v>
      </c>
      <c r="C5" s="1154"/>
      <c r="D5" s="1154"/>
      <c r="I5" s="214" t="s">
        <v>660</v>
      </c>
      <c r="J5" s="1150"/>
      <c r="K5" s="1150"/>
    </row>
    <row r="6" spans="2:11" ht="24.75" customHeight="1">
      <c r="B6" s="210" t="s">
        <v>656</v>
      </c>
      <c r="C6" s="211"/>
      <c r="D6" s="221">
        <f>'Farm Model Assumptions'!C17</f>
        <v>15999.8</v>
      </c>
      <c r="I6" s="210" t="s">
        <v>656</v>
      </c>
      <c r="J6" s="211"/>
      <c r="K6" s="221">
        <f>D6</f>
        <v>15999.8</v>
      </c>
    </row>
    <row r="7" spans="2:11" ht="27.75" customHeight="1">
      <c r="B7" s="213" t="s">
        <v>251</v>
      </c>
      <c r="C7" s="203"/>
      <c r="D7" s="746">
        <f>'Farm Model Assumptions'!B17</f>
        <v>1818.33</v>
      </c>
      <c r="I7" s="213" t="s">
        <v>251</v>
      </c>
      <c r="J7" s="203"/>
      <c r="K7" s="746">
        <f>D7</f>
        <v>1818.33</v>
      </c>
    </row>
    <row r="8" spans="2:11" ht="17.25" customHeight="1">
      <c r="B8" s="213" t="s">
        <v>252</v>
      </c>
      <c r="C8" s="521"/>
      <c r="D8" s="1042">
        <v>12.8</v>
      </c>
      <c r="I8" s="213" t="s">
        <v>291</v>
      </c>
      <c r="J8" s="764">
        <f>K8/K7</f>
        <v>6.546384869633126</v>
      </c>
      <c r="K8" s="767">
        <f>SUM(K9:K12)</f>
        <v>11903.488000000001</v>
      </c>
    </row>
    <row r="9" spans="2:11" ht="28.5" customHeight="1">
      <c r="B9" s="755" t="s">
        <v>658</v>
      </c>
      <c r="C9" s="764">
        <f>D9/D7</f>
        <v>16.006077004724116</v>
      </c>
      <c r="D9" s="756">
        <f>SUM(D10:D14)</f>
        <v>29104.33</v>
      </c>
      <c r="I9" s="771" t="s">
        <v>292</v>
      </c>
      <c r="J9" s="1040">
        <v>0</v>
      </c>
      <c r="K9" s="220">
        <f>J9*'Farm Model Assumptions'!B10</f>
        <v>0</v>
      </c>
    </row>
    <row r="10" spans="2:11" ht="27" customHeight="1">
      <c r="B10" s="771" t="s">
        <v>308</v>
      </c>
      <c r="C10" s="1039">
        <v>12.8</v>
      </c>
      <c r="D10" s="220">
        <f>'Farm Model Assumptions'!B10*C10</f>
        <v>5120</v>
      </c>
      <c r="I10" s="771" t="s">
        <v>293</v>
      </c>
      <c r="J10" s="1040">
        <v>0</v>
      </c>
      <c r="K10" s="220">
        <f>J10*'Farm Model Assumptions'!B12</f>
        <v>0</v>
      </c>
    </row>
    <row r="11" spans="2:11" ht="25.5">
      <c r="B11" s="771" t="s">
        <v>307</v>
      </c>
      <c r="C11" s="1039">
        <v>12.8</v>
      </c>
      <c r="D11" s="220">
        <f>'Farm Model Assumptions'!B11*'Alatona Beneficiaries'!C10</f>
        <v>10240</v>
      </c>
      <c r="I11" s="771" t="s">
        <v>294</v>
      </c>
      <c r="J11" s="1040">
        <f>12.8*5</f>
        <v>64</v>
      </c>
      <c r="K11" s="220">
        <f>J11*'Farm Model Assumptions'!B13</f>
        <v>4480</v>
      </c>
    </row>
    <row r="12" spans="2:11" ht="27" customHeight="1" thickBot="1">
      <c r="B12" s="740" t="s">
        <v>253</v>
      </c>
      <c r="C12" s="1040">
        <v>25.6</v>
      </c>
      <c r="D12" s="220">
        <f>'Farm Model Assumptions'!B12*C12</f>
        <v>12800</v>
      </c>
      <c r="I12" s="772" t="s">
        <v>295</v>
      </c>
      <c r="J12" s="1041">
        <f>12*12.8</f>
        <v>153.60000000000002</v>
      </c>
      <c r="K12" s="742">
        <f>J12*'Farm Model Assumptions'!B14</f>
        <v>7423.488000000001</v>
      </c>
    </row>
    <row r="13" spans="2:11" ht="23.25" customHeight="1">
      <c r="B13" s="740" t="s">
        <v>254</v>
      </c>
      <c r="C13" s="1040">
        <v>12.8</v>
      </c>
      <c r="D13" s="220">
        <f>'Farm Model Assumptions'!B13*C13</f>
        <v>896</v>
      </c>
      <c r="I13" s="765"/>
      <c r="J13" s="21"/>
      <c r="K13" s="766"/>
    </row>
    <row r="14" spans="2:11" ht="30.75" customHeight="1" thickBot="1">
      <c r="B14" s="741" t="s">
        <v>255</v>
      </c>
      <c r="C14" s="1041">
        <v>1</v>
      </c>
      <c r="D14" s="742">
        <f>'Farm Model Assumptions'!B14*C14</f>
        <v>48.33</v>
      </c>
      <c r="I14" s="765"/>
      <c r="J14" s="21"/>
      <c r="K14" s="114"/>
    </row>
    <row r="15" spans="4:11" ht="20.25" customHeight="1" thickBot="1">
      <c r="D15" s="202"/>
      <c r="I15" s="765"/>
      <c r="J15" s="21"/>
      <c r="K15" s="114"/>
    </row>
    <row r="16" spans="2:11" ht="27.75" customHeight="1">
      <c r="B16" s="1129" t="s">
        <v>316</v>
      </c>
      <c r="C16" s="1130"/>
      <c r="D16" s="1037">
        <v>2</v>
      </c>
      <c r="I16" s="765"/>
      <c r="J16" s="21"/>
      <c r="K16" s="114"/>
    </row>
    <row r="17" spans="2:11" ht="13.5" thickBot="1">
      <c r="B17" s="1131" t="s">
        <v>317</v>
      </c>
      <c r="C17" s="1132"/>
      <c r="D17" s="1038">
        <v>1</v>
      </c>
      <c r="E17" t="s">
        <v>318</v>
      </c>
      <c r="I17" s="765"/>
      <c r="J17" s="21"/>
      <c r="K17" s="114"/>
    </row>
    <row r="18" spans="4:11" ht="12.75">
      <c r="D18" s="202"/>
      <c r="I18" s="765"/>
      <c r="J18" s="21"/>
      <c r="K18" s="21"/>
    </row>
    <row r="19" ht="12.75">
      <c r="D19" s="202"/>
    </row>
    <row r="20" ht="12.75">
      <c r="D20" s="202"/>
    </row>
    <row r="21" spans="4:13" ht="12.75">
      <c r="D21" s="202"/>
      <c r="J21" s="454"/>
      <c r="K21" s="454"/>
      <c r="L21" s="454"/>
      <c r="M21" s="454"/>
    </row>
    <row r="22" spans="2:13" ht="28.5" customHeight="1">
      <c r="B22" s="1141" t="s">
        <v>889</v>
      </c>
      <c r="C22" s="1142"/>
      <c r="D22" s="1142"/>
      <c r="I22" s="699"/>
      <c r="J22" s="454"/>
      <c r="K22" s="454"/>
      <c r="L22" s="454"/>
      <c r="M22" s="454"/>
    </row>
    <row r="23" spans="4:13" ht="14.25" customHeight="1" thickBot="1">
      <c r="D23" s="202"/>
      <c r="I23" s="699"/>
      <c r="J23" s="454"/>
      <c r="K23" s="454"/>
      <c r="L23" s="454"/>
      <c r="M23" s="454"/>
    </row>
    <row r="24" spans="2:13" ht="13.5" thickBot="1">
      <c r="B24" s="151" t="s">
        <v>43</v>
      </c>
      <c r="C24" s="74"/>
      <c r="D24" s="498">
        <f>1-(((SUMPRODUCT('Farm Model Assumptions'!F107:F115,'Farm Model Assumptions'!F57:F65)+('Farm Model Assumptions'!F116*'Farm Model Assumptions'!F65))/3000)/'Farm Model Assumptions'!F135)</f>
        <v>0.1123228837184207</v>
      </c>
      <c r="F24" s="865"/>
      <c r="G24" s="378"/>
      <c r="H24" s="378"/>
      <c r="I24" s="866"/>
      <c r="J24" s="867"/>
      <c r="K24" s="454"/>
      <c r="L24" s="454"/>
      <c r="M24" s="454"/>
    </row>
    <row r="25" spans="2:13" ht="26.25" thickBot="1">
      <c r="B25" s="477" t="s">
        <v>29</v>
      </c>
      <c r="C25" s="478"/>
      <c r="D25" s="356">
        <f>('Farmer Profits'!F159*(('Farm Model Assumptions'!$K$101*D33*1000/'Summary ERRs'!$H$99*'Farm Model Assumptions'!F57)+SUMPRODUCT('Farm Model Assumptions'!$N$108:$N$115,'Farm Model Assumptions'!F58:F65)+('Farm Model Assumptions'!$N$116*'Farm Model Assumptions'!F65)+(60*'Farm Model Assumptions'!$K$29))/((D33*1000/'Summary ERRs'!$H$99*'Farm Model Assumptions'!F57)+(SUMPRODUCT('Farm Model Assumptions'!$C$91:$C$98,'Farm Model Assumptions'!F58:F65)*1000/'Summary ERRs'!$H$99)+(('Farm Model Assumptions'!$C$99*'Farm Model Assumptions'!F65)*1000/'Summary ERRs'!$H$99)+(60*20*('Farm Model Assumptions'!$K$25/'Summary ERRs'!$H$99))))/'Farmer Profits'!F159</f>
        <v>0.18382647749419595</v>
      </c>
      <c r="I25" s="699"/>
      <c r="J25" s="454"/>
      <c r="K25" s="454"/>
      <c r="L25" s="454"/>
      <c r="M25" s="454"/>
    </row>
    <row r="26" spans="9:13" ht="12.75">
      <c r="I26" s="699"/>
      <c r="J26" s="454"/>
      <c r="K26" s="454"/>
      <c r="L26" s="454"/>
      <c r="M26" s="454"/>
    </row>
    <row r="27" spans="2:13" ht="19.5" customHeight="1" thickBot="1">
      <c r="B27" s="9" t="s">
        <v>661</v>
      </c>
      <c r="D27" s="202"/>
      <c r="I27" s="699"/>
      <c r="J27" s="454"/>
      <c r="K27" s="454"/>
      <c r="L27" s="454"/>
      <c r="M27" s="454"/>
    </row>
    <row r="28" spans="2:13" ht="13.5" thickBot="1">
      <c r="B28" s="1135" t="s">
        <v>657</v>
      </c>
      <c r="C28" s="1136"/>
      <c r="D28" s="747">
        <f>K8+D9</f>
        <v>41007.818</v>
      </c>
      <c r="K28" s="454"/>
      <c r="L28" s="454"/>
      <c r="M28" s="454"/>
    </row>
    <row r="29" spans="9:13" ht="12.75">
      <c r="I29" s="699"/>
      <c r="J29" s="454"/>
      <c r="K29" s="454"/>
      <c r="L29" s="454"/>
      <c r="M29" s="454"/>
    </row>
    <row r="30" spans="2:13" ht="13.5" thickBot="1">
      <c r="B30" s="9" t="s">
        <v>666</v>
      </c>
      <c r="I30" s="699"/>
      <c r="J30" s="454"/>
      <c r="K30" s="454"/>
      <c r="L30" s="454"/>
      <c r="M30" s="454"/>
    </row>
    <row r="31" spans="2:13" ht="27" customHeight="1" thickBot="1">
      <c r="B31" s="1133" t="s">
        <v>471</v>
      </c>
      <c r="C31" s="1134"/>
      <c r="D31" s="256">
        <f>((SUM('Summary ERRs'!B15:B39)-'Summary ERRs'!B18-'Summary ERRs'!B11-'Summary ERRs'!B12-'Summary ERRs'!B13))*1.13*1000/D28</f>
        <v>3226.2939152006716</v>
      </c>
      <c r="F31" s="1137" t="s">
        <v>890</v>
      </c>
      <c r="G31" s="1137"/>
      <c r="H31" s="1137"/>
      <c r="I31" s="1137"/>
      <c r="J31" s="454"/>
      <c r="K31" s="454"/>
      <c r="L31" s="454"/>
      <c r="M31" s="454"/>
    </row>
    <row r="32" spans="2:13" ht="28.5" customHeight="1" thickBot="1">
      <c r="B32" s="1143" t="s">
        <v>665</v>
      </c>
      <c r="C32" s="1144"/>
      <c r="D32" s="256">
        <f>((1-((SUMPRODUCT('Farm Model Assumptions'!N107:N115,'Farm Model Assumptions'!F57:F65)+('Farm Model Assumptions'!N116*'Farm Model Assumptions'!F65)+(60*'Farm Model Assumptions'!K31))/(SUMPRODUCT('Farm Model Assumptions'!F107:F115,'Farm Model Assumptions'!F57:F65)+('Farm Model Assumptions'!F116*'Farm Model Assumptions'!F65)+(60*'Farm Model Assumptions'!K30))))*((SUM('Summary ERRs'!B15:B39)-'Summary ERRs'!B18-'Summary ERRs'!B11-'Summary ERRs'!B12-'Summary ERRs'!B13)*1.13*1000))/D9</f>
        <v>3970.618138671746</v>
      </c>
      <c r="E32" s="265"/>
      <c r="F32" s="1137" t="s">
        <v>890</v>
      </c>
      <c r="G32" s="1137"/>
      <c r="H32" s="1137"/>
      <c r="I32" s="1137"/>
      <c r="J32" s="454"/>
      <c r="K32" s="454"/>
      <c r="L32" s="454"/>
      <c r="M32" s="454"/>
    </row>
    <row r="33" spans="2:13" ht="32.25" customHeight="1" thickBot="1">
      <c r="B33" s="1145" t="s">
        <v>668</v>
      </c>
      <c r="C33" s="1146"/>
      <c r="D33" s="747">
        <f>((D31*D28)-(D32*D9))/K8</f>
        <v>1406.4023147810385</v>
      </c>
      <c r="E33" s="265"/>
      <c r="F33" s="1137" t="s">
        <v>890</v>
      </c>
      <c r="G33" s="1137"/>
      <c r="H33" s="1137"/>
      <c r="I33" s="1137"/>
      <c r="J33" s="454"/>
      <c r="K33" s="454"/>
      <c r="L33" s="454"/>
      <c r="M33" s="454"/>
    </row>
    <row r="34" spans="2:13" ht="13.5" thickBot="1">
      <c r="B34" s="754"/>
      <c r="C34" s="754"/>
      <c r="D34" s="270"/>
      <c r="E34" s="265"/>
      <c r="F34" s="699"/>
      <c r="G34" s="705"/>
      <c r="H34" s="705"/>
      <c r="I34" s="699"/>
      <c r="J34" s="454"/>
      <c r="K34" s="454"/>
      <c r="L34" s="454"/>
      <c r="M34" s="454"/>
    </row>
    <row r="35" spans="1:13" ht="12.75">
      <c r="A35" t="s">
        <v>357</v>
      </c>
      <c r="B35" s="1109" t="s">
        <v>469</v>
      </c>
      <c r="C35" s="1110"/>
      <c r="D35" s="876">
        <v>70000</v>
      </c>
      <c r="E35" s="265"/>
      <c r="F35" s="699"/>
      <c r="G35" s="705"/>
      <c r="H35" s="705"/>
      <c r="I35" s="699"/>
      <c r="J35" s="454"/>
      <c r="K35" s="454"/>
      <c r="L35" s="454"/>
      <c r="M35" s="454"/>
    </row>
    <row r="36" spans="2:13" ht="13.5" thickBot="1">
      <c r="B36" s="1138" t="s">
        <v>470</v>
      </c>
      <c r="C36" s="1139"/>
      <c r="D36" s="216">
        <f>(Project_Costs!J72*1000000*1.15)/'Alatona Beneficiaries'!D35</f>
        <v>481.9945714285714</v>
      </c>
      <c r="E36" s="265"/>
      <c r="F36" s="699"/>
      <c r="G36" s="705"/>
      <c r="H36" s="705"/>
      <c r="I36" s="699"/>
      <c r="J36" s="454"/>
      <c r="K36" s="454"/>
      <c r="L36" s="454"/>
      <c r="M36" s="454"/>
    </row>
    <row r="37" spans="2:13" ht="12.75">
      <c r="B37" s="754"/>
      <c r="C37" s="754"/>
      <c r="D37" s="270"/>
      <c r="E37" s="265"/>
      <c r="F37" s="699"/>
      <c r="G37" s="705"/>
      <c r="H37" s="705"/>
      <c r="I37" s="699"/>
      <c r="J37" s="454"/>
      <c r="K37" s="454"/>
      <c r="L37" s="454"/>
      <c r="M37" s="454"/>
    </row>
    <row r="38" spans="2:10" ht="12.75">
      <c r="B38" s="214" t="s">
        <v>256</v>
      </c>
      <c r="H38" s="705"/>
      <c r="I38" s="1151" t="s">
        <v>667</v>
      </c>
      <c r="J38" s="1151"/>
    </row>
    <row r="39" spans="2:13" ht="12.75">
      <c r="B39" s="214"/>
      <c r="H39" s="705"/>
      <c r="J39" s="264"/>
      <c r="K39" s="453"/>
      <c r="L39" s="453"/>
      <c r="M39" s="453"/>
    </row>
    <row r="40" spans="2:8" ht="13.5" thickBot="1">
      <c r="B40" s="9" t="s">
        <v>312</v>
      </c>
      <c r="H40" s="705"/>
    </row>
    <row r="41" spans="2:11" ht="13.5" thickBot="1">
      <c r="B41" s="85"/>
      <c r="C41" s="1062" t="s">
        <v>257</v>
      </c>
      <c r="D41" s="1062"/>
      <c r="E41" s="1062"/>
      <c r="F41" s="1062"/>
      <c r="G41" s="1063"/>
      <c r="H41" s="705"/>
      <c r="I41" s="1147" t="s">
        <v>319</v>
      </c>
      <c r="J41" s="1148"/>
      <c r="K41" s="781">
        <f>80*1500/'Summary ERRs'!H99</f>
        <v>230.76923076923077</v>
      </c>
    </row>
    <row r="42" spans="2:11" ht="12.75">
      <c r="B42" s="146" t="s">
        <v>573</v>
      </c>
      <c r="C42" s="12" t="s">
        <v>566</v>
      </c>
      <c r="D42" s="62" t="s">
        <v>567</v>
      </c>
      <c r="E42" s="62" t="s">
        <v>568</v>
      </c>
      <c r="F42" s="62" t="s">
        <v>569</v>
      </c>
      <c r="G42" s="64" t="s">
        <v>570</v>
      </c>
      <c r="H42" s="705"/>
      <c r="I42" s="780" t="s">
        <v>320</v>
      </c>
      <c r="J42" s="203"/>
      <c r="K42" s="746">
        <f>(4/12)*J71</f>
        <v>63.33333333333333</v>
      </c>
    </row>
    <row r="43" spans="2:11" ht="13.5" thickBot="1">
      <c r="B43" s="87" t="str">
        <f>'Farm Model Assumptions'!A90</f>
        <v>Rainy Season Paddy</v>
      </c>
      <c r="C43" s="107">
        <f>'Farm Model Assumptions'!B107*'Farm Model Assumptions'!B39*'Farm Model Assumptions'!$A$10</f>
        <v>2301.75</v>
      </c>
      <c r="D43" s="117">
        <f>'Farm Model Assumptions'!C107*'Farm Model Assumptions'!C39*'Farm Model Assumptions'!$A$10</f>
        <v>2931.264423076923</v>
      </c>
      <c r="E43" s="117">
        <f>'Farm Model Assumptions'!D107*'Farm Model Assumptions'!D39*'Farm Model Assumptions'!$A$10</f>
        <v>3581.6442307692305</v>
      </c>
      <c r="F43" s="117">
        <f>'Farm Model Assumptions'!E107*'Farm Model Assumptions'!E39*'Farm Model Assumptions'!$A$10</f>
        <v>4252.889423076923</v>
      </c>
      <c r="G43" s="123">
        <f>'Farm Model Assumptions'!F107*'Farm Model Assumptions'!F39*'Farm Model Assumptions'!$A$10</f>
        <v>4325.7692307692305</v>
      </c>
      <c r="H43" s="705"/>
      <c r="I43" s="1152" t="s">
        <v>296</v>
      </c>
      <c r="J43" s="1153"/>
      <c r="K43" s="773">
        <f>SUM(K41:K42)</f>
        <v>294.1025641025641</v>
      </c>
    </row>
    <row r="44" spans="2:7" ht="12.75">
      <c r="B44" s="87" t="str">
        <f>'Farm Model Assumptions'!A91</f>
        <v>Wheat (DS)</v>
      </c>
      <c r="C44" s="107">
        <f>'Farm Model Assumptions'!B108*'Farm Model Assumptions'!B40*'Farm Model Assumptions'!$A$10</f>
        <v>0</v>
      </c>
      <c r="D44" s="117">
        <f>'Farm Model Assumptions'!C108*'Farm Model Assumptions'!C40*'Farm Model Assumptions'!$A$10</f>
        <v>0</v>
      </c>
      <c r="E44" s="117">
        <f>'Farm Model Assumptions'!D108*'Farm Model Assumptions'!D40*'Farm Model Assumptions'!$A$10</f>
        <v>0</v>
      </c>
      <c r="F44" s="117">
        <f>'Farm Model Assumptions'!E108*'Farm Model Assumptions'!E40*'Farm Model Assumptions'!$A$10</f>
        <v>0</v>
      </c>
      <c r="G44" s="123">
        <f>'Farm Model Assumptions'!F108*'Farm Model Assumptions'!F40*'Farm Model Assumptions'!$A$10</f>
        <v>0</v>
      </c>
    </row>
    <row r="45" spans="2:9" ht="12.75">
      <c r="B45" s="87" t="str">
        <f>'Farm Model Assumptions'!A92</f>
        <v>Maize RS</v>
      </c>
      <c r="C45" s="107">
        <f>'Farm Model Assumptions'!B109*'Farm Model Assumptions'!B41*'Farm Model Assumptions'!$A$10</f>
        <v>319.2307692307692</v>
      </c>
      <c r="D45" s="117">
        <f>'Farm Model Assumptions'!C109*'Farm Model Assumptions'!C41*'Farm Model Assumptions'!$A$10</f>
        <v>368.46153846153845</v>
      </c>
      <c r="E45" s="117">
        <f>'Farm Model Assumptions'!D109*'Farm Model Assumptions'!D41*'Farm Model Assumptions'!$A$10</f>
        <v>405.3846153846154</v>
      </c>
      <c r="F45" s="117">
        <f>'Farm Model Assumptions'!E109*'Farm Model Assumptions'!E41*'Farm Model Assumptions'!$A$10</f>
        <v>442.30769230769226</v>
      </c>
      <c r="G45" s="123">
        <f>'Farm Model Assumptions'!F109*'Farm Model Assumptions'!F41*'Farm Model Assumptions'!$A$10</f>
        <v>466.9230769230769</v>
      </c>
      <c r="I45" s="9" t="s">
        <v>332</v>
      </c>
    </row>
    <row r="46" spans="2:9" ht="12.75">
      <c r="B46" s="87" t="str">
        <f>'Farm Model Assumptions'!A93</f>
        <v>Dry Season Paddy</v>
      </c>
      <c r="C46" s="107">
        <f>'Farm Model Assumptions'!B110*'Farm Model Assumptions'!B42*'Farm Model Assumptions'!$A$10</f>
        <v>320.1923076923077</v>
      </c>
      <c r="D46" s="117">
        <f>'Farm Model Assumptions'!C110*'Farm Model Assumptions'!C42*'Farm Model Assumptions'!$A$10</f>
        <v>290.62500000000006</v>
      </c>
      <c r="E46" s="117">
        <f>'Farm Model Assumptions'!D110*'Farm Model Assumptions'!D42*'Farm Model Assumptions'!$A$10</f>
        <v>227.4038461538462</v>
      </c>
      <c r="F46" s="117">
        <f>'Farm Model Assumptions'!E110*'Farm Model Assumptions'!E42*'Farm Model Assumptions'!$A$10</f>
        <v>113.70192307692312</v>
      </c>
      <c r="G46" s="123">
        <f>'Farm Model Assumptions'!F110*'Farm Model Assumptions'!F42*'Farm Model Assumptions'!$A$10</f>
        <v>0</v>
      </c>
      <c r="I46" t="s">
        <v>333</v>
      </c>
    </row>
    <row r="47" spans="2:9" ht="12.75">
      <c r="B47" s="87" t="str">
        <f>'Farm Model Assumptions'!A94</f>
        <v>Maize DS</v>
      </c>
      <c r="C47" s="107">
        <f>'Farm Model Assumptions'!B111*'Farm Model Assumptions'!B43*'Farm Model Assumptions'!$A$10</f>
        <v>61.144007969179995</v>
      </c>
      <c r="D47" s="117">
        <f>'Farm Model Assumptions'!C111*'Farm Model Assumptions'!C43*'Farm Model Assumptions'!$A$10</f>
        <v>79.22461635295835</v>
      </c>
      <c r="E47" s="117">
        <f>'Farm Model Assumptions'!D111*'Farm Model Assumptions'!D43*'Farm Model Assumptions'!$A$10</f>
        <v>103.46920986873828</v>
      </c>
      <c r="F47" s="117">
        <f>'Farm Model Assumptions'!E111*'Farm Model Assumptions'!E43*'Farm Model Assumptions'!$A$10</f>
        <v>126.58276993152178</v>
      </c>
      <c r="G47" s="123">
        <f>'Farm Model Assumptions'!F111*'Farm Model Assumptions'!F43*'Farm Model Assumptions'!$A$10</f>
        <v>152.01923076923077</v>
      </c>
      <c r="I47" t="s">
        <v>321</v>
      </c>
    </row>
    <row r="48" spans="2:9" ht="12.75">
      <c r="B48" s="87" t="str">
        <f>'Farm Model Assumptions'!A95</f>
        <v>Shallots</v>
      </c>
      <c r="C48" s="107">
        <f>'Farm Model Assumptions'!B112*'Farm Model Assumptions'!B44*'Farm Model Assumptions'!$A$10</f>
        <v>807.1153846153845</v>
      </c>
      <c r="D48" s="117">
        <f>'Farm Model Assumptions'!C112*'Farm Model Assumptions'!C44*'Farm Model Assumptions'!$A$10</f>
        <v>1275.576923076923</v>
      </c>
      <c r="E48" s="117">
        <f>'Farm Model Assumptions'!D112*'Farm Model Assumptions'!D44*'Farm Model Assumptions'!$A$10</f>
        <v>1787.3076923076924</v>
      </c>
      <c r="F48" s="117">
        <f>'Farm Model Assumptions'!E112*'Farm Model Assumptions'!E44*'Farm Model Assumptions'!$A$10</f>
        <v>2342.307692307692</v>
      </c>
      <c r="G48" s="123">
        <f>'Farm Model Assumptions'!F112*'Farm Model Assumptions'!F44*'Farm Model Assumptions'!$A$10</f>
        <v>3070.384615384615</v>
      </c>
      <c r="I48" s="705" t="s">
        <v>329</v>
      </c>
    </row>
    <row r="49" spans="2:9" ht="12.75">
      <c r="B49" s="87" t="str">
        <f>'Farm Model Assumptions'!A96</f>
        <v>Potato</v>
      </c>
      <c r="C49" s="107">
        <f>'Farm Model Assumptions'!B113*'Farm Model Assumptions'!B45*'Farm Model Assumptions'!$A$10</f>
        <v>323.26923076923083</v>
      </c>
      <c r="D49" s="117">
        <f>'Farm Model Assumptions'!C113*'Farm Model Assumptions'!C45*'Farm Model Assumptions'!$A$10</f>
        <v>357.8365384615384</v>
      </c>
      <c r="E49" s="117">
        <f>'Farm Model Assumptions'!D113*'Farm Model Assumptions'!D45*'Farm Model Assumptions'!$A$10</f>
        <v>315.48076923076917</v>
      </c>
      <c r="F49" s="117">
        <f>'Farm Model Assumptions'!E113*'Farm Model Assumptions'!E45*'Farm Model Assumptions'!$A$10</f>
        <v>196.20192307692298</v>
      </c>
      <c r="G49" s="123">
        <f>'Farm Model Assumptions'!F113*'Farm Model Assumptions'!F45*'Farm Model Assumptions'!$A$10</f>
        <v>0</v>
      </c>
      <c r="I49" s="705" t="s">
        <v>330</v>
      </c>
    </row>
    <row r="50" spans="2:9" ht="12.75">
      <c r="B50" s="87" t="str">
        <f>'Farm Model Assumptions'!A97</f>
        <v>Tomato/other veg.</v>
      </c>
      <c r="C50" s="107">
        <f>'Farm Model Assumptions'!B114*'Farm Model Assumptions'!B46*'Farm Model Assumptions'!$A$10</f>
        <v>9.302884615384615</v>
      </c>
      <c r="D50" s="117">
        <f>'Farm Model Assumptions'!C114*'Farm Model Assumptions'!C46*'Farm Model Assumptions'!$A$10</f>
        <v>21.328125</v>
      </c>
      <c r="E50" s="117">
        <f>'Farm Model Assumptions'!D114*'Farm Model Assumptions'!D46*'Farm Model Assumptions'!$A$10</f>
        <v>37.68028846153846</v>
      </c>
      <c r="F50" s="117">
        <f>'Farm Model Assumptions'!E114*'Farm Model Assumptions'!E46*'Farm Model Assumptions'!$A$10</f>
        <v>67.734375</v>
      </c>
      <c r="G50" s="123">
        <f>'Farm Model Assumptions'!F114*'Farm Model Assumptions'!F46*'Farm Model Assumptions'!$A$10</f>
        <v>106.44230769230771</v>
      </c>
      <c r="I50" s="705" t="s">
        <v>331</v>
      </c>
    </row>
    <row r="51" spans="2:7" ht="13.5" thickBot="1">
      <c r="B51" s="87" t="s">
        <v>574</v>
      </c>
      <c r="C51" s="107">
        <f>'Farm Model Assumptions'!B116*'Farm Model Assumptions'!B47*'Farm Model Assumptions'!$A$10</f>
        <v>24.399038461538463</v>
      </c>
      <c r="D51" s="117">
        <f>'Farm Model Assumptions'!C116*'Farm Model Assumptions'!C47*'Farm Model Assumptions'!$A$10</f>
        <v>27.31370192307693</v>
      </c>
      <c r="E51" s="117">
        <f>'Farm Model Assumptions'!D116*'Farm Model Assumptions'!D47*'Farm Model Assumptions'!$A$10</f>
        <v>24.218750000000004</v>
      </c>
      <c r="F51" s="117">
        <f>'Farm Model Assumptions'!E116*'Farm Model Assumptions'!E47*'Farm Model Assumptions'!$A$10</f>
        <v>12.109375000000004</v>
      </c>
      <c r="G51" s="123">
        <f>'Farm Model Assumptions'!F116*'Farm Model Assumptions'!F47*'Farm Model Assumptions'!$A$10</f>
        <v>0</v>
      </c>
    </row>
    <row r="52" spans="2:7" ht="12.75">
      <c r="B52" s="147" t="s">
        <v>288</v>
      </c>
      <c r="C52" s="145">
        <f>SUM(C43:C51)</f>
        <v>4166.4036233537945</v>
      </c>
      <c r="D52" s="143">
        <f>SUM(D43:D51)</f>
        <v>5351.630866352958</v>
      </c>
      <c r="E52" s="143">
        <f>SUM(E43:E51)</f>
        <v>6482.58940217643</v>
      </c>
      <c r="F52" s="143">
        <f>SUM(F43:F51)</f>
        <v>7553.835173777675</v>
      </c>
      <c r="G52" s="144">
        <f>SUM(G43:G51)</f>
        <v>8121.53846153846</v>
      </c>
    </row>
    <row r="53" spans="2:7" ht="12.75">
      <c r="B53" s="87" t="s">
        <v>747</v>
      </c>
      <c r="C53" s="768">
        <f>IF($D$17=1,0,IF($D$17=2,Land_Financing!B110*'Farm Model Assumptions'!$A$10/'Summary ERRs'!$H$99,""))</f>
        <v>0</v>
      </c>
      <c r="D53" s="769">
        <f>IF($D$17=1,-250*'Farm Model Assumptions'!$A$10,IF($D$17=2,-Land_Financing!C110*'Farm Model Assumptions'!$A$10/'Summary ERRs'!$H$99,""))</f>
        <v>-1250</v>
      </c>
      <c r="E53" s="769">
        <f>IF($D$17=1,-250*'Farm Model Assumptions'!$A$10,IF($D$17=2,-Land_Financing!D110*'Farm Model Assumptions'!$A$10/'Summary ERRs'!$H$99,""))</f>
        <v>-1250</v>
      </c>
      <c r="F53" s="769">
        <f>IF($D$17=1,-250*'Farm Model Assumptions'!$A$10,IF($D$17=2,-Land_Financing!E110*'Farm Model Assumptions'!$A$10/'Summary ERRs'!$H$99,""))</f>
        <v>-1250</v>
      </c>
      <c r="G53" s="305">
        <f>IF($D$17=1,-250*'Farm Model Assumptions'!$A$10,IF($D$17=2,-Land_Financing!F110*'Farm Model Assumptions'!$A$10/'Summary ERRs'!$H$99,""))</f>
        <v>-1250</v>
      </c>
    </row>
    <row r="54" spans="2:7" ht="12.75">
      <c r="B54" s="87" t="s">
        <v>289</v>
      </c>
      <c r="C54" s="768">
        <v>0</v>
      </c>
      <c r="D54" s="769">
        <v>0</v>
      </c>
      <c r="E54" s="769">
        <v>0</v>
      </c>
      <c r="F54" s="769">
        <v>0</v>
      </c>
      <c r="G54" s="305">
        <v>0</v>
      </c>
    </row>
    <row r="55" spans="2:7" ht="12.75">
      <c r="B55" s="337" t="s">
        <v>290</v>
      </c>
      <c r="C55" s="748">
        <f>SUM(C52:C54)</f>
        <v>4166.4036233537945</v>
      </c>
      <c r="D55" s="749">
        <f>SUM(D52:D54)</f>
        <v>4101.630866352958</v>
      </c>
      <c r="E55" s="749">
        <f>SUM(E52:E54)</f>
        <v>5232.58940217643</v>
      </c>
      <c r="F55" s="749">
        <f>SUM(F52:F54)</f>
        <v>6303.835173777675</v>
      </c>
      <c r="G55" s="750">
        <f>SUM(G52:G54)</f>
        <v>6871.53846153846</v>
      </c>
    </row>
    <row r="56" spans="2:9" ht="30">
      <c r="B56" s="87" t="s">
        <v>625</v>
      </c>
      <c r="C56" s="102">
        <f>C10</f>
        <v>12.8</v>
      </c>
      <c r="D56" s="13"/>
      <c r="E56" s="13"/>
      <c r="F56" s="13"/>
      <c r="G56" s="105"/>
      <c r="I56" s="517"/>
    </row>
    <row r="57" spans="2:9" ht="13.5" thickBot="1">
      <c r="B57" s="148" t="s">
        <v>650</v>
      </c>
      <c r="C57" s="124">
        <f>C55/$C56</f>
        <v>325.50028307451515</v>
      </c>
      <c r="D57" s="125">
        <f>D55/$C56</f>
        <v>320.4399114338248</v>
      </c>
      <c r="E57" s="125">
        <f>E55/$C56</f>
        <v>408.79604704503356</v>
      </c>
      <c r="F57" s="125">
        <f>F55/$C56</f>
        <v>492.4871229513808</v>
      </c>
      <c r="G57" s="216">
        <f>G55/$C56</f>
        <v>536.8389423076922</v>
      </c>
      <c r="I57" s="786"/>
    </row>
    <row r="58" spans="2:7" ht="12.75">
      <c r="B58" s="177"/>
      <c r="C58" s="556"/>
      <c r="D58" s="556"/>
      <c r="E58" s="556"/>
      <c r="F58" s="556"/>
      <c r="G58" s="556"/>
    </row>
    <row r="59" spans="2:7" ht="13.5" thickBot="1">
      <c r="B59" s="22"/>
      <c r="C59" s="22"/>
      <c r="D59" s="22"/>
      <c r="E59" s="22"/>
      <c r="F59" s="22"/>
      <c r="G59" s="22"/>
    </row>
    <row r="60" spans="2:6" ht="13.5" thickBot="1">
      <c r="B60" s="206" t="s">
        <v>259</v>
      </c>
      <c r="C60" s="488"/>
      <c r="D60" s="489"/>
      <c r="E60" s="494"/>
      <c r="F60" s="495">
        <f>((G72*D10)+(G109*D11)+(G146*D12)+(G183*D13)+(G214*D14))/D9</f>
        <v>0.6117620141094514</v>
      </c>
    </row>
    <row r="61" spans="2:7" ht="13.5" thickBot="1">
      <c r="B61" s="22"/>
      <c r="C61" s="22"/>
      <c r="D61" s="22"/>
      <c r="E61" s="22"/>
      <c r="F61" s="22"/>
      <c r="G61" s="22"/>
    </row>
    <row r="62" spans="2:10" ht="13.5" thickBot="1">
      <c r="B62" s="487" t="s">
        <v>42</v>
      </c>
      <c r="C62" s="488"/>
      <c r="D62" s="489"/>
      <c r="E62" s="494"/>
      <c r="F62" s="495">
        <f>((1-D24)*F60)+(D24*N72)</f>
        <v>0.574854004207253</v>
      </c>
      <c r="G62" s="237"/>
      <c r="I62" s="491" t="s">
        <v>275</v>
      </c>
      <c r="J62" s="513">
        <f>((E72*D10/D9+E109*D11/D9+E146*D12/D9+E174*D13/D9+E214*D14/D9)*(D9/D28))+(L72*(K8/D28))</f>
        <v>418.3365693834222</v>
      </c>
    </row>
    <row r="63" spans="1:8" ht="13.5" thickBot="1">
      <c r="A63" s="340"/>
      <c r="B63" s="22"/>
      <c r="C63" s="22"/>
      <c r="D63" s="22"/>
      <c r="E63" s="22"/>
      <c r="F63" s="22"/>
      <c r="G63" s="22"/>
      <c r="H63" s="60"/>
    </row>
    <row r="64" spans="2:8" ht="12.75">
      <c r="B64" s="22"/>
      <c r="C64" s="22"/>
      <c r="D64" s="22"/>
      <c r="E64" s="22"/>
      <c r="F64" s="22"/>
      <c r="G64" s="22"/>
      <c r="H64" s="60"/>
    </row>
    <row r="65" spans="2:8" ht="12.75">
      <c r="B65" s="22"/>
      <c r="C65" s="22"/>
      <c r="D65" s="22"/>
      <c r="E65" s="22"/>
      <c r="F65" s="22"/>
      <c r="G65" s="22"/>
      <c r="H65" s="236"/>
    </row>
    <row r="66" spans="2:10" ht="12.75">
      <c r="B66" s="1127" t="s">
        <v>662</v>
      </c>
      <c r="C66" s="1127"/>
      <c r="D66" s="1127"/>
      <c r="E66" s="78"/>
      <c r="F66" s="78"/>
      <c r="G66" s="78"/>
      <c r="H66" s="237"/>
      <c r="I66" s="1127" t="s">
        <v>662</v>
      </c>
      <c r="J66" s="1127"/>
    </row>
    <row r="67" spans="2:11" ht="13.5" thickBot="1">
      <c r="B67" s="1128" t="s">
        <v>693</v>
      </c>
      <c r="C67" s="1128"/>
      <c r="D67" s="1128"/>
      <c r="E67" s="215">
        <f>G57</f>
        <v>536.8389423076922</v>
      </c>
      <c r="F67" s="215"/>
      <c r="G67" s="78"/>
      <c r="H67" s="237"/>
      <c r="I67" s="1128" t="s">
        <v>664</v>
      </c>
      <c r="J67" s="1128"/>
      <c r="K67" s="217">
        <f>K43</f>
        <v>294.1025641025641</v>
      </c>
    </row>
    <row r="68" spans="2:14" ht="76.5">
      <c r="B68" s="235" t="s">
        <v>626</v>
      </c>
      <c r="C68" s="231" t="s">
        <v>671</v>
      </c>
      <c r="D68" s="238" t="s">
        <v>677</v>
      </c>
      <c r="E68" s="225" t="s">
        <v>673</v>
      </c>
      <c r="F68" s="225" t="s">
        <v>674</v>
      </c>
      <c r="G68" s="150" t="s">
        <v>672</v>
      </c>
      <c r="H68" s="237"/>
      <c r="I68" s="226" t="s">
        <v>626</v>
      </c>
      <c r="J68" s="231" t="s">
        <v>671</v>
      </c>
      <c r="K68" s="238" t="s">
        <v>677</v>
      </c>
      <c r="L68" s="225" t="s">
        <v>673</v>
      </c>
      <c r="M68" s="225" t="s">
        <v>674</v>
      </c>
      <c r="N68" s="150" t="s">
        <v>672</v>
      </c>
    </row>
    <row r="69" spans="2:14" ht="12.75">
      <c r="B69" s="227" t="s">
        <v>629</v>
      </c>
      <c r="C69" s="232">
        <v>240.85862379807688</v>
      </c>
      <c r="D69" s="229" t="str">
        <f>IF(C69&lt;=$C$219,"Yes","No")</f>
        <v>Yes</v>
      </c>
      <c r="E69" s="229">
        <f>$G$57-C69</f>
        <v>295.98031850961524</v>
      </c>
      <c r="F69" s="230">
        <f>$G$57/C69</f>
        <v>2.2288549765930306</v>
      </c>
      <c r="G69" s="233">
        <f>1-(C69/$G$57)</f>
        <v>0.5513391357886488</v>
      </c>
      <c r="H69" s="237"/>
      <c r="I69" s="227" t="s">
        <v>663</v>
      </c>
      <c r="J69" s="232">
        <f>K43</f>
        <v>294.1025641025641</v>
      </c>
      <c r="K69" s="229" t="str">
        <f>IF(J69&lt;=$C$219,"Yes","No")</f>
        <v>No</v>
      </c>
      <c r="L69" s="229">
        <f>$K$43-J69</f>
        <v>0</v>
      </c>
      <c r="M69" s="230">
        <f>$K$43/J69</f>
        <v>1</v>
      </c>
      <c r="N69" s="233">
        <f>1-(J69/$K$43)</f>
        <v>0</v>
      </c>
    </row>
    <row r="70" spans="2:14" ht="12.75">
      <c r="B70" s="228" t="s">
        <v>627</v>
      </c>
      <c r="C70" s="232">
        <v>248</v>
      </c>
      <c r="D70" s="229" t="str">
        <f>IF(C70&lt;=$C$219,"Yes","No")</f>
        <v>Yes</v>
      </c>
      <c r="E70" s="229">
        <f>$G$57-C70</f>
        <v>288.83894230769215</v>
      </c>
      <c r="F70" s="230">
        <f>$G$57/C70</f>
        <v>2.1646731544665005</v>
      </c>
      <c r="G70" s="233">
        <f>1-(C70/$G$57)</f>
        <v>0.538036493899026</v>
      </c>
      <c r="H70" s="237"/>
      <c r="I70" s="228" t="s">
        <v>627</v>
      </c>
      <c r="J70" s="232">
        <v>248</v>
      </c>
      <c r="K70" s="229" t="str">
        <f>IF(J70&lt;=$C$219,"Yes","No")</f>
        <v>Yes</v>
      </c>
      <c r="L70" s="229">
        <f>$K$43-J70</f>
        <v>46.10256410256409</v>
      </c>
      <c r="M70" s="230">
        <f>$K$43/J70</f>
        <v>1.185897435897436</v>
      </c>
      <c r="N70" s="233">
        <f>1-(J70/$K$43)</f>
        <v>0.1567567567567567</v>
      </c>
    </row>
    <row r="71" spans="2:14" ht="13.5" thickBot="1">
      <c r="B71" s="228" t="s">
        <v>628</v>
      </c>
      <c r="C71" s="232">
        <v>190</v>
      </c>
      <c r="D71" s="229" t="str">
        <f>IF(C71&lt;=$C$219,"Yes","No")</f>
        <v>Yes</v>
      </c>
      <c r="E71" s="229">
        <f>$G$57-C71</f>
        <v>346.83894230769215</v>
      </c>
      <c r="F71" s="230">
        <f>$G$57/C71</f>
        <v>2.825468117408906</v>
      </c>
      <c r="G71" s="233">
        <f>1-(C71/$G$57)</f>
        <v>0.6460763461323182</v>
      </c>
      <c r="H71" s="237"/>
      <c r="I71" s="228" t="s">
        <v>628</v>
      </c>
      <c r="J71" s="232">
        <v>190</v>
      </c>
      <c r="K71" s="229" t="str">
        <f>IF(J71&lt;=$C$219,"Yes","No")</f>
        <v>Yes</v>
      </c>
      <c r="L71" s="229">
        <f>$K$43-J71</f>
        <v>104.10256410256409</v>
      </c>
      <c r="M71" s="230">
        <f>$K$43/J71</f>
        <v>1.5479082321187583</v>
      </c>
      <c r="N71" s="233">
        <f>1-(J71/$K$43)</f>
        <v>0.35396687009590233</v>
      </c>
    </row>
    <row r="72" spans="2:14" ht="13.5" thickBot="1">
      <c r="B72" s="491" t="s">
        <v>41</v>
      </c>
      <c r="C72" s="488">
        <f>(($D226/$D$225)*C69)+(($D227/$D$225)*C70)+(($D228/$D$225)*C71)</f>
        <v>206.7833458533654</v>
      </c>
      <c r="D72" s="492" t="s">
        <v>873</v>
      </c>
      <c r="E72" s="492">
        <f>(($D226/$D$225)*E69)+(($D227/$D$225)*E70)+(($D228/$D$225)*E71)</f>
        <v>330.05559645432675</v>
      </c>
      <c r="F72" s="493">
        <f>(($D226/$D$225)*F69)+(($D227/$D$225)*F70)+(($D228/$D$225)*F71)</f>
        <v>2.6285857809396673</v>
      </c>
      <c r="G72" s="490">
        <f>(($D226/$D$225)*G69)+(($D227/$D$225)*G70)+(($D228/$D$225)*G71)</f>
        <v>0.6148130667189073</v>
      </c>
      <c r="H72" s="237"/>
      <c r="I72" s="491" t="s">
        <v>41</v>
      </c>
      <c r="J72" s="488">
        <f>(($M225/$M$228)*J69)+(($M226/$M$228)*J70)+(($M227/$M$228)*J71)</f>
        <v>210.82051282051282</v>
      </c>
      <c r="K72" s="492" t="s">
        <v>873</v>
      </c>
      <c r="L72" s="492">
        <f>(($M225/$M$228)*L69)+(($M226/$M$228)*L70)+(($M227/$M$228)*L71)</f>
        <v>83.28205128205127</v>
      </c>
      <c r="M72" s="493">
        <f>(($M225/$M$228)*M69)+(($M226/$M$228)*M70)+(($M227/$M$228)*M71)</f>
        <v>1.4383265856950067</v>
      </c>
      <c r="N72" s="490">
        <f>(($M225/$M$228)*N69)+(($M226/$M$228)*N70)+(($M227/$M$228)*N71)</f>
        <v>0.2831734960767219</v>
      </c>
    </row>
    <row r="73" spans="2:14" ht="12.75">
      <c r="B73" s="45"/>
      <c r="C73" s="484"/>
      <c r="D73" s="485"/>
      <c r="E73" s="485"/>
      <c r="F73" s="486"/>
      <c r="G73" s="237"/>
      <c r="I73" s="45"/>
      <c r="J73" s="484"/>
      <c r="K73" s="485"/>
      <c r="L73" s="485"/>
      <c r="M73" s="486"/>
      <c r="N73" s="237"/>
    </row>
    <row r="74" spans="2:9" ht="12.75">
      <c r="B74" s="9" t="s">
        <v>635</v>
      </c>
      <c r="I74" s="9" t="s">
        <v>635</v>
      </c>
    </row>
    <row r="75" spans="2:9" ht="14.25" customHeight="1">
      <c r="B75" s="149" t="s">
        <v>260</v>
      </c>
      <c r="I75" s="149" t="s">
        <v>45</v>
      </c>
    </row>
    <row r="76" spans="2:9" ht="15" customHeight="1">
      <c r="B76" s="149" t="s">
        <v>676</v>
      </c>
      <c r="I76" t="s">
        <v>49</v>
      </c>
    </row>
    <row r="77" spans="2:9" ht="13.5" customHeight="1">
      <c r="B77" s="149" t="s">
        <v>261</v>
      </c>
      <c r="I77" s="149" t="s">
        <v>46</v>
      </c>
    </row>
    <row r="78" spans="2:9" ht="12.75">
      <c r="B78" t="s">
        <v>49</v>
      </c>
      <c r="I78" t="s">
        <v>47</v>
      </c>
    </row>
    <row r="79" spans="2:9" ht="12.75">
      <c r="B79" s="149" t="s">
        <v>46</v>
      </c>
      <c r="I79" t="s">
        <v>48</v>
      </c>
    </row>
    <row r="80" ht="12.75">
      <c r="B80" t="s">
        <v>47</v>
      </c>
    </row>
    <row r="81" ht="12.75">
      <c r="B81" t="s">
        <v>48</v>
      </c>
    </row>
    <row r="83" ht="13.5" thickBot="1">
      <c r="B83" s="9" t="s">
        <v>313</v>
      </c>
    </row>
    <row r="84" spans="2:7" ht="13.5" thickBot="1">
      <c r="B84" s="85" t="s">
        <v>573</v>
      </c>
      <c r="C84" s="1062" t="s">
        <v>257</v>
      </c>
      <c r="D84" s="1062"/>
      <c r="E84" s="1062"/>
      <c r="F84" s="1062"/>
      <c r="G84" s="1063"/>
    </row>
    <row r="85" spans="2:7" ht="12.75">
      <c r="B85" s="146"/>
      <c r="C85" s="12" t="s">
        <v>566</v>
      </c>
      <c r="D85" s="62" t="s">
        <v>567</v>
      </c>
      <c r="E85" s="62" t="s">
        <v>568</v>
      </c>
      <c r="F85" s="62" t="s">
        <v>569</v>
      </c>
      <c r="G85" s="64" t="s">
        <v>570</v>
      </c>
    </row>
    <row r="86" spans="2:7" ht="12.75">
      <c r="B86" s="87" t="str">
        <f>'Farm Model Assumptions'!A57</f>
        <v>RS Paddy</v>
      </c>
      <c r="C86" s="107">
        <f>'Farm Model Assumptions'!B107*'Farm Model Assumptions'!B39*'Farm Model Assumptions'!$A$10</f>
        <v>2301.75</v>
      </c>
      <c r="D86" s="117">
        <f>'Farm Model Assumptions'!C107*'Farm Model Assumptions'!C39*'Farm Model Assumptions'!$A$10</f>
        <v>2931.264423076923</v>
      </c>
      <c r="E86" s="117">
        <f>'Farm Model Assumptions'!D107*'Farm Model Assumptions'!D39*'Farm Model Assumptions'!$A$10</f>
        <v>3581.6442307692305</v>
      </c>
      <c r="F86" s="117">
        <f>'Farm Model Assumptions'!E107*'Farm Model Assumptions'!E39*'Farm Model Assumptions'!$A$10</f>
        <v>4252.889423076923</v>
      </c>
      <c r="G86" s="123">
        <f>'Farm Model Assumptions'!F107*'Farm Model Assumptions'!F39*'Farm Model Assumptions'!$A$10</f>
        <v>4325.7692307692305</v>
      </c>
    </row>
    <row r="87" spans="2:7" ht="12.75">
      <c r="B87" s="87" t="str">
        <f>'Farm Model Assumptions'!A58</f>
        <v>DS Wheat</v>
      </c>
      <c r="C87" s="107">
        <f>'Farm Model Assumptions'!B108*'Farm Model Assumptions'!B40*'Farm Model Assumptions'!$A$10</f>
        <v>0</v>
      </c>
      <c r="D87" s="117">
        <f>'Farm Model Assumptions'!C108*'Farm Model Assumptions'!C40*'Farm Model Assumptions'!$A$10</f>
        <v>0</v>
      </c>
      <c r="E87" s="117">
        <f>'Farm Model Assumptions'!D108*'Farm Model Assumptions'!D40*'Farm Model Assumptions'!$A$10</f>
        <v>0</v>
      </c>
      <c r="F87" s="117">
        <f>'Farm Model Assumptions'!E108*'Farm Model Assumptions'!E40*'Farm Model Assumptions'!$A$10</f>
        <v>0</v>
      </c>
      <c r="G87" s="123">
        <f>'Farm Model Assumptions'!F108*'Farm Model Assumptions'!F40*'Farm Model Assumptions'!$A$10</f>
        <v>0</v>
      </c>
    </row>
    <row r="88" spans="2:7" ht="12.75">
      <c r="B88" s="87" t="str">
        <f>'Farm Model Assumptions'!A59</f>
        <v>RS Maize</v>
      </c>
      <c r="C88" s="107">
        <f>'Farm Model Assumptions'!B109*'Farm Model Assumptions'!B41*'Farm Model Assumptions'!$A$10</f>
        <v>319.2307692307692</v>
      </c>
      <c r="D88" s="117">
        <f>'Farm Model Assumptions'!C109*'Farm Model Assumptions'!C41*'Farm Model Assumptions'!$A$10</f>
        <v>368.46153846153845</v>
      </c>
      <c r="E88" s="117">
        <f>'Farm Model Assumptions'!D109*'Farm Model Assumptions'!D41*'Farm Model Assumptions'!$A$10</f>
        <v>405.3846153846154</v>
      </c>
      <c r="F88" s="117">
        <f>'Farm Model Assumptions'!E109*'Farm Model Assumptions'!E41*'Farm Model Assumptions'!$A$10</f>
        <v>442.30769230769226</v>
      </c>
      <c r="G88" s="123">
        <f>'Farm Model Assumptions'!F109*'Farm Model Assumptions'!F41*'Farm Model Assumptions'!$A$10</f>
        <v>466.9230769230769</v>
      </c>
    </row>
    <row r="89" spans="2:7" ht="12.75">
      <c r="B89" s="87" t="str">
        <f>'Farm Model Assumptions'!A60</f>
        <v>DS Paddy</v>
      </c>
      <c r="C89" s="107">
        <f>'Farm Model Assumptions'!B110*'Farm Model Assumptions'!B42*'Farm Model Assumptions'!$A$10</f>
        <v>320.1923076923077</v>
      </c>
      <c r="D89" s="117">
        <f>'Farm Model Assumptions'!C110*'Farm Model Assumptions'!C42*'Farm Model Assumptions'!$A$10</f>
        <v>290.62500000000006</v>
      </c>
      <c r="E89" s="117">
        <f>'Farm Model Assumptions'!D110*'Farm Model Assumptions'!D42*'Farm Model Assumptions'!$A$10</f>
        <v>227.4038461538462</v>
      </c>
      <c r="F89" s="117">
        <f>'Farm Model Assumptions'!E110*'Farm Model Assumptions'!E42*'Farm Model Assumptions'!$A$10</f>
        <v>113.70192307692312</v>
      </c>
      <c r="G89" s="123">
        <f>'Farm Model Assumptions'!F110*'Farm Model Assumptions'!F42*'Farm Model Assumptions'!$A$10</f>
        <v>0</v>
      </c>
    </row>
    <row r="90" spans="2:7" ht="12.75">
      <c r="B90" s="87" t="str">
        <f>'Farm Model Assumptions'!A61</f>
        <v>DS Maize</v>
      </c>
      <c r="C90" s="107">
        <f>'Farm Model Assumptions'!B111*'Farm Model Assumptions'!B43*'Farm Model Assumptions'!$A$10</f>
        <v>61.144007969179995</v>
      </c>
      <c r="D90" s="117">
        <f>'Farm Model Assumptions'!C111*'Farm Model Assumptions'!C43*'Farm Model Assumptions'!$A$10</f>
        <v>79.22461635295835</v>
      </c>
      <c r="E90" s="117">
        <f>'Farm Model Assumptions'!D111*'Farm Model Assumptions'!D43*'Farm Model Assumptions'!$A$10</f>
        <v>103.46920986873828</v>
      </c>
      <c r="F90" s="117">
        <f>'Farm Model Assumptions'!E111*'Farm Model Assumptions'!E43*'Farm Model Assumptions'!$A$10</f>
        <v>126.58276993152178</v>
      </c>
      <c r="G90" s="123">
        <f>'Farm Model Assumptions'!F111*'Farm Model Assumptions'!F43*'Farm Model Assumptions'!$A$10</f>
        <v>152.01923076923077</v>
      </c>
    </row>
    <row r="91" spans="2:7" ht="12.75">
      <c r="B91" s="87" t="str">
        <f>'Farm Model Assumptions'!A62</f>
        <v>Shallots (DS)</v>
      </c>
      <c r="C91" s="107">
        <f>'Farm Model Assumptions'!B112*'Farm Model Assumptions'!B44*'Farm Model Assumptions'!$A$10</f>
        <v>807.1153846153845</v>
      </c>
      <c r="D91" s="117">
        <f>'Farm Model Assumptions'!C112*'Farm Model Assumptions'!C44*'Farm Model Assumptions'!$A$10</f>
        <v>1275.576923076923</v>
      </c>
      <c r="E91" s="117">
        <f>'Farm Model Assumptions'!D112*'Farm Model Assumptions'!D44*'Farm Model Assumptions'!$A$10</f>
        <v>1787.3076923076924</v>
      </c>
      <c r="F91" s="117">
        <f>'Farm Model Assumptions'!E112*'Farm Model Assumptions'!E44*'Farm Model Assumptions'!$A$10</f>
        <v>2342.307692307692</v>
      </c>
      <c r="G91" s="123">
        <f>'Farm Model Assumptions'!F112*'Farm Model Assumptions'!F44*'Farm Model Assumptions'!$A$10</f>
        <v>3070.384615384615</v>
      </c>
    </row>
    <row r="92" spans="2:7" ht="12.75">
      <c r="B92" s="87" t="str">
        <f>'Farm Model Assumptions'!A63</f>
        <v>Potato (DS)</v>
      </c>
      <c r="C92" s="107">
        <f>'Farm Model Assumptions'!B113*'Farm Model Assumptions'!B45*'Farm Model Assumptions'!$A$10</f>
        <v>323.26923076923083</v>
      </c>
      <c r="D92" s="117">
        <f>'Farm Model Assumptions'!C113*'Farm Model Assumptions'!C45*'Farm Model Assumptions'!$A$10</f>
        <v>357.8365384615384</v>
      </c>
      <c r="E92" s="117">
        <f>'Farm Model Assumptions'!D113*'Farm Model Assumptions'!D45*'Farm Model Assumptions'!$A$10</f>
        <v>315.48076923076917</v>
      </c>
      <c r="F92" s="117">
        <f>'Farm Model Assumptions'!E113*'Farm Model Assumptions'!E45*'Farm Model Assumptions'!$A$10</f>
        <v>196.20192307692298</v>
      </c>
      <c r="G92" s="123">
        <f>'Farm Model Assumptions'!F113*'Farm Model Assumptions'!F45*'Farm Model Assumptions'!$A$10</f>
        <v>0</v>
      </c>
    </row>
    <row r="93" spans="2:7" ht="12.75">
      <c r="B93" s="87" t="str">
        <f>'Farm Model Assumptions'!A64</f>
        <v>Tomato (DS)</v>
      </c>
      <c r="C93" s="107">
        <f>'Farm Model Assumptions'!B114*'Farm Model Assumptions'!B46*'Farm Model Assumptions'!$A$10</f>
        <v>9.302884615384615</v>
      </c>
      <c r="D93" s="117">
        <f>'Farm Model Assumptions'!C114*'Farm Model Assumptions'!C46*'Farm Model Assumptions'!$A$10</f>
        <v>21.328125</v>
      </c>
      <c r="E93" s="117">
        <f>'Farm Model Assumptions'!D114*'Farm Model Assumptions'!D46*'Farm Model Assumptions'!$A$10</f>
        <v>37.68028846153846</v>
      </c>
      <c r="F93" s="117">
        <f>'Farm Model Assumptions'!E114*'Farm Model Assumptions'!E46*'Farm Model Assumptions'!$A$10</f>
        <v>67.734375</v>
      </c>
      <c r="G93" s="123">
        <f>'Farm Model Assumptions'!F114*'Farm Model Assumptions'!F46*'Farm Model Assumptions'!$A$10</f>
        <v>106.44230769230771</v>
      </c>
    </row>
    <row r="94" spans="2:7" ht="13.5" thickBot="1">
      <c r="B94" s="87" t="str">
        <f>'Farm Model Assumptions'!A65</f>
        <v>Niebe Forage (DS)</v>
      </c>
      <c r="C94" s="107">
        <f>'Farm Model Assumptions'!B116*'Farm Model Assumptions'!B47*'Farm Model Assumptions'!$A$10</f>
        <v>24.399038461538463</v>
      </c>
      <c r="D94" s="117">
        <f>'Farm Model Assumptions'!C116*'Farm Model Assumptions'!C47*'Farm Model Assumptions'!$A$10</f>
        <v>27.31370192307693</v>
      </c>
      <c r="E94" s="117">
        <f>'Farm Model Assumptions'!D116*'Farm Model Assumptions'!D47*'Farm Model Assumptions'!$A$10</f>
        <v>24.218750000000004</v>
      </c>
      <c r="F94" s="117">
        <f>'Farm Model Assumptions'!E116*'Farm Model Assumptions'!E47*'Farm Model Assumptions'!$A$10</f>
        <v>12.109375000000004</v>
      </c>
      <c r="G94" s="123">
        <f>'Farm Model Assumptions'!F116*'Farm Model Assumptions'!F47*'Farm Model Assumptions'!$A$10</f>
        <v>0</v>
      </c>
    </row>
    <row r="95" spans="2:7" ht="12.75">
      <c r="B95" s="147" t="s">
        <v>288</v>
      </c>
      <c r="C95" s="145">
        <f>SUM(C86:C94)</f>
        <v>4166.4036233537945</v>
      </c>
      <c r="D95" s="143">
        <f>SUM(D86:D94)</f>
        <v>5351.630866352958</v>
      </c>
      <c r="E95" s="143">
        <f>SUM(E86:E94)</f>
        <v>6482.58940217643</v>
      </c>
      <c r="F95" s="143">
        <f>SUM(F86:F94)</f>
        <v>7553.835173777675</v>
      </c>
      <c r="G95" s="144">
        <f>SUM(G86:G94)</f>
        <v>8121.53846153846</v>
      </c>
    </row>
    <row r="96" spans="2:7" ht="12.75">
      <c r="B96" s="87" t="s">
        <v>747</v>
      </c>
      <c r="C96" s="768">
        <f>C53*(1-($D$16/'Farm Model Assumptions'!$A$11))</f>
        <v>0</v>
      </c>
      <c r="D96" s="769">
        <f>D53*(1-($D$16/'Farm Model Assumptions'!$A$11))</f>
        <v>-750</v>
      </c>
      <c r="E96" s="769">
        <f>E53*(1-($D$16/'Farm Model Assumptions'!$A$11))</f>
        <v>-750</v>
      </c>
      <c r="F96" s="769">
        <f>F53*(1-($D$16/'Farm Model Assumptions'!$A$11))</f>
        <v>-750</v>
      </c>
      <c r="G96" s="305">
        <f>G53*(1-($D$16/'Farm Model Assumptions'!$A$11))</f>
        <v>-750</v>
      </c>
    </row>
    <row r="97" spans="2:7" ht="12.75">
      <c r="B97" s="87" t="s">
        <v>289</v>
      </c>
      <c r="C97" s="768">
        <v>0</v>
      </c>
      <c r="D97" s="769">
        <v>0</v>
      </c>
      <c r="E97" s="769">
        <v>0</v>
      </c>
      <c r="F97" s="769">
        <v>0</v>
      </c>
      <c r="G97" s="305">
        <v>0</v>
      </c>
    </row>
    <row r="98" spans="2:7" ht="12.75">
      <c r="B98" s="337" t="s">
        <v>290</v>
      </c>
      <c r="C98" s="748">
        <f>SUM(C95:C97)</f>
        <v>4166.4036233537945</v>
      </c>
      <c r="D98" s="749">
        <f>SUM(D95:D97)</f>
        <v>4601.630866352958</v>
      </c>
      <c r="E98" s="749">
        <f>SUM(E95:E97)</f>
        <v>5732.58940217643</v>
      </c>
      <c r="F98" s="749">
        <f>SUM(F95:F97)</f>
        <v>6803.835173777675</v>
      </c>
      <c r="G98" s="750">
        <f>SUM(G95:G97)</f>
        <v>7371.53846153846</v>
      </c>
    </row>
    <row r="99" spans="2:7" ht="12.75">
      <c r="B99" s="87" t="s">
        <v>625</v>
      </c>
      <c r="C99" s="102">
        <f>C10</f>
        <v>12.8</v>
      </c>
      <c r="D99" s="13"/>
      <c r="E99" s="13"/>
      <c r="F99" s="13"/>
      <c r="G99" s="105"/>
    </row>
    <row r="100" spans="2:9" ht="13.5" thickBot="1">
      <c r="B100" s="148" t="s">
        <v>650</v>
      </c>
      <c r="C100" s="124">
        <f>C98/$C99</f>
        <v>325.50028307451515</v>
      </c>
      <c r="D100" s="125">
        <f>D98/$C99</f>
        <v>359.5024114338248</v>
      </c>
      <c r="E100" s="125">
        <f>E98/$C99</f>
        <v>447.85854704503356</v>
      </c>
      <c r="F100" s="125">
        <f>F98/$C99</f>
        <v>531.5496229513808</v>
      </c>
      <c r="G100" s="216">
        <f>G98/$C99</f>
        <v>575.9014423076922</v>
      </c>
      <c r="I100" s="786"/>
    </row>
    <row r="101" spans="2:7" ht="12.75">
      <c r="B101" s="177"/>
      <c r="C101" s="556"/>
      <c r="D101" s="556"/>
      <c r="E101" s="556"/>
      <c r="F101" s="556"/>
      <c r="G101" s="556"/>
    </row>
    <row r="103" spans="2:7" ht="12.75">
      <c r="B103" s="1127" t="s">
        <v>662</v>
      </c>
      <c r="C103" s="1127"/>
      <c r="D103" s="1127"/>
      <c r="E103" s="78"/>
      <c r="F103" s="78"/>
      <c r="G103" s="78"/>
    </row>
    <row r="104" spans="2:7" ht="13.5" thickBot="1">
      <c r="B104" s="1128" t="s">
        <v>693</v>
      </c>
      <c r="C104" s="1128"/>
      <c r="D104" s="1128"/>
      <c r="E104" s="215">
        <f>G100</f>
        <v>575.9014423076922</v>
      </c>
      <c r="F104" s="215"/>
      <c r="G104" s="78"/>
    </row>
    <row r="105" spans="2:7" ht="76.5">
      <c r="B105" s="235" t="s">
        <v>626</v>
      </c>
      <c r="C105" s="231" t="s">
        <v>671</v>
      </c>
      <c r="D105" s="238" t="s">
        <v>677</v>
      </c>
      <c r="E105" s="225" t="s">
        <v>673</v>
      </c>
      <c r="F105" s="225" t="s">
        <v>674</v>
      </c>
      <c r="G105" s="150" t="s">
        <v>672</v>
      </c>
    </row>
    <row r="106" spans="2:7" ht="12.75">
      <c r="B106" s="227" t="s">
        <v>629</v>
      </c>
      <c r="C106" s="232">
        <v>240.85862379807688</v>
      </c>
      <c r="D106" s="229" t="str">
        <f>IF(C106&lt;=$C$219,"Yes","No")</f>
        <v>Yes</v>
      </c>
      <c r="E106" s="229">
        <f>$G$100-C106</f>
        <v>335.04281850961524</v>
      </c>
      <c r="F106" s="230">
        <f>$G$100/C106</f>
        <v>2.3910351775093486</v>
      </c>
      <c r="G106" s="233">
        <f>1-(C106/$G$100)</f>
        <v>0.5817711050819159</v>
      </c>
    </row>
    <row r="107" spans="2:7" ht="12.75">
      <c r="B107" s="228" t="s">
        <v>627</v>
      </c>
      <c r="C107" s="232">
        <v>248</v>
      </c>
      <c r="D107" s="229" t="str">
        <f>IF(C107&lt;=$C$219,"Yes","No")</f>
        <v>Yes</v>
      </c>
      <c r="E107" s="229">
        <f>$G$100-C107</f>
        <v>327.90144230769215</v>
      </c>
      <c r="F107" s="230">
        <f>$G$100/C107</f>
        <v>2.322183235111662</v>
      </c>
      <c r="G107" s="233">
        <f>1-(C107/$G$100)</f>
        <v>0.5693707607221119</v>
      </c>
    </row>
    <row r="108" spans="2:7" ht="13.5" thickBot="1">
      <c r="B108" s="228" t="s">
        <v>628</v>
      </c>
      <c r="C108" s="232">
        <v>190</v>
      </c>
      <c r="D108" s="229" t="str">
        <f>IF(C108&lt;=$C$219,"Yes","No")</f>
        <v>Yes</v>
      </c>
      <c r="E108" s="229">
        <f>$G$100-C108</f>
        <v>385.90144230769215</v>
      </c>
      <c r="F108" s="230">
        <f>$G$100/C108</f>
        <v>3.031060222672064</v>
      </c>
      <c r="G108" s="233">
        <f>1-(C108/$G$100)</f>
        <v>0.6700824376500052</v>
      </c>
    </row>
    <row r="109" spans="2:7" ht="13.5" thickBot="1">
      <c r="B109" s="491" t="s">
        <v>41</v>
      </c>
      <c r="C109" s="488">
        <f>(($D230/$D$229)*C106)+(($D231/$D$229)*C107)+(($D232/$D$229)*C108)</f>
        <v>190</v>
      </c>
      <c r="D109" s="492" t="s">
        <v>873</v>
      </c>
      <c r="E109" s="492">
        <f>(($D230/$D$229)*E106)+(($D231/$D$229)*E107)+(($D232/$D$229)*E108)</f>
        <v>385.90144230769215</v>
      </c>
      <c r="F109" s="493">
        <f>(($D230/$D$229)*F106)+(($D231/$D$229)*F107)+(($D232/$D$229)*F108)</f>
        <v>3.031060222672064</v>
      </c>
      <c r="G109" s="490">
        <f>(($D230/$D$229)*G106)+(($D231/$D$229)*G107)+(($D232/$D$229)*G108)</f>
        <v>0.6700824376500052</v>
      </c>
    </row>
    <row r="110" spans="2:7" ht="12.75">
      <c r="B110" s="45"/>
      <c r="C110" s="484"/>
      <c r="D110" s="485"/>
      <c r="E110" s="485"/>
      <c r="F110" s="486"/>
      <c r="G110" s="237"/>
    </row>
    <row r="111" ht="12.75">
      <c r="B111" s="9" t="s">
        <v>635</v>
      </c>
    </row>
    <row r="112" ht="12.75">
      <c r="B112" s="149" t="s">
        <v>260</v>
      </c>
    </row>
    <row r="113" ht="12.75">
      <c r="B113" s="149" t="s">
        <v>676</v>
      </c>
    </row>
    <row r="114" ht="12.75">
      <c r="B114" s="149" t="s">
        <v>261</v>
      </c>
    </row>
    <row r="115" ht="12.75">
      <c r="B115" t="s">
        <v>49</v>
      </c>
    </row>
    <row r="116" ht="12.75">
      <c r="B116" s="149" t="s">
        <v>46</v>
      </c>
    </row>
    <row r="117" ht="12.75">
      <c r="B117" t="s">
        <v>47</v>
      </c>
    </row>
    <row r="118" ht="12.75">
      <c r="B118" t="s">
        <v>48</v>
      </c>
    </row>
    <row r="120" ht="13.5" thickBot="1">
      <c r="B120" s="9" t="s">
        <v>262</v>
      </c>
    </row>
    <row r="121" spans="2:7" ht="13.5" thickBot="1">
      <c r="B121" s="85"/>
      <c r="C121" s="1062" t="s">
        <v>670</v>
      </c>
      <c r="D121" s="1062"/>
      <c r="E121" s="1062"/>
      <c r="F121" s="1062"/>
      <c r="G121" s="1063"/>
    </row>
    <row r="122" spans="2:7" ht="12.75">
      <c r="B122" s="146" t="s">
        <v>573</v>
      </c>
      <c r="C122" s="12" t="s">
        <v>566</v>
      </c>
      <c r="D122" s="62" t="s">
        <v>567</v>
      </c>
      <c r="E122" s="62" t="s">
        <v>568</v>
      </c>
      <c r="F122" s="62" t="s">
        <v>569</v>
      </c>
      <c r="G122" s="64" t="s">
        <v>570</v>
      </c>
    </row>
    <row r="123" spans="2:7" ht="12.75">
      <c r="B123" s="87" t="str">
        <f>B43</f>
        <v>Rainy Season Paddy</v>
      </c>
      <c r="C123" s="107">
        <f>'Farm Model Assumptions'!B107*'Farm Model Assumptions'!B39*'Farm Model Assumptions'!$A$12</f>
        <v>4603.5</v>
      </c>
      <c r="D123" s="117">
        <f>'Farm Model Assumptions'!C107*'Farm Model Assumptions'!C39*'Farm Model Assumptions'!$A$12</f>
        <v>5862.528846153846</v>
      </c>
      <c r="E123" s="117">
        <f>'Farm Model Assumptions'!D107*'Farm Model Assumptions'!D39*'Farm Model Assumptions'!$A$12</f>
        <v>7163.288461538461</v>
      </c>
      <c r="F123" s="117">
        <f>'Farm Model Assumptions'!E107*'Farm Model Assumptions'!E39*'Farm Model Assumptions'!$A$12</f>
        <v>8505.778846153846</v>
      </c>
      <c r="G123" s="123">
        <f>'Farm Model Assumptions'!F107*'Farm Model Assumptions'!F39*'Farm Model Assumptions'!$A$12</f>
        <v>8651.538461538461</v>
      </c>
    </row>
    <row r="124" spans="2:7" ht="12.75">
      <c r="B124" s="87" t="str">
        <f aca="true" t="shared" si="0" ref="B124:B131">B44</f>
        <v>Wheat (DS)</v>
      </c>
      <c r="C124" s="107">
        <f>'Farm Model Assumptions'!B108*'Farm Model Assumptions'!B40*'Farm Model Assumptions'!$A$12</f>
        <v>0</v>
      </c>
      <c r="D124" s="117">
        <f>'Farm Model Assumptions'!C108*'Farm Model Assumptions'!C40*'Farm Model Assumptions'!$A$12</f>
        <v>0</v>
      </c>
      <c r="E124" s="117">
        <f>'Farm Model Assumptions'!D108*'Farm Model Assumptions'!D40*'Farm Model Assumptions'!$A$12</f>
        <v>0</v>
      </c>
      <c r="F124" s="117">
        <f>'Farm Model Assumptions'!E108*'Farm Model Assumptions'!E40*'Farm Model Assumptions'!$A$12</f>
        <v>0</v>
      </c>
      <c r="G124" s="123">
        <f>'Farm Model Assumptions'!F108*'Farm Model Assumptions'!F40*'Farm Model Assumptions'!$A$12</f>
        <v>0</v>
      </c>
    </row>
    <row r="125" spans="2:7" ht="12.75">
      <c r="B125" s="87" t="str">
        <f t="shared" si="0"/>
        <v>Maize RS</v>
      </c>
      <c r="C125" s="107">
        <f>'Farm Model Assumptions'!B109*'Farm Model Assumptions'!B41*'Farm Model Assumptions'!$A$12</f>
        <v>638.4615384615385</v>
      </c>
      <c r="D125" s="117">
        <f>'Farm Model Assumptions'!C109*'Farm Model Assumptions'!C41*'Farm Model Assumptions'!$A$12</f>
        <v>736.9230769230769</v>
      </c>
      <c r="E125" s="117">
        <f>'Farm Model Assumptions'!D109*'Farm Model Assumptions'!D41*'Farm Model Assumptions'!$A$12</f>
        <v>810.7692307692308</v>
      </c>
      <c r="F125" s="117">
        <f>'Farm Model Assumptions'!E109*'Farm Model Assumptions'!E41*'Farm Model Assumptions'!$A$12</f>
        <v>884.6153846153845</v>
      </c>
      <c r="G125" s="123">
        <f>'Farm Model Assumptions'!F109*'Farm Model Assumptions'!F41*'Farm Model Assumptions'!$A$12</f>
        <v>933.8461538461538</v>
      </c>
    </row>
    <row r="126" spans="2:7" ht="25.5" customHeight="1">
      <c r="B126" s="87" t="str">
        <f t="shared" si="0"/>
        <v>Dry Season Paddy</v>
      </c>
      <c r="C126" s="107">
        <f>'Farm Model Assumptions'!B110*'Farm Model Assumptions'!B42*'Farm Model Assumptions'!$A$12</f>
        <v>640.3846153846154</v>
      </c>
      <c r="D126" s="117">
        <f>'Farm Model Assumptions'!C110*'Farm Model Assumptions'!C42*'Farm Model Assumptions'!$A$12</f>
        <v>581.2500000000001</v>
      </c>
      <c r="E126" s="117">
        <f>'Farm Model Assumptions'!D110*'Farm Model Assumptions'!D42*'Farm Model Assumptions'!$A$12</f>
        <v>454.8076923076924</v>
      </c>
      <c r="F126" s="117">
        <f>'Farm Model Assumptions'!E110*'Farm Model Assumptions'!E42*'Farm Model Assumptions'!$A$12</f>
        <v>227.40384615384625</v>
      </c>
      <c r="G126" s="123">
        <f>'Farm Model Assumptions'!F110*'Farm Model Assumptions'!F42*'Farm Model Assumptions'!$A$12</f>
        <v>0</v>
      </c>
    </row>
    <row r="127" spans="2:7" ht="25.5" customHeight="1">
      <c r="B127" s="87" t="str">
        <f t="shared" si="0"/>
        <v>Maize DS</v>
      </c>
      <c r="C127" s="107">
        <f>'Farm Model Assumptions'!B111*'Farm Model Assumptions'!B43*'Farm Model Assumptions'!$A$12</f>
        <v>122.28801593835999</v>
      </c>
      <c r="D127" s="117">
        <f>'Farm Model Assumptions'!C111*'Farm Model Assumptions'!C43*'Farm Model Assumptions'!$A$12</f>
        <v>158.4492327059167</v>
      </c>
      <c r="E127" s="117">
        <f>'Farm Model Assumptions'!D111*'Farm Model Assumptions'!D43*'Farm Model Assumptions'!$A$12</f>
        <v>206.93841973747655</v>
      </c>
      <c r="F127" s="117">
        <f>'Farm Model Assumptions'!E111*'Farm Model Assumptions'!E43*'Farm Model Assumptions'!$A$12</f>
        <v>253.16553986304356</v>
      </c>
      <c r="G127" s="123">
        <f>'Farm Model Assumptions'!F111*'Farm Model Assumptions'!F43*'Farm Model Assumptions'!$A$12</f>
        <v>304.03846153846155</v>
      </c>
    </row>
    <row r="128" spans="2:7" ht="12.75">
      <c r="B128" s="87" t="str">
        <f t="shared" si="0"/>
        <v>Shallots</v>
      </c>
      <c r="C128" s="107">
        <f>'Farm Model Assumptions'!B112*'Farm Model Assumptions'!B44*'Farm Model Assumptions'!$A$12</f>
        <v>1614.230769230769</v>
      </c>
      <c r="D128" s="117">
        <f>'Farm Model Assumptions'!C112*'Farm Model Assumptions'!C44*'Farm Model Assumptions'!$A$12</f>
        <v>2551.153846153846</v>
      </c>
      <c r="E128" s="117">
        <f>'Farm Model Assumptions'!D112*'Farm Model Assumptions'!D44*'Farm Model Assumptions'!$A$12</f>
        <v>3574.6153846153848</v>
      </c>
      <c r="F128" s="117">
        <f>'Farm Model Assumptions'!E112*'Farm Model Assumptions'!E44*'Farm Model Assumptions'!$A$12</f>
        <v>4684.615384615384</v>
      </c>
      <c r="G128" s="123">
        <f>'Farm Model Assumptions'!F112*'Farm Model Assumptions'!F44*'Farm Model Assumptions'!$A$12</f>
        <v>6140.76923076923</v>
      </c>
    </row>
    <row r="129" spans="2:7" ht="12.75">
      <c r="B129" s="87" t="str">
        <f t="shared" si="0"/>
        <v>Potato</v>
      </c>
      <c r="C129" s="107">
        <f>'Farm Model Assumptions'!B113*'Farm Model Assumptions'!B45*'Farm Model Assumptions'!$A$12</f>
        <v>646.5384615384617</v>
      </c>
      <c r="D129" s="117">
        <f>'Farm Model Assumptions'!C113*'Farm Model Assumptions'!C45*'Farm Model Assumptions'!$A$12</f>
        <v>715.6730769230768</v>
      </c>
      <c r="E129" s="117">
        <f>'Farm Model Assumptions'!D113*'Farm Model Assumptions'!D45*'Farm Model Assumptions'!$A$12</f>
        <v>630.9615384615383</v>
      </c>
      <c r="F129" s="117">
        <f>'Farm Model Assumptions'!E113*'Farm Model Assumptions'!E45*'Farm Model Assumptions'!$A$12</f>
        <v>392.40384615384596</v>
      </c>
      <c r="G129" s="123">
        <f>'Farm Model Assumptions'!F113*'Farm Model Assumptions'!F45*'Farm Model Assumptions'!$A$12</f>
        <v>0</v>
      </c>
    </row>
    <row r="130" spans="2:7" ht="12.75" customHeight="1">
      <c r="B130" s="87" t="str">
        <f t="shared" si="0"/>
        <v>Tomato/other veg.</v>
      </c>
      <c r="C130" s="107">
        <f>'Farm Model Assumptions'!B114*'Farm Model Assumptions'!B46*'Farm Model Assumptions'!$A$12</f>
        <v>18.60576923076923</v>
      </c>
      <c r="D130" s="117">
        <f>'Farm Model Assumptions'!C114*'Farm Model Assumptions'!C46*'Farm Model Assumptions'!$A$12</f>
        <v>42.65625</v>
      </c>
      <c r="E130" s="117">
        <f>'Farm Model Assumptions'!D114*'Farm Model Assumptions'!D46*'Farm Model Assumptions'!$A$12</f>
        <v>75.36057692307692</v>
      </c>
      <c r="F130" s="117">
        <f>'Farm Model Assumptions'!E114*'Farm Model Assumptions'!E46*'Farm Model Assumptions'!$A$12</f>
        <v>135.46875</v>
      </c>
      <c r="G130" s="123">
        <f>'Farm Model Assumptions'!F114*'Farm Model Assumptions'!F46*'Farm Model Assumptions'!$A$12</f>
        <v>212.88461538461542</v>
      </c>
    </row>
    <row r="131" spans="2:7" ht="12.75" customHeight="1" thickBot="1">
      <c r="B131" s="87" t="str">
        <f t="shared" si="0"/>
        <v>Niebe Hay (forage)</v>
      </c>
      <c r="C131" s="107">
        <f>'Farm Model Assumptions'!B116*'Farm Model Assumptions'!B47*'Farm Model Assumptions'!$A$12</f>
        <v>48.79807692307693</v>
      </c>
      <c r="D131" s="117">
        <f>'Farm Model Assumptions'!C116*'Farm Model Assumptions'!C47*'Farm Model Assumptions'!$A$12</f>
        <v>54.62740384615386</v>
      </c>
      <c r="E131" s="117">
        <f>'Farm Model Assumptions'!D116*'Farm Model Assumptions'!D47*'Farm Model Assumptions'!$A$12</f>
        <v>48.43750000000001</v>
      </c>
      <c r="F131" s="117">
        <f>'Farm Model Assumptions'!E116*'Farm Model Assumptions'!E47*'Farm Model Assumptions'!$A$12</f>
        <v>24.218750000000007</v>
      </c>
      <c r="G131" s="123">
        <f>'Farm Model Assumptions'!F116*'Farm Model Assumptions'!F47*'Farm Model Assumptions'!$A$12</f>
        <v>0</v>
      </c>
    </row>
    <row r="132" spans="2:7" ht="12.75" customHeight="1">
      <c r="B132" s="147" t="s">
        <v>624</v>
      </c>
      <c r="C132" s="145">
        <f>SUM(C123:C131)</f>
        <v>8332.807246707589</v>
      </c>
      <c r="D132" s="143">
        <f>SUM(D123:D131)</f>
        <v>10703.261732705916</v>
      </c>
      <c r="E132" s="143">
        <f>SUM(E123:E131)</f>
        <v>12965.17880435286</v>
      </c>
      <c r="F132" s="143">
        <f>SUM(F123:F131)</f>
        <v>15107.67034755535</v>
      </c>
      <c r="G132" s="144">
        <f>SUM(G123:G131)</f>
        <v>16243.07692307692</v>
      </c>
    </row>
    <row r="133" spans="2:7" ht="12.75" customHeight="1">
      <c r="B133" s="287" t="s">
        <v>747</v>
      </c>
      <c r="C133" s="768">
        <f>IF($D$17=1,0,IF($D$17=2,Land_Financing!B190*'Farm Model Assumptions'!$A$12/'Summary ERRs'!$H$99,""))</f>
        <v>0</v>
      </c>
      <c r="D133" s="769">
        <f>IF($D$17=1,-250*'Farm Model Assumptions'!$A$12,IF($D$17=2,-Land_Financing!C190*'Farm Model Assumptions'!$A$12/'Summary ERRs'!$H$99,""))</f>
        <v>-2500</v>
      </c>
      <c r="E133" s="769">
        <f>IF($D$17=1,-250*'Farm Model Assumptions'!$A$12,IF($D$17=2,-Land_Financing!D190*'Farm Model Assumptions'!$A$12/'Summary ERRs'!$H$99,""))</f>
        <v>-2500</v>
      </c>
      <c r="F133" s="769">
        <f>IF($D$17=1,-250*'Farm Model Assumptions'!$A$12,IF($D$17=2,-Land_Financing!E190*'Farm Model Assumptions'!$A$12/'Summary ERRs'!$H$99,""))</f>
        <v>-2500</v>
      </c>
      <c r="G133" s="305">
        <f>IF($D$17=1,-250*'Farm Model Assumptions'!$A$12,IF($D$17=2,-Land_Financing!F190*'Farm Model Assumptions'!$A$12/'Summary ERRs'!$H$99,""))</f>
        <v>-2500</v>
      </c>
    </row>
    <row r="134" spans="2:7" ht="12.75">
      <c r="B134" s="287" t="s">
        <v>289</v>
      </c>
      <c r="C134" s="768">
        <v>0</v>
      </c>
      <c r="D134" s="769">
        <v>0</v>
      </c>
      <c r="E134" s="769">
        <v>0</v>
      </c>
      <c r="F134" s="769">
        <v>0</v>
      </c>
      <c r="G134" s="305">
        <v>0</v>
      </c>
    </row>
    <row r="135" spans="2:7" ht="12.75">
      <c r="B135" s="337" t="s">
        <v>290</v>
      </c>
      <c r="C135" s="748">
        <f>SUM(C132:C134)</f>
        <v>8332.807246707589</v>
      </c>
      <c r="D135" s="749">
        <f>SUM(D132:D134)</f>
        <v>8203.261732705916</v>
      </c>
      <c r="E135" s="749">
        <f>SUM(E132:E134)</f>
        <v>10465.17880435286</v>
      </c>
      <c r="F135" s="749">
        <f>SUM(F132:F134)</f>
        <v>12607.67034755535</v>
      </c>
      <c r="G135" s="750">
        <f>SUM(G132:G134)</f>
        <v>13743.07692307692</v>
      </c>
    </row>
    <row r="136" spans="2:7" ht="12.75">
      <c r="B136" s="87" t="s">
        <v>625</v>
      </c>
      <c r="C136" s="102">
        <f>C12</f>
        <v>25.6</v>
      </c>
      <c r="D136" s="13"/>
      <c r="E136" s="13"/>
      <c r="F136" s="13"/>
      <c r="G136" s="105"/>
    </row>
    <row r="137" spans="2:9" ht="13.5" thickBot="1">
      <c r="B137" s="148" t="s">
        <v>650</v>
      </c>
      <c r="C137" s="124">
        <f>C135/$C136</f>
        <v>325.50028307451515</v>
      </c>
      <c r="D137" s="125">
        <f>D135/$C136</f>
        <v>320.4399114338248</v>
      </c>
      <c r="E137" s="125">
        <f>E135/$C136</f>
        <v>408.79604704503356</v>
      </c>
      <c r="F137" s="125">
        <f>F135/$C136</f>
        <v>492.4871229513808</v>
      </c>
      <c r="G137" s="216">
        <f>G135/$C136</f>
        <v>536.8389423076922</v>
      </c>
      <c r="I137" s="786"/>
    </row>
    <row r="140" spans="2:7" ht="12.75">
      <c r="B140" s="1127" t="s">
        <v>662</v>
      </c>
      <c r="C140" s="1127"/>
      <c r="D140" s="1127"/>
      <c r="E140" s="78"/>
      <c r="F140" s="78"/>
      <c r="G140" s="78"/>
    </row>
    <row r="141" spans="2:7" ht="13.5" thickBot="1">
      <c r="B141" s="1128" t="s">
        <v>693</v>
      </c>
      <c r="C141" s="1128"/>
      <c r="D141" s="1128"/>
      <c r="E141" s="215">
        <f>G137</f>
        <v>536.8389423076922</v>
      </c>
      <c r="F141" s="215"/>
      <c r="G141" s="78"/>
    </row>
    <row r="142" spans="2:7" ht="76.5">
      <c r="B142" s="235" t="s">
        <v>626</v>
      </c>
      <c r="C142" s="231" t="s">
        <v>671</v>
      </c>
      <c r="D142" s="238" t="s">
        <v>677</v>
      </c>
      <c r="E142" s="225" t="s">
        <v>673</v>
      </c>
      <c r="F142" s="225" t="s">
        <v>674</v>
      </c>
      <c r="G142" s="150" t="s">
        <v>672</v>
      </c>
    </row>
    <row r="143" spans="2:7" ht="12.75">
      <c r="B143" s="227" t="s">
        <v>629</v>
      </c>
      <c r="C143" s="232">
        <v>240.85862379807688</v>
      </c>
      <c r="D143" s="229" t="str">
        <f>IF(C143&lt;=$C$219,"Yes","No")</f>
        <v>Yes</v>
      </c>
      <c r="E143" s="229">
        <f>$G$137-C143</f>
        <v>295.98031850961524</v>
      </c>
      <c r="F143" s="230">
        <f>$G$137/C143</f>
        <v>2.2288549765930306</v>
      </c>
      <c r="G143" s="233">
        <f>1-(C143/$G$137)</f>
        <v>0.5513391357886488</v>
      </c>
    </row>
    <row r="144" spans="2:7" ht="12.75">
      <c r="B144" s="228" t="s">
        <v>627</v>
      </c>
      <c r="C144" s="232">
        <v>248</v>
      </c>
      <c r="D144" s="229" t="str">
        <f>IF(C144&lt;=$C$219,"Yes","No")</f>
        <v>Yes</v>
      </c>
      <c r="E144" s="229">
        <f>$G$137-C144</f>
        <v>288.83894230769215</v>
      </c>
      <c r="F144" s="230">
        <f>$G$137/C144</f>
        <v>2.1646731544665005</v>
      </c>
      <c r="G144" s="233">
        <f>1-(C144/$G$137)</f>
        <v>0.538036493899026</v>
      </c>
    </row>
    <row r="145" spans="2:7" ht="13.5" thickBot="1">
      <c r="B145" s="228" t="s">
        <v>628</v>
      </c>
      <c r="C145" s="232">
        <v>190</v>
      </c>
      <c r="D145" s="229" t="str">
        <f>IF(C145&lt;=$C$219,"Yes","No")</f>
        <v>Yes</v>
      </c>
      <c r="E145" s="229">
        <f>$G$137-C145</f>
        <v>346.83894230769215</v>
      </c>
      <c r="F145" s="230">
        <f>$G$137/C145</f>
        <v>2.825468117408906</v>
      </c>
      <c r="G145" s="233">
        <f>1-(C145/$G$137)</f>
        <v>0.6460763461323182</v>
      </c>
    </row>
    <row r="146" spans="2:7" ht="13.5" thickBot="1">
      <c r="B146" s="491" t="s">
        <v>41</v>
      </c>
      <c r="C146" s="488">
        <f>(($D234/$D$233)*C143)+(($D235/$D$233)*C144)+(($D236/$D$233)*C145)</f>
        <v>240.85862379807688</v>
      </c>
      <c r="D146" s="492" t="s">
        <v>873</v>
      </c>
      <c r="E146" s="492">
        <f>(($D234/$D$233)*E143)+(($D235/$D$233)*E144)+(($D236/$D$233)*E145)</f>
        <v>295.98031850961524</v>
      </c>
      <c r="F146" s="493">
        <f>(($D234/$D$233)*F143)+(($D235/$D$233)*F144)+(($D236/$D$233)*F145)</f>
        <v>2.2288549765930306</v>
      </c>
      <c r="G146" s="490">
        <f>(($D234/$D$233)*G143)+(($D235/$D$233)*G144)+(($D236/$D$233)*G145)</f>
        <v>0.5513391357886488</v>
      </c>
    </row>
    <row r="148" ht="12.75">
      <c r="B148" s="9" t="s">
        <v>635</v>
      </c>
    </row>
    <row r="149" ht="12.75">
      <c r="B149" s="149" t="s">
        <v>260</v>
      </c>
    </row>
    <row r="150" ht="12.75">
      <c r="B150" s="149" t="s">
        <v>676</v>
      </c>
    </row>
    <row r="151" ht="12.75">
      <c r="B151" s="149" t="s">
        <v>261</v>
      </c>
    </row>
    <row r="152" ht="12.75">
      <c r="B152" t="s">
        <v>49</v>
      </c>
    </row>
    <row r="153" ht="12.75">
      <c r="B153" s="149" t="s">
        <v>46</v>
      </c>
    </row>
    <row r="154" ht="12.75">
      <c r="B154" t="s">
        <v>47</v>
      </c>
    </row>
    <row r="155" ht="12.75">
      <c r="B155" t="s">
        <v>48</v>
      </c>
    </row>
    <row r="157" ht="13.5" thickBot="1">
      <c r="B157" s="9" t="s">
        <v>263</v>
      </c>
    </row>
    <row r="158" spans="2:7" ht="13.5" thickBot="1">
      <c r="B158" s="85"/>
      <c r="C158" s="1062" t="s">
        <v>670</v>
      </c>
      <c r="D158" s="1062"/>
      <c r="E158" s="1062"/>
      <c r="F158" s="1062"/>
      <c r="G158" s="1063"/>
    </row>
    <row r="159" spans="2:7" ht="12.75">
      <c r="B159" s="146" t="s">
        <v>573</v>
      </c>
      <c r="C159" s="12" t="s">
        <v>566</v>
      </c>
      <c r="D159" s="62" t="s">
        <v>567</v>
      </c>
      <c r="E159" s="62" t="s">
        <v>568</v>
      </c>
      <c r="F159" s="62" t="s">
        <v>569</v>
      </c>
      <c r="G159" s="64" t="s">
        <v>570</v>
      </c>
    </row>
    <row r="160" spans="2:7" ht="12.75">
      <c r="B160" s="87" t="str">
        <f>B123</f>
        <v>Rainy Season Paddy</v>
      </c>
      <c r="C160" s="107">
        <f>'Farm Model Assumptions'!B107*'Farm Model Assumptions'!B39*'Farm Model Assumptions'!$A$13</f>
        <v>13810.5</v>
      </c>
      <c r="D160" s="117">
        <f>'Farm Model Assumptions'!C107*'Farm Model Assumptions'!C39*'Farm Model Assumptions'!$A$13</f>
        <v>17587.58653846154</v>
      </c>
      <c r="E160" s="117">
        <f>'Farm Model Assumptions'!D107*'Farm Model Assumptions'!D39*'Farm Model Assumptions'!$A$13</f>
        <v>21489.865384615383</v>
      </c>
      <c r="F160" s="117">
        <f>'Farm Model Assumptions'!E107*'Farm Model Assumptions'!E39*'Farm Model Assumptions'!$A$13</f>
        <v>25517.33653846154</v>
      </c>
      <c r="G160" s="123">
        <f>'Farm Model Assumptions'!F107*'Farm Model Assumptions'!F39*'Farm Model Assumptions'!$A$13</f>
        <v>25954.615384615387</v>
      </c>
    </row>
    <row r="161" spans="2:7" ht="12.75">
      <c r="B161" s="87" t="str">
        <f aca="true" t="shared" si="1" ref="B161:B168">B124</f>
        <v>Wheat (DS)</v>
      </c>
      <c r="C161" s="107">
        <f>'Farm Model Assumptions'!B108*'Farm Model Assumptions'!B40*'Farm Model Assumptions'!$A$13</f>
        <v>0</v>
      </c>
      <c r="D161" s="117">
        <f>'Farm Model Assumptions'!C108*'Farm Model Assumptions'!C40*'Farm Model Assumptions'!$A$13</f>
        <v>0</v>
      </c>
      <c r="E161" s="117">
        <f>'Farm Model Assumptions'!D108*'Farm Model Assumptions'!D40*'Farm Model Assumptions'!$A$13</f>
        <v>0</v>
      </c>
      <c r="F161" s="117">
        <f>'Farm Model Assumptions'!E108*'Farm Model Assumptions'!E40*'Farm Model Assumptions'!$A$13</f>
        <v>0</v>
      </c>
      <c r="G161" s="123">
        <f>'Farm Model Assumptions'!F108*'Farm Model Assumptions'!F40*'Farm Model Assumptions'!$A$13</f>
        <v>0</v>
      </c>
    </row>
    <row r="162" spans="2:7" ht="12.75">
      <c r="B162" s="87" t="str">
        <f t="shared" si="1"/>
        <v>Maize RS</v>
      </c>
      <c r="C162" s="107">
        <f>'Farm Model Assumptions'!B109*'Farm Model Assumptions'!B41*'Farm Model Assumptions'!$A$13</f>
        <v>1915.3846153846155</v>
      </c>
      <c r="D162" s="117">
        <f>'Farm Model Assumptions'!C109*'Farm Model Assumptions'!C41*'Farm Model Assumptions'!$A$13</f>
        <v>2210.769230769231</v>
      </c>
      <c r="E162" s="117">
        <f>'Farm Model Assumptions'!D109*'Farm Model Assumptions'!D41*'Farm Model Assumptions'!$A$13</f>
        <v>2432.3076923076924</v>
      </c>
      <c r="F162" s="117">
        <f>'Farm Model Assumptions'!E109*'Farm Model Assumptions'!E41*'Farm Model Assumptions'!$A$13</f>
        <v>2653.8461538461534</v>
      </c>
      <c r="G162" s="123">
        <f>'Farm Model Assumptions'!F109*'Farm Model Assumptions'!F41*'Farm Model Assumptions'!$A$13</f>
        <v>2801.5384615384614</v>
      </c>
    </row>
    <row r="163" spans="2:7" ht="12.75">
      <c r="B163" s="87" t="str">
        <f t="shared" si="1"/>
        <v>Dry Season Paddy</v>
      </c>
      <c r="C163" s="107">
        <f>'Farm Model Assumptions'!B110*'Farm Model Assumptions'!B42*'Farm Model Assumptions'!$A$13</f>
        <v>1921.153846153846</v>
      </c>
      <c r="D163" s="117">
        <f>'Farm Model Assumptions'!C110*'Farm Model Assumptions'!C42*'Farm Model Assumptions'!$A$13</f>
        <v>1743.7500000000002</v>
      </c>
      <c r="E163" s="117">
        <f>'Farm Model Assumptions'!D110*'Farm Model Assumptions'!D42*'Farm Model Assumptions'!$A$13</f>
        <v>1364.4230769230771</v>
      </c>
      <c r="F163" s="117">
        <f>'Farm Model Assumptions'!E110*'Farm Model Assumptions'!E42*'Farm Model Assumptions'!$A$13</f>
        <v>682.2115384615387</v>
      </c>
      <c r="G163" s="123">
        <f>'Farm Model Assumptions'!F110*'Farm Model Assumptions'!F42*'Farm Model Assumptions'!$A$13</f>
        <v>0</v>
      </c>
    </row>
    <row r="164" spans="2:7" ht="12.75">
      <c r="B164" s="87" t="str">
        <f t="shared" si="1"/>
        <v>Maize DS</v>
      </c>
      <c r="C164" s="107">
        <f>'Farm Model Assumptions'!B111*'Farm Model Assumptions'!B43*'Farm Model Assumptions'!$A$13</f>
        <v>366.86404781507997</v>
      </c>
      <c r="D164" s="117">
        <f>'Farm Model Assumptions'!C111*'Farm Model Assumptions'!C43*'Farm Model Assumptions'!$A$13</f>
        <v>475.3476981177501</v>
      </c>
      <c r="E164" s="117">
        <f>'Farm Model Assumptions'!D111*'Farm Model Assumptions'!D43*'Farm Model Assumptions'!$A$13</f>
        <v>620.8152592124296</v>
      </c>
      <c r="F164" s="117">
        <f>'Farm Model Assumptions'!E111*'Farm Model Assumptions'!E43*'Farm Model Assumptions'!$A$13</f>
        <v>759.4966195891307</v>
      </c>
      <c r="G164" s="123">
        <f>'Farm Model Assumptions'!F111*'Farm Model Assumptions'!F43*'Farm Model Assumptions'!$A$13</f>
        <v>912.1153846153846</v>
      </c>
    </row>
    <row r="165" spans="2:7" ht="12.75">
      <c r="B165" s="87" t="str">
        <f t="shared" si="1"/>
        <v>Shallots</v>
      </c>
      <c r="C165" s="107">
        <f>'Farm Model Assumptions'!B112*'Farm Model Assumptions'!B44*'Farm Model Assumptions'!$A$13</f>
        <v>4842.692307692307</v>
      </c>
      <c r="D165" s="117">
        <f>'Farm Model Assumptions'!C112*'Farm Model Assumptions'!C44*'Farm Model Assumptions'!$A$13</f>
        <v>7653.461538461538</v>
      </c>
      <c r="E165" s="117">
        <f>'Farm Model Assumptions'!D112*'Farm Model Assumptions'!D44*'Farm Model Assumptions'!$A$13</f>
        <v>10723.846153846154</v>
      </c>
      <c r="F165" s="117">
        <f>'Farm Model Assumptions'!E112*'Farm Model Assumptions'!E44*'Farm Model Assumptions'!$A$13</f>
        <v>14053.846153846152</v>
      </c>
      <c r="G165" s="123">
        <f>'Farm Model Assumptions'!F112*'Farm Model Assumptions'!F44*'Farm Model Assumptions'!$A$13</f>
        <v>18422.307692307688</v>
      </c>
    </row>
    <row r="166" spans="2:7" ht="12.75">
      <c r="B166" s="87" t="str">
        <f t="shared" si="1"/>
        <v>Potato</v>
      </c>
      <c r="C166" s="107">
        <f>'Farm Model Assumptions'!B113*'Farm Model Assumptions'!B45*'Farm Model Assumptions'!$A$13</f>
        <v>1939.6153846153848</v>
      </c>
      <c r="D166" s="117">
        <f>'Farm Model Assumptions'!C113*'Farm Model Assumptions'!C45*'Farm Model Assumptions'!$A$13</f>
        <v>2147.0192307692305</v>
      </c>
      <c r="E166" s="117">
        <f>'Farm Model Assumptions'!D113*'Farm Model Assumptions'!D45*'Farm Model Assumptions'!$A$13</f>
        <v>1892.8846153846152</v>
      </c>
      <c r="F166" s="117">
        <f>'Farm Model Assumptions'!E113*'Farm Model Assumptions'!E45*'Farm Model Assumptions'!$A$13</f>
        <v>1177.2115384615379</v>
      </c>
      <c r="G166" s="123">
        <f>'Farm Model Assumptions'!F113*'Farm Model Assumptions'!F45*'Farm Model Assumptions'!$A$13</f>
        <v>0</v>
      </c>
    </row>
    <row r="167" spans="2:7" ht="12.75">
      <c r="B167" s="87" t="str">
        <f t="shared" si="1"/>
        <v>Tomato/other veg.</v>
      </c>
      <c r="C167" s="107">
        <f>'Farm Model Assumptions'!B114*'Farm Model Assumptions'!B46*'Farm Model Assumptions'!$A$13</f>
        <v>55.817307692307686</v>
      </c>
      <c r="D167" s="117">
        <f>'Farm Model Assumptions'!C114*'Farm Model Assumptions'!C46*'Farm Model Assumptions'!$A$13</f>
        <v>127.96875</v>
      </c>
      <c r="E167" s="117">
        <f>'Farm Model Assumptions'!D114*'Farm Model Assumptions'!D46*'Farm Model Assumptions'!$A$13</f>
        <v>226.08173076923075</v>
      </c>
      <c r="F167" s="117">
        <f>'Farm Model Assumptions'!E114*'Farm Model Assumptions'!E46*'Farm Model Assumptions'!$A$13</f>
        <v>406.40625</v>
      </c>
      <c r="G167" s="123">
        <f>'Farm Model Assumptions'!F114*'Farm Model Assumptions'!F46*'Farm Model Assumptions'!$A$13</f>
        <v>638.6538461538462</v>
      </c>
    </row>
    <row r="168" spans="2:7" ht="13.5" thickBot="1">
      <c r="B168" s="87" t="str">
        <f t="shared" si="1"/>
        <v>Niebe Hay (forage)</v>
      </c>
      <c r="C168" s="107">
        <f>'Farm Model Assumptions'!B116*'Farm Model Assumptions'!B47*'Farm Model Assumptions'!$A$13</f>
        <v>146.39423076923077</v>
      </c>
      <c r="D168" s="117">
        <f>'Farm Model Assumptions'!C116*'Farm Model Assumptions'!C47*'Farm Model Assumptions'!$A$13</f>
        <v>163.88221153846158</v>
      </c>
      <c r="E168" s="117">
        <f>'Farm Model Assumptions'!D116*'Farm Model Assumptions'!D47*'Farm Model Assumptions'!$A$13</f>
        <v>145.31250000000003</v>
      </c>
      <c r="F168" s="117">
        <f>'Farm Model Assumptions'!E116*'Farm Model Assumptions'!E47*'Farm Model Assumptions'!$A$13</f>
        <v>72.65625000000003</v>
      </c>
      <c r="G168" s="123">
        <f>'Farm Model Assumptions'!F116*'Farm Model Assumptions'!F47*'Farm Model Assumptions'!$A$13</f>
        <v>0</v>
      </c>
    </row>
    <row r="169" spans="2:7" ht="12.75">
      <c r="B169" s="147" t="s">
        <v>624</v>
      </c>
      <c r="C169" s="145">
        <f>SUM(C160:C168)</f>
        <v>24998.421740122772</v>
      </c>
      <c r="D169" s="143">
        <f>SUM(D160:D168)</f>
        <v>32109.785198117752</v>
      </c>
      <c r="E169" s="143">
        <f>SUM(E160:E168)</f>
        <v>38895.53641305859</v>
      </c>
      <c r="F169" s="143">
        <f>SUM(F160:F168)</f>
        <v>45323.011042666054</v>
      </c>
      <c r="G169" s="144">
        <f>SUM(G160:G168)</f>
        <v>48729.230769230766</v>
      </c>
    </row>
    <row r="170" spans="2:7" ht="12.75">
      <c r="B170" s="287" t="s">
        <v>747</v>
      </c>
      <c r="C170" s="770">
        <f>IF($D$17=1,0,IF($D$17=2,Land_Financing!B227*'Farm Model Assumptions'!$A$13/'Summary ERRs'!$H$99,""))</f>
        <v>0</v>
      </c>
      <c r="D170" s="769">
        <f>IF($D$17=1,-250*'Farm Model Assumptions'!$A$13,IF($D$17=2,-Land_Financing!C227*'Farm Model Assumptions'!$A$13/'Summary ERRs'!$H$99,""))</f>
        <v>-7500</v>
      </c>
      <c r="E170" s="769">
        <f>IF($D$17=1,-250*'Farm Model Assumptions'!$A$13,IF($D$17=2,-Land_Financing!D227*'Farm Model Assumptions'!$A$13/'Summary ERRs'!$H$99,""))</f>
        <v>-7500</v>
      </c>
      <c r="F170" s="769">
        <f>IF($D$17=1,-250*'Farm Model Assumptions'!$A$13,IF($D$17=2,-Land_Financing!E227*'Farm Model Assumptions'!$A$13/'Summary ERRs'!$H$99,""))</f>
        <v>-7500</v>
      </c>
      <c r="G170" s="305">
        <f>IF($D$17=1,-250*'Farm Model Assumptions'!$A$13,IF($D$17=2,-Land_Financing!F227*'Farm Model Assumptions'!$A$13/'Summary ERRs'!$H$99,""))</f>
        <v>-7500</v>
      </c>
    </row>
    <row r="171" spans="2:7" ht="12.75">
      <c r="B171" s="87" t="s">
        <v>289</v>
      </c>
      <c r="C171" s="768">
        <f>(SUMPRODUCT('Farm Model Assumptions'!J107:J114,'Farm Model Assumptions'!B39:B46)+('Farm Model Assumptions'!J116*'Farm Model Assumptions'!B47))*'Farm Model Assumptions'!$A10</f>
        <v>899.6067197651755</v>
      </c>
      <c r="D171" s="769">
        <f>(SUMPRODUCT('Farm Model Assumptions'!K107:K114,'Farm Model Assumptions'!C39:C46)+('Farm Model Assumptions'!K116*'Farm Model Assumptions'!C47))*'Farm Model Assumptions'!$A10</f>
        <v>931.6212663149274</v>
      </c>
      <c r="E171" s="769">
        <f>(SUMPRODUCT('Farm Model Assumptions'!L107:L114,'Farm Model Assumptions'!D39:D46)+('Farm Model Assumptions'!L116*'Farm Model Assumptions'!D47))*'Farm Model Assumptions'!$A10</f>
        <v>963.6358128646791</v>
      </c>
      <c r="F171" s="769">
        <f>(SUMPRODUCT('Farm Model Assumptions'!M107:M114,'Farm Model Assumptions'!E39:E46)+('Farm Model Assumptions'!M116*'Farm Model Assumptions'!E47))*'Farm Model Assumptions'!$A10</f>
        <v>995.6503594144308</v>
      </c>
      <c r="G171" s="305">
        <f>(SUMPRODUCT('Farm Model Assumptions'!N107:N114,'Farm Model Assumptions'!F39:F46)+('Farm Model Assumptions'!N116*'Farm Model Assumptions'!F47))*'Farm Model Assumptions'!$A10</f>
        <v>1027.6649059641827</v>
      </c>
    </row>
    <row r="172" spans="2:7" ht="12.75">
      <c r="B172" s="337" t="s">
        <v>258</v>
      </c>
      <c r="C172" s="748">
        <f>SUM(C169:C171)</f>
        <v>25898.028459887948</v>
      </c>
      <c r="D172" s="749">
        <f>SUM(D169:D171)</f>
        <v>25541.40646443268</v>
      </c>
      <c r="E172" s="749">
        <f>SUM(E169:E171)</f>
        <v>32359.172225923267</v>
      </c>
      <c r="F172" s="749">
        <f>SUM(F169:F171)</f>
        <v>38818.661402080485</v>
      </c>
      <c r="G172" s="750">
        <f>SUM(G169:G171)</f>
        <v>42256.89567519495</v>
      </c>
    </row>
    <row r="173" spans="2:7" ht="12.75">
      <c r="B173" s="87" t="s">
        <v>625</v>
      </c>
      <c r="C173" s="102">
        <f>C13</f>
        <v>12.8</v>
      </c>
      <c r="D173" s="13"/>
      <c r="E173" s="13"/>
      <c r="F173" s="13"/>
      <c r="G173" s="105"/>
    </row>
    <row r="174" spans="2:9" ht="13.5" thickBot="1">
      <c r="B174" s="148" t="s">
        <v>650</v>
      </c>
      <c r="C174" s="124">
        <f>C172/$C173</f>
        <v>2023.2834734287458</v>
      </c>
      <c r="D174" s="125">
        <f>D172/$C173</f>
        <v>1995.422380033803</v>
      </c>
      <c r="E174" s="125">
        <f>E172/$C173</f>
        <v>2528.060330150255</v>
      </c>
      <c r="F174" s="125">
        <f>F172/$C173</f>
        <v>3032.7079220375376</v>
      </c>
      <c r="G174" s="216">
        <f>G172/$C173</f>
        <v>3301.3199746246055</v>
      </c>
      <c r="I174" s="786"/>
    </row>
    <row r="177" spans="2:7" ht="12.75">
      <c r="B177" s="1127" t="s">
        <v>662</v>
      </c>
      <c r="C177" s="1127"/>
      <c r="D177" s="1127"/>
      <c r="E177" s="78"/>
      <c r="F177" s="78"/>
      <c r="G177" s="78"/>
    </row>
    <row r="178" spans="2:7" ht="13.5" thickBot="1">
      <c r="B178" s="1128" t="s">
        <v>277</v>
      </c>
      <c r="C178" s="1128"/>
      <c r="D178" s="1128"/>
      <c r="E178" s="215">
        <f>G174</f>
        <v>3301.3199746246055</v>
      </c>
      <c r="F178" s="215"/>
      <c r="G178" s="78"/>
    </row>
    <row r="179" spans="2:7" ht="76.5">
      <c r="B179" s="235" t="s">
        <v>626</v>
      </c>
      <c r="C179" s="231" t="s">
        <v>671</v>
      </c>
      <c r="D179" s="238" t="s">
        <v>677</v>
      </c>
      <c r="E179" s="225" t="s">
        <v>673</v>
      </c>
      <c r="F179" s="225" t="s">
        <v>674</v>
      </c>
      <c r="G179" s="150" t="s">
        <v>672</v>
      </c>
    </row>
    <row r="180" spans="2:7" ht="12.75">
      <c r="B180" s="227" t="s">
        <v>629</v>
      </c>
      <c r="C180" s="232">
        <v>750</v>
      </c>
      <c r="D180" s="229" t="str">
        <f>IF(C180&lt;=$C$219,"Yes","No")</f>
        <v>No</v>
      </c>
      <c r="E180" s="229">
        <f>$G$174-C180</f>
        <v>2551.3199746246055</v>
      </c>
      <c r="F180" s="230">
        <f>$G$174/C180</f>
        <v>4.401759966166141</v>
      </c>
      <c r="G180" s="233">
        <f>1-(C180/$G$174)</f>
        <v>0.7728181437228656</v>
      </c>
    </row>
    <row r="181" spans="2:7" ht="12.75">
      <c r="B181" s="228" t="s">
        <v>627</v>
      </c>
      <c r="C181" s="232">
        <v>750</v>
      </c>
      <c r="D181" s="229" t="str">
        <f>IF(C181&lt;=$C$219,"Yes","No")</f>
        <v>No</v>
      </c>
      <c r="E181" s="229">
        <f>$G$174-C181</f>
        <v>2551.3199746246055</v>
      </c>
      <c r="F181" s="230">
        <f>$G$174/C181</f>
        <v>4.401759966166141</v>
      </c>
      <c r="G181" s="233">
        <f>1-(C181/$G$174)</f>
        <v>0.7728181437228656</v>
      </c>
    </row>
    <row r="182" spans="2:7" ht="13.5" thickBot="1">
      <c r="B182" s="228" t="s">
        <v>628</v>
      </c>
      <c r="C182" s="232">
        <v>750</v>
      </c>
      <c r="D182" s="229" t="str">
        <f>IF(C182&lt;=$C$219,"Yes","No")</f>
        <v>No</v>
      </c>
      <c r="E182" s="229">
        <f>$G$174-C182</f>
        <v>2551.3199746246055</v>
      </c>
      <c r="F182" s="230">
        <f>$G$174/C182</f>
        <v>4.401759966166141</v>
      </c>
      <c r="G182" s="233">
        <f>1-(C182/$G$174)</f>
        <v>0.7728181437228656</v>
      </c>
    </row>
    <row r="183" spans="2:7" ht="13.5" thickBot="1">
      <c r="B183" s="491" t="s">
        <v>41</v>
      </c>
      <c r="C183" s="488">
        <f>(($D238/$D$237)*C180)+(($D239/$D$237)*C181)+(($D240/$D$237)*C182)</f>
        <v>750</v>
      </c>
      <c r="D183" s="492" t="s">
        <v>873</v>
      </c>
      <c r="E183" s="492">
        <f>(($D238/$D$237)*E180)+(($D239/$D$237)*E181)+(($D240/$D$237)*E182)</f>
        <v>2551.3199746246055</v>
      </c>
      <c r="F183" s="493">
        <f>(($D238/$D$237)*F180)+(($D239/$D$237)*F181)+(($D240/$D$237)*F182)</f>
        <v>4.401759966166141</v>
      </c>
      <c r="G183" s="490">
        <f>(($D238/$D$237)*G180)+(($D239/$D$237)*G181)+(($D240/$D$237)*G182)</f>
        <v>0.7728181437228656</v>
      </c>
    </row>
    <row r="185" ht="12.75">
      <c r="B185" s="9" t="s">
        <v>635</v>
      </c>
    </row>
    <row r="186" ht="12.75">
      <c r="B186" s="149" t="s">
        <v>297</v>
      </c>
    </row>
    <row r="188" ht="13.5" thickBot="1">
      <c r="B188" s="9" t="s">
        <v>264</v>
      </c>
    </row>
    <row r="189" spans="2:7" ht="13.5" thickBot="1">
      <c r="B189" s="85"/>
      <c r="C189" s="1062" t="s">
        <v>265</v>
      </c>
      <c r="D189" s="1062"/>
      <c r="E189" s="1062"/>
      <c r="F189" s="1062"/>
      <c r="G189" s="1063"/>
    </row>
    <row r="190" spans="2:7" ht="12.75">
      <c r="B190" s="146" t="s">
        <v>573</v>
      </c>
      <c r="C190" s="12" t="s">
        <v>566</v>
      </c>
      <c r="D190" s="62" t="s">
        <v>567</v>
      </c>
      <c r="E190" s="62" t="s">
        <v>568</v>
      </c>
      <c r="F190" s="62" t="s">
        <v>569</v>
      </c>
      <c r="G190" s="64" t="s">
        <v>570</v>
      </c>
    </row>
    <row r="191" spans="2:7" ht="12.75">
      <c r="B191" s="87" t="s">
        <v>591</v>
      </c>
      <c r="C191" s="107">
        <f>'Farm Model Assumptions'!B107*'Farm Model Assumptions'!B39*'Farm Model Assumptions'!$A$14</f>
        <v>27621</v>
      </c>
      <c r="D191" s="117">
        <f>'Farm Model Assumptions'!C107*'Farm Model Assumptions'!C39*'Farm Model Assumptions'!$A$14</f>
        <v>35175.17307692308</v>
      </c>
      <c r="E191" s="117">
        <f>'Farm Model Assumptions'!D107*'Farm Model Assumptions'!D39*'Farm Model Assumptions'!$A$14</f>
        <v>42979.730769230766</v>
      </c>
      <c r="F191" s="117">
        <f>'Farm Model Assumptions'!E107*'Farm Model Assumptions'!E39*'Farm Model Assumptions'!$A$14</f>
        <v>51034.67307692308</v>
      </c>
      <c r="G191" s="123">
        <f>'Farm Model Assumptions'!F107*'Farm Model Assumptions'!F39*'Farm Model Assumptions'!$A$14</f>
        <v>51909.23076923077</v>
      </c>
    </row>
    <row r="192" spans="2:7" ht="12.75">
      <c r="B192" s="87" t="s">
        <v>556</v>
      </c>
      <c r="C192" s="107">
        <f>'Farm Model Assumptions'!B108*'Farm Model Assumptions'!B40*'Farm Model Assumptions'!$A$14</f>
        <v>0</v>
      </c>
      <c r="D192" s="117">
        <f>'Farm Model Assumptions'!C108*'Farm Model Assumptions'!C40*'Farm Model Assumptions'!$A$14</f>
        <v>0</v>
      </c>
      <c r="E192" s="117">
        <f>'Farm Model Assumptions'!D108*'Farm Model Assumptions'!D40*'Farm Model Assumptions'!$A$14</f>
        <v>0</v>
      </c>
      <c r="F192" s="117">
        <f>'Farm Model Assumptions'!E108*'Farm Model Assumptions'!E40*'Farm Model Assumptions'!$A$14</f>
        <v>0</v>
      </c>
      <c r="G192" s="123">
        <f>'Farm Model Assumptions'!F108*'Farm Model Assumptions'!F40*'Farm Model Assumptions'!$A$14</f>
        <v>0</v>
      </c>
    </row>
    <row r="193" spans="2:7" ht="12.75">
      <c r="B193" s="87" t="s">
        <v>592</v>
      </c>
      <c r="C193" s="107">
        <f>'Farm Model Assumptions'!B109*'Farm Model Assumptions'!B41*'Farm Model Assumptions'!$A$14</f>
        <v>3830.769230769231</v>
      </c>
      <c r="D193" s="117">
        <f>'Farm Model Assumptions'!C109*'Farm Model Assumptions'!C41*'Farm Model Assumptions'!$A$14</f>
        <v>4421.538461538462</v>
      </c>
      <c r="E193" s="117">
        <f>'Farm Model Assumptions'!D109*'Farm Model Assumptions'!D41*'Farm Model Assumptions'!$A$14</f>
        <v>4864.615384615385</v>
      </c>
      <c r="F193" s="117">
        <f>'Farm Model Assumptions'!E109*'Farm Model Assumptions'!E41*'Farm Model Assumptions'!$A$14</f>
        <v>5307.692307692307</v>
      </c>
      <c r="G193" s="123">
        <f>'Farm Model Assumptions'!F109*'Farm Model Assumptions'!F41*'Farm Model Assumptions'!$A$14</f>
        <v>5603.076923076923</v>
      </c>
    </row>
    <row r="194" spans="2:7" ht="12.75">
      <c r="B194" s="87" t="s">
        <v>593</v>
      </c>
      <c r="C194" s="107">
        <f>'Farm Model Assumptions'!B110*'Farm Model Assumptions'!B42*'Farm Model Assumptions'!$A$14</f>
        <v>3842.307692307692</v>
      </c>
      <c r="D194" s="117">
        <f>'Farm Model Assumptions'!C110*'Farm Model Assumptions'!C42*'Farm Model Assumptions'!$A$14</f>
        <v>3487.5000000000005</v>
      </c>
      <c r="E194" s="117">
        <f>'Farm Model Assumptions'!D110*'Farm Model Assumptions'!D42*'Farm Model Assumptions'!$A$14</f>
        <v>2728.8461538461543</v>
      </c>
      <c r="F194" s="117">
        <f>'Farm Model Assumptions'!E110*'Farm Model Assumptions'!E42*'Farm Model Assumptions'!$A$14</f>
        <v>1364.4230769230774</v>
      </c>
      <c r="G194" s="123">
        <f>'Farm Model Assumptions'!F110*'Farm Model Assumptions'!F42*'Farm Model Assumptions'!$A$14</f>
        <v>0</v>
      </c>
    </row>
    <row r="195" spans="2:7" ht="12.75">
      <c r="B195" s="87" t="s">
        <v>594</v>
      </c>
      <c r="C195" s="107">
        <f>'Farm Model Assumptions'!B111*'Farm Model Assumptions'!B43*'Farm Model Assumptions'!$A$14</f>
        <v>733.7280956301599</v>
      </c>
      <c r="D195" s="117">
        <f>'Farm Model Assumptions'!C111*'Farm Model Assumptions'!C43*'Farm Model Assumptions'!$A$14</f>
        <v>950.6953962355002</v>
      </c>
      <c r="E195" s="117">
        <f>'Farm Model Assumptions'!D111*'Farm Model Assumptions'!D43*'Farm Model Assumptions'!$A$14</f>
        <v>1241.6305184248592</v>
      </c>
      <c r="F195" s="117">
        <f>'Farm Model Assumptions'!E111*'Farm Model Assumptions'!E43*'Farm Model Assumptions'!$A$14</f>
        <v>1518.9932391782613</v>
      </c>
      <c r="G195" s="123">
        <f>'Farm Model Assumptions'!F111*'Farm Model Assumptions'!F43*'Farm Model Assumptions'!$A$14</f>
        <v>1824.2307692307693</v>
      </c>
    </row>
    <row r="196" spans="2:7" ht="12.75">
      <c r="B196" s="87" t="s">
        <v>557</v>
      </c>
      <c r="C196" s="107">
        <f>'Farm Model Assumptions'!B112*'Farm Model Assumptions'!B44*'Farm Model Assumptions'!$A$14</f>
        <v>9685.384615384613</v>
      </c>
      <c r="D196" s="117">
        <f>'Farm Model Assumptions'!C112*'Farm Model Assumptions'!C44*'Farm Model Assumptions'!$A$14</f>
        <v>15306.923076923076</v>
      </c>
      <c r="E196" s="117">
        <f>'Farm Model Assumptions'!D112*'Farm Model Assumptions'!D44*'Farm Model Assumptions'!$A$14</f>
        <v>21447.69230769231</v>
      </c>
      <c r="F196" s="117">
        <f>'Farm Model Assumptions'!E112*'Farm Model Assumptions'!E44*'Farm Model Assumptions'!$A$14</f>
        <v>28107.692307692305</v>
      </c>
      <c r="G196" s="123">
        <f>'Farm Model Assumptions'!F112*'Farm Model Assumptions'!F44*'Farm Model Assumptions'!$A$14</f>
        <v>36844.615384615376</v>
      </c>
    </row>
    <row r="197" spans="2:7" ht="12.75">
      <c r="B197" s="87" t="s">
        <v>558</v>
      </c>
      <c r="C197" s="107">
        <f>'Farm Model Assumptions'!B113*'Farm Model Assumptions'!B45*'Farm Model Assumptions'!$A$14</f>
        <v>3879.2307692307695</v>
      </c>
      <c r="D197" s="117">
        <f>'Farm Model Assumptions'!C113*'Farm Model Assumptions'!C45*'Farm Model Assumptions'!$A$14</f>
        <v>4294.038461538461</v>
      </c>
      <c r="E197" s="117">
        <f>'Farm Model Assumptions'!D113*'Farm Model Assumptions'!D45*'Farm Model Assumptions'!$A$14</f>
        <v>3785.7692307692305</v>
      </c>
      <c r="F197" s="117">
        <f>'Farm Model Assumptions'!E113*'Farm Model Assumptions'!E45*'Farm Model Assumptions'!$A$14</f>
        <v>2354.4230769230758</v>
      </c>
      <c r="G197" s="123">
        <f>'Farm Model Assumptions'!F113*'Farm Model Assumptions'!F45*'Farm Model Assumptions'!$A$14</f>
        <v>0</v>
      </c>
    </row>
    <row r="198" spans="2:7" ht="12.75">
      <c r="B198" s="87" t="s">
        <v>595</v>
      </c>
      <c r="C198" s="107">
        <f>'Farm Model Assumptions'!B114*'Farm Model Assumptions'!B46*'Farm Model Assumptions'!$A$14</f>
        <v>111.63461538461537</v>
      </c>
      <c r="D198" s="117">
        <f>'Farm Model Assumptions'!C114*'Farm Model Assumptions'!C46*'Farm Model Assumptions'!$A$14</f>
        <v>255.9375</v>
      </c>
      <c r="E198" s="117">
        <f>'Farm Model Assumptions'!D114*'Farm Model Assumptions'!D46*'Farm Model Assumptions'!$A$14</f>
        <v>452.1634615384615</v>
      </c>
      <c r="F198" s="117">
        <f>'Farm Model Assumptions'!E114*'Farm Model Assumptions'!E46*'Farm Model Assumptions'!$A$14</f>
        <v>812.8125</v>
      </c>
      <c r="G198" s="123">
        <f>'Farm Model Assumptions'!F114*'Farm Model Assumptions'!F46*'Farm Model Assumptions'!$A$14</f>
        <v>1277.3076923076924</v>
      </c>
    </row>
    <row r="199" spans="2:7" ht="13.5" thickBot="1">
      <c r="B199" s="87" t="s">
        <v>596</v>
      </c>
      <c r="C199" s="107">
        <f>'Farm Model Assumptions'!B116*'Farm Model Assumptions'!B47*'Farm Model Assumptions'!$A$14</f>
        <v>292.78846153846155</v>
      </c>
      <c r="D199" s="117">
        <f>'Farm Model Assumptions'!C116*'Farm Model Assumptions'!C47*'Farm Model Assumptions'!$A$14</f>
        <v>327.76442307692315</v>
      </c>
      <c r="E199" s="117">
        <f>'Farm Model Assumptions'!D116*'Farm Model Assumptions'!D47*'Farm Model Assumptions'!$A$14</f>
        <v>290.62500000000006</v>
      </c>
      <c r="F199" s="117">
        <f>'Farm Model Assumptions'!E116*'Farm Model Assumptions'!E47*'Farm Model Assumptions'!$A$14</f>
        <v>145.31250000000006</v>
      </c>
      <c r="G199" s="123">
        <f>'Farm Model Assumptions'!F116*'Farm Model Assumptions'!F47*'Farm Model Assumptions'!$A$14</f>
        <v>0</v>
      </c>
    </row>
    <row r="200" spans="2:7" ht="12.75">
      <c r="B200" s="147" t="s">
        <v>624</v>
      </c>
      <c r="C200" s="145">
        <f>SUM(C191:C199)</f>
        <v>49996.843480245545</v>
      </c>
      <c r="D200" s="143">
        <f>SUM(D191:D199)</f>
        <v>64219.570396235504</v>
      </c>
      <c r="E200" s="143">
        <f>SUM(E191:E199)</f>
        <v>77791.07282611718</v>
      </c>
      <c r="F200" s="143">
        <f>SUM(F191:F199)</f>
        <v>90646.02208533211</v>
      </c>
      <c r="G200" s="144">
        <f>SUM(G191:G199)</f>
        <v>97458.46153846153</v>
      </c>
    </row>
    <row r="201" spans="2:7" ht="12.75">
      <c r="B201" s="287" t="s">
        <v>747</v>
      </c>
      <c r="C201" s="770">
        <f>IF($D$17=1,0,IF($D$17=2,Land_Financing!B258*'Farm Model Assumptions'!$A$14/'Summary ERRs'!$H$99,""))</f>
        <v>0</v>
      </c>
      <c r="D201" s="769">
        <f>IF($D$17=1,-250*'Farm Model Assumptions'!$A$14,IF($D$17=2,-Land_Financing!C258*'Farm Model Assumptions'!$A$14/'Summary ERRs'!$H$99,""))</f>
        <v>-15000</v>
      </c>
      <c r="E201" s="769">
        <f>IF($D$17=1,-250*'Farm Model Assumptions'!$A$14,IF($D$17=2,-Land_Financing!D258*'Farm Model Assumptions'!$A$14/'Summary ERRs'!$H$99,""))</f>
        <v>-15000</v>
      </c>
      <c r="F201" s="769">
        <f>IF($D$17=1,-250*'Farm Model Assumptions'!$A$14,IF($D$17=2,-Land_Financing!E258*'Farm Model Assumptions'!$A$14/'Summary ERRs'!$H$99,""))</f>
        <v>-15000</v>
      </c>
      <c r="G201" s="305">
        <f>IF($D$17=1,-250*'Farm Model Assumptions'!$A$14,IF($D$17=2,-Land_Financing!F258*'Farm Model Assumptions'!$A$14/'Summary ERRs'!$H$99,""))</f>
        <v>-15000</v>
      </c>
    </row>
    <row r="202" spans="2:7" ht="12.75">
      <c r="B202" s="87" t="s">
        <v>289</v>
      </c>
      <c r="C202" s="14">
        <v>0</v>
      </c>
      <c r="D202" s="13">
        <v>0</v>
      </c>
      <c r="E202" s="13">
        <v>0</v>
      </c>
      <c r="F202" s="13">
        <v>0</v>
      </c>
      <c r="G202" s="105">
        <v>0</v>
      </c>
    </row>
    <row r="203" spans="2:7" ht="12.75">
      <c r="B203" s="337" t="s">
        <v>280</v>
      </c>
      <c r="C203" s="748">
        <f>SUM(C200:C202)</f>
        <v>49996.843480245545</v>
      </c>
      <c r="D203" s="749">
        <f>SUM(D200:D202)</f>
        <v>49219.570396235504</v>
      </c>
      <c r="E203" s="749">
        <f>SUM(E200:E202)</f>
        <v>62791.072826117175</v>
      </c>
      <c r="F203" s="749">
        <f>SUM(F200:F202)</f>
        <v>75646.02208533211</v>
      </c>
      <c r="G203" s="750">
        <f>SUM(G200:G202)</f>
        <v>82458.46153846153</v>
      </c>
    </row>
    <row r="204" spans="2:7" ht="12.75">
      <c r="B204" s="87" t="s">
        <v>625</v>
      </c>
      <c r="C204" s="102">
        <f>C14</f>
        <v>1</v>
      </c>
      <c r="D204" s="13"/>
      <c r="E204" s="13"/>
      <c r="F204" s="13"/>
      <c r="G204" s="105"/>
    </row>
    <row r="205" spans="2:9" ht="13.5" thickBot="1">
      <c r="B205" s="148" t="s">
        <v>650</v>
      </c>
      <c r="C205" s="124">
        <f>C200/$C204</f>
        <v>49996.843480245545</v>
      </c>
      <c r="D205" s="125">
        <f>D200/$C204</f>
        <v>64219.570396235504</v>
      </c>
      <c r="E205" s="125">
        <f>E200/$C204</f>
        <v>77791.07282611718</v>
      </c>
      <c r="F205" s="125">
        <f>F200/$C204</f>
        <v>90646.02208533211</v>
      </c>
      <c r="G205" s="216">
        <f>G200/$C204</f>
        <v>97458.46153846153</v>
      </c>
      <c r="I205" s="786"/>
    </row>
    <row r="208" spans="2:7" ht="12.75">
      <c r="B208" s="1127" t="s">
        <v>662</v>
      </c>
      <c r="C208" s="1127"/>
      <c r="D208" s="1127"/>
      <c r="E208" s="78"/>
      <c r="F208" s="78"/>
      <c r="G208" s="78"/>
    </row>
    <row r="209" spans="2:7" ht="13.5" thickBot="1">
      <c r="B209" s="1128" t="s">
        <v>693</v>
      </c>
      <c r="C209" s="1128"/>
      <c r="D209" s="1128"/>
      <c r="E209" s="215">
        <f>G205</f>
        <v>97458.46153846153</v>
      </c>
      <c r="F209" s="215"/>
      <c r="G209" s="78"/>
    </row>
    <row r="210" spans="2:7" ht="76.5">
      <c r="B210" s="235" t="s">
        <v>626</v>
      </c>
      <c r="C210" s="231" t="s">
        <v>671</v>
      </c>
      <c r="D210" s="238" t="s">
        <v>677</v>
      </c>
      <c r="E210" s="225" t="s">
        <v>673</v>
      </c>
      <c r="F210" s="225" t="s">
        <v>674</v>
      </c>
      <c r="G210" s="150" t="s">
        <v>672</v>
      </c>
    </row>
    <row r="211" spans="2:7" ht="12.75">
      <c r="B211" s="227" t="s">
        <v>629</v>
      </c>
      <c r="C211" s="132">
        <v>5000</v>
      </c>
      <c r="D211" s="229" t="str">
        <f>IF(C211&lt;=$C$219,"Yes","No")</f>
        <v>No</v>
      </c>
      <c r="E211" s="757">
        <f>$G$205-C211</f>
        <v>92458.46153846153</v>
      </c>
      <c r="F211" s="230">
        <f>$G$205/C211</f>
        <v>19.491692307692308</v>
      </c>
      <c r="G211" s="233">
        <f>1-(C211/$G$205)</f>
        <v>0.9486960914314579</v>
      </c>
    </row>
    <row r="212" spans="2:7" ht="12.75">
      <c r="B212" s="228" t="s">
        <v>627</v>
      </c>
      <c r="C212" s="132">
        <v>5000</v>
      </c>
      <c r="D212" s="229" t="str">
        <f>IF(C212&lt;=$C$219,"Yes","No")</f>
        <v>No</v>
      </c>
      <c r="E212" s="757">
        <f>$G$205-C212</f>
        <v>92458.46153846153</v>
      </c>
      <c r="F212" s="230">
        <f>$G$205/C212</f>
        <v>19.491692307692308</v>
      </c>
      <c r="G212" s="233">
        <f>1-(C212/$G$205)</f>
        <v>0.9486960914314579</v>
      </c>
    </row>
    <row r="213" spans="2:7" ht="13.5" thickBot="1">
      <c r="B213" s="228" t="s">
        <v>628</v>
      </c>
      <c r="C213" s="132">
        <v>5000</v>
      </c>
      <c r="D213" s="229" t="str">
        <f>IF(C213&lt;=$C$219,"Yes","No")</f>
        <v>No</v>
      </c>
      <c r="E213" s="757">
        <f>$G$205-C213</f>
        <v>92458.46153846153</v>
      </c>
      <c r="F213" s="230">
        <f>$G$205/C213</f>
        <v>19.491692307692308</v>
      </c>
      <c r="G213" s="233">
        <f>1-(C213/$G$205)</f>
        <v>0.9486960914314579</v>
      </c>
    </row>
    <row r="214" spans="2:7" ht="13.5" thickBot="1">
      <c r="B214" s="491" t="s">
        <v>41</v>
      </c>
      <c r="C214" s="126">
        <f>(($D242/$D$241)*C211)+(($D243/$D$241)*C212)+(($D244/$D$241)*C213)</f>
        <v>5000</v>
      </c>
      <c r="D214" s="492" t="s">
        <v>873</v>
      </c>
      <c r="E214" s="758">
        <f>(($D242/$D$241)*E211)+(($D2133/$D$241)*E212)+(($D244/$D$241)*E213)</f>
        <v>92458.46153846153</v>
      </c>
      <c r="F214" s="493">
        <f>(($D242/$D$241)*F211)+(($D243/$D$241)*F212)+(($D244/$D$241)*F213)</f>
        <v>19.491692307692308</v>
      </c>
      <c r="G214" s="490">
        <f>(($D242/$D$241)*G211)+(($D243/$D$241)*G212)+(($D244/$D$241)*G213)</f>
        <v>0.9486960914314579</v>
      </c>
    </row>
    <row r="216" ht="12.75">
      <c r="B216" s="9" t="s">
        <v>635</v>
      </c>
    </row>
    <row r="217" ht="12.75">
      <c r="B217" s="149" t="s">
        <v>298</v>
      </c>
    </row>
    <row r="218" ht="13.5" thickBot="1"/>
    <row r="219" spans="2:9" ht="13.5" thickBot="1">
      <c r="B219" s="151" t="s">
        <v>690</v>
      </c>
      <c r="C219" s="499">
        <f>IF(G219=1,(32.7*12),IF(G219=2,(144022/'Summary ERRs'!H99),"Error"))</f>
        <v>276.9653846153846</v>
      </c>
      <c r="E219" s="151" t="s">
        <v>44</v>
      </c>
      <c r="F219" s="74"/>
      <c r="G219" s="1020">
        <v>2</v>
      </c>
      <c r="I219" t="s">
        <v>50</v>
      </c>
    </row>
    <row r="220" ht="12.75">
      <c r="C220" s="471"/>
    </row>
    <row r="221" ht="12.75">
      <c r="C221" s="471"/>
    </row>
    <row r="222" spans="2:9" ht="12.75">
      <c r="B222" s="214" t="s">
        <v>675</v>
      </c>
      <c r="I222" s="214" t="s">
        <v>687</v>
      </c>
    </row>
    <row r="223" ht="13.5" thickBot="1"/>
    <row r="224" spans="2:14" ht="63.75">
      <c r="B224" s="788"/>
      <c r="C224" s="877" t="s">
        <v>678</v>
      </c>
      <c r="D224" s="877" t="s">
        <v>347</v>
      </c>
      <c r="E224" s="877" t="s">
        <v>683</v>
      </c>
      <c r="F224" s="877" t="s">
        <v>278</v>
      </c>
      <c r="G224" s="878" t="s">
        <v>346</v>
      </c>
      <c r="I224" s="245"/>
      <c r="J224" s="238" t="s">
        <v>671</v>
      </c>
      <c r="K224" s="246" t="s">
        <v>677</v>
      </c>
      <c r="L224" s="244" t="s">
        <v>678</v>
      </c>
      <c r="M224" s="244" t="s">
        <v>545</v>
      </c>
      <c r="N224" s="150" t="s">
        <v>683</v>
      </c>
    </row>
    <row r="225" spans="2:14" ht="25.5">
      <c r="B225" s="789" t="s">
        <v>314</v>
      </c>
      <c r="C225" s="879">
        <f>D10/D$9</f>
        <v>0.17591884094222404</v>
      </c>
      <c r="D225" s="880">
        <f>SUM(D226:D228)</f>
        <v>5120</v>
      </c>
      <c r="E225" s="880">
        <f>SUM(E226:E228)</f>
        <v>5120</v>
      </c>
      <c r="F225" s="879">
        <f aca="true" t="shared" si="2" ref="F225:F238">E225/D225</f>
        <v>1</v>
      </c>
      <c r="G225" s="881">
        <f>SUM(G226:G228)</f>
        <v>2000</v>
      </c>
      <c r="I225" s="252" t="s">
        <v>682</v>
      </c>
      <c r="J225" s="782">
        <f>K43</f>
        <v>294.1025641025641</v>
      </c>
      <c r="K225" s="760" t="str">
        <f>IF(J225&lt;=$C$219,"Yes","No")</f>
        <v>No</v>
      </c>
      <c r="L225" s="1035">
        <v>0.2</v>
      </c>
      <c r="M225" s="248">
        <f>L225*$K$8</f>
        <v>2380.6976000000004</v>
      </c>
      <c r="N225" s="249">
        <f>IF(K225="Yes",M225,0)</f>
        <v>0</v>
      </c>
    </row>
    <row r="226" spans="2:14" ht="25.5">
      <c r="B226" s="751" t="s">
        <v>266</v>
      </c>
      <c r="C226" s="1033">
        <v>0.33</v>
      </c>
      <c r="D226" s="882">
        <f>(C226*D10)</f>
        <v>1689.6000000000001</v>
      </c>
      <c r="E226" s="882">
        <f>IF(D69="Yes",D226,0)</f>
        <v>1689.6000000000001</v>
      </c>
      <c r="F226" s="879">
        <f t="shared" si="2"/>
        <v>1</v>
      </c>
      <c r="G226" s="883">
        <f>C226*'Farm Model Assumptions'!$C$10</f>
        <v>660</v>
      </c>
      <c r="I226" s="252" t="s">
        <v>680</v>
      </c>
      <c r="J226" s="759">
        <v>248</v>
      </c>
      <c r="K226" s="760" t="str">
        <f>IF(J226&lt;=$C$219,"Yes","No")</f>
        <v>Yes</v>
      </c>
      <c r="L226" s="1035">
        <v>0</v>
      </c>
      <c r="M226" s="248">
        <f>L226*$K$8</f>
        <v>0</v>
      </c>
      <c r="N226" s="249">
        <f>IF(K226="Yes",M226,0)</f>
        <v>0</v>
      </c>
    </row>
    <row r="227" spans="2:14" ht="26.25" thickBot="1">
      <c r="B227" s="751" t="s">
        <v>267</v>
      </c>
      <c r="C227" s="1033">
        <v>0</v>
      </c>
      <c r="D227" s="882">
        <f>(C227*D10)</f>
        <v>0</v>
      </c>
      <c r="E227" s="882">
        <f>IF(D70="Yes",D227,0)</f>
        <v>0</v>
      </c>
      <c r="F227" s="879"/>
      <c r="G227" s="883">
        <f>C227*'Farm Model Assumptions'!$C$10</f>
        <v>0</v>
      </c>
      <c r="I227" s="254" t="s">
        <v>681</v>
      </c>
      <c r="J227" s="761">
        <v>190</v>
      </c>
      <c r="K227" s="762" t="str">
        <f>IF(J227&lt;=$C$219,"Yes","No")</f>
        <v>Yes</v>
      </c>
      <c r="L227" s="1036">
        <v>0.8</v>
      </c>
      <c r="M227" s="250">
        <f>L227*$K$8</f>
        <v>9522.790400000002</v>
      </c>
      <c r="N227" s="251">
        <f>IF(K227="Yes",M227,0)</f>
        <v>9522.790400000002</v>
      </c>
    </row>
    <row r="228" spans="2:14" ht="26.25" thickBot="1">
      <c r="B228" s="751" t="s">
        <v>268</v>
      </c>
      <c r="C228" s="1033">
        <v>0.67</v>
      </c>
      <c r="D228" s="882">
        <f>(C228*D10)</f>
        <v>3430.4</v>
      </c>
      <c r="E228" s="882">
        <f>IF(D71="Yes",D228,0)</f>
        <v>3430.4</v>
      </c>
      <c r="F228" s="879">
        <f t="shared" si="2"/>
        <v>1</v>
      </c>
      <c r="G228" s="883">
        <f>C228*'Farm Model Assumptions'!$C$10</f>
        <v>1340</v>
      </c>
      <c r="I228" s="174" t="s">
        <v>549</v>
      </c>
      <c r="J228" s="488">
        <f>(($M225/$M$228)*J225)+(($M226/$M$228)*J226)+(($M227/$M$228)*J227)</f>
        <v>210.82051282051282</v>
      </c>
      <c r="K228" s="763" t="s">
        <v>873</v>
      </c>
      <c r="L228" s="247">
        <f>SUM(L225:L227)</f>
        <v>1</v>
      </c>
      <c r="M228" s="185">
        <f>SUM(M225:M227)</f>
        <v>11903.488000000001</v>
      </c>
      <c r="N228" s="186">
        <f>SUM(N225:N227)</f>
        <v>9522.790400000002</v>
      </c>
    </row>
    <row r="229" spans="2:12" ht="12.75">
      <c r="B229" s="751" t="s">
        <v>315</v>
      </c>
      <c r="C229" s="884">
        <f>D11/D9</f>
        <v>0.3518376818844481</v>
      </c>
      <c r="D229" s="882">
        <f>SUM(D230:D232)</f>
        <v>10240</v>
      </c>
      <c r="E229" s="882">
        <f>SUM(E230:E232)</f>
        <v>10240</v>
      </c>
      <c r="F229" s="879">
        <f t="shared" si="2"/>
        <v>1</v>
      </c>
      <c r="G229" s="881">
        <f>SUM(G230:G232)</f>
        <v>4000</v>
      </c>
      <c r="L229" s="234">
        <f>IF((L225+L226+L227)&lt;&gt;1,"Must Sum to 100%","")</f>
      </c>
    </row>
    <row r="230" spans="2:7" ht="25.5">
      <c r="B230" s="751" t="s">
        <v>266</v>
      </c>
      <c r="C230" s="1033">
        <v>0</v>
      </c>
      <c r="D230" s="882">
        <f>C230*D$11</f>
        <v>0</v>
      </c>
      <c r="E230" s="882">
        <f>IF(D106="Yes",D230,0)</f>
        <v>0</v>
      </c>
      <c r="F230" s="879"/>
      <c r="G230" s="883">
        <f>C230*'Farm Model Assumptions'!$C$11</f>
        <v>0</v>
      </c>
    </row>
    <row r="231" spans="2:7" ht="25.5">
      <c r="B231" s="751" t="s">
        <v>267</v>
      </c>
      <c r="C231" s="1033">
        <v>0</v>
      </c>
      <c r="D231" s="882">
        <f>C231*D$11</f>
        <v>0</v>
      </c>
      <c r="E231" s="882">
        <f>IF(D107="Yes",D231,0)</f>
        <v>0</v>
      </c>
      <c r="F231" s="879"/>
      <c r="G231" s="883">
        <f>C231*'Farm Model Assumptions'!$C$11</f>
        <v>0</v>
      </c>
    </row>
    <row r="232" spans="2:7" ht="25.5">
      <c r="B232" s="751" t="s">
        <v>268</v>
      </c>
      <c r="C232" s="1033">
        <v>1</v>
      </c>
      <c r="D232" s="882">
        <f>C232*D$11</f>
        <v>10240</v>
      </c>
      <c r="E232" s="882">
        <f>IF(D108="Yes",D232,0)</f>
        <v>10240</v>
      </c>
      <c r="F232" s="879">
        <f t="shared" si="2"/>
        <v>1</v>
      </c>
      <c r="G232" s="883">
        <f>C232*'Farm Model Assumptions'!$C$11</f>
        <v>4000</v>
      </c>
    </row>
    <row r="233" spans="2:7" ht="12.75">
      <c r="B233" s="789" t="s">
        <v>269</v>
      </c>
      <c r="C233" s="879">
        <f>D12/D$9</f>
        <v>0.43979710235556013</v>
      </c>
      <c r="D233" s="882">
        <f>SUM(D234:D236)</f>
        <v>12800</v>
      </c>
      <c r="E233" s="882">
        <f>SUM(E234:E236)</f>
        <v>12800</v>
      </c>
      <c r="F233" s="879">
        <f t="shared" si="2"/>
        <v>1</v>
      </c>
      <c r="G233" s="883">
        <f>SUM(G234:G236)</f>
        <v>5000</v>
      </c>
    </row>
    <row r="234" spans="2:7" ht="25.5">
      <c r="B234" s="751" t="s">
        <v>266</v>
      </c>
      <c r="C234" s="1033">
        <v>1</v>
      </c>
      <c r="D234" s="882">
        <f>C234*D12</f>
        <v>12800</v>
      </c>
      <c r="E234" s="882">
        <f>IF(D143="Yes",D234,0)</f>
        <v>12800</v>
      </c>
      <c r="F234" s="879">
        <f t="shared" si="2"/>
        <v>1</v>
      </c>
      <c r="G234" s="883">
        <f>C234*'Farm Model Assumptions'!$C$12</f>
        <v>5000</v>
      </c>
    </row>
    <row r="235" spans="2:7" ht="25.5">
      <c r="B235" s="751" t="s">
        <v>267</v>
      </c>
      <c r="C235" s="1033">
        <v>0</v>
      </c>
      <c r="D235" s="882">
        <f>C235*D12</f>
        <v>0</v>
      </c>
      <c r="E235" s="882">
        <f>IF(D144="Yes",D235,0)</f>
        <v>0</v>
      </c>
      <c r="F235" s="879"/>
      <c r="G235" s="883">
        <f>C235*'Farm Model Assumptions'!$C$12</f>
        <v>0</v>
      </c>
    </row>
    <row r="236" spans="2:7" ht="25.5">
      <c r="B236" s="751" t="s">
        <v>268</v>
      </c>
      <c r="C236" s="1033">
        <v>0</v>
      </c>
      <c r="D236" s="882">
        <f>C236*D12</f>
        <v>0</v>
      </c>
      <c r="E236" s="882">
        <f>IF(D145="Yes",D236,0)</f>
        <v>0</v>
      </c>
      <c r="F236" s="879"/>
      <c r="G236" s="883">
        <f>C236*'Farm Model Assumptions'!$C$12</f>
        <v>0</v>
      </c>
    </row>
    <row r="237" spans="2:7" ht="12.75" customHeight="1">
      <c r="B237" s="752" t="s">
        <v>270</v>
      </c>
      <c r="C237" s="879">
        <f>D13/D$9</f>
        <v>0.03078579716488921</v>
      </c>
      <c r="D237" s="882">
        <f>SUM(D238:D240)</f>
        <v>896</v>
      </c>
      <c r="E237" s="882">
        <f>SUM(E238:E240)</f>
        <v>0</v>
      </c>
      <c r="F237" s="879">
        <f t="shared" si="2"/>
        <v>0</v>
      </c>
      <c r="G237" s="883">
        <f>SUM(G238:G240)</f>
        <v>2100</v>
      </c>
    </row>
    <row r="238" spans="2:7" ht="13.5" customHeight="1">
      <c r="B238" s="751" t="s">
        <v>271</v>
      </c>
      <c r="C238" s="1033">
        <v>1</v>
      </c>
      <c r="D238" s="882">
        <f>C238*D13</f>
        <v>896</v>
      </c>
      <c r="E238" s="882">
        <f>IF(D180="Yes",D238,0)</f>
        <v>0</v>
      </c>
      <c r="F238" s="879">
        <f t="shared" si="2"/>
        <v>0</v>
      </c>
      <c r="G238" s="883">
        <f>C238*'Farm Model Assumptions'!$C$13</f>
        <v>2100</v>
      </c>
    </row>
    <row r="239" spans="2:7" ht="12.75">
      <c r="B239" s="213"/>
      <c r="C239" s="1033"/>
      <c r="D239" s="882"/>
      <c r="E239" s="882"/>
      <c r="F239" s="879"/>
      <c r="G239" s="883">
        <f>C239*'Farm Model Assumptions'!$C$13</f>
        <v>0</v>
      </c>
    </row>
    <row r="240" spans="2:7" ht="12.75">
      <c r="B240" s="213"/>
      <c r="C240" s="1033"/>
      <c r="D240" s="882"/>
      <c r="E240" s="882"/>
      <c r="F240" s="879"/>
      <c r="G240" s="883">
        <f>C240*'Farm Model Assumptions'!$C$13</f>
        <v>0</v>
      </c>
    </row>
    <row r="241" spans="2:7" ht="12.75">
      <c r="B241" s="213" t="s">
        <v>272</v>
      </c>
      <c r="C241" s="879">
        <f>D14/D$9</f>
        <v>0.0016605776528784547</v>
      </c>
      <c r="D241" s="882">
        <f>SUM(D242:D244)</f>
        <v>48.33</v>
      </c>
      <c r="E241" s="882">
        <f>E242+E243+E244</f>
        <v>0</v>
      </c>
      <c r="F241" s="879">
        <f>E241/D241</f>
        <v>0</v>
      </c>
      <c r="G241" s="883">
        <f>SUM(G242:G244)</f>
        <v>2899.7999999999997</v>
      </c>
    </row>
    <row r="242" spans="2:7" ht="12.75">
      <c r="B242" s="751" t="s">
        <v>273</v>
      </c>
      <c r="C242" s="1033">
        <v>1</v>
      </c>
      <c r="D242" s="882">
        <f>C242*D14</f>
        <v>48.33</v>
      </c>
      <c r="E242" s="882">
        <f>IF(D211="Yes",D242,0)</f>
        <v>0</v>
      </c>
      <c r="F242" s="879">
        <f>E242/D242</f>
        <v>0</v>
      </c>
      <c r="G242" s="883">
        <f>C242*'Farm Model Assumptions'!$C$14</f>
        <v>2899.7999999999997</v>
      </c>
    </row>
    <row r="243" spans="2:7" ht="12.75">
      <c r="B243" s="213"/>
      <c r="C243" s="1033"/>
      <c r="D243" s="882"/>
      <c r="E243" s="882"/>
      <c r="F243" s="879"/>
      <c r="G243" s="883">
        <f>C243*'Farm Model Assumptions'!$C$14</f>
        <v>0</v>
      </c>
    </row>
    <row r="244" spans="2:7" ht="13.5" thickBot="1">
      <c r="B244" s="702"/>
      <c r="C244" s="1034"/>
      <c r="D244" s="885"/>
      <c r="E244" s="886"/>
      <c r="F244" s="887"/>
      <c r="G244" s="888">
        <f>C244*'Farm Model Assumptions'!$C$14</f>
        <v>0</v>
      </c>
    </row>
    <row r="245" spans="2:7" ht="13.5" thickBot="1">
      <c r="B245" s="753" t="s">
        <v>549</v>
      </c>
      <c r="C245" s="889">
        <f>C241+C229+C233+C237+C225</f>
        <v>0.9999999999999998</v>
      </c>
      <c r="D245" s="890">
        <f>D225+D229+D233+D237+D241</f>
        <v>29104.33</v>
      </c>
      <c r="E245" s="890">
        <f>E225+E229+E233+E237+E241</f>
        <v>28160</v>
      </c>
      <c r="F245" s="891">
        <f>E245/D245</f>
        <v>0.9675536251822323</v>
      </c>
      <c r="G245" s="892">
        <f>G225+G229+G233+G237+G241</f>
        <v>15999.8</v>
      </c>
    </row>
    <row r="246" ht="12.75">
      <c r="C246" s="234">
        <f>IF((C226+C227+C228)&lt;&gt;1,"Must Sum to 100%","")</f>
      </c>
    </row>
    <row r="247" spans="2:15" ht="12.75">
      <c r="B247" t="s">
        <v>274</v>
      </c>
      <c r="E247" s="239">
        <f>((E226*C69)+(E227*C70)+(E228*C71)+((E230*C106)+(E231*C107)+(E232*C108))+(E234*C143)+(E235*C144)+(E236*C145)+(E238*C180)+(E239*C181)+(E240*C182)+(E242*C211)+(E243*C212)+(E244*C213))/E245</f>
        <v>216.16907369973774</v>
      </c>
      <c r="F247" s="786"/>
      <c r="I247" t="s">
        <v>274</v>
      </c>
      <c r="N247" s="240">
        <f>((N225*J225)+(N226*J226)+(N227*J227))/N228</f>
        <v>190</v>
      </c>
      <c r="O247" s="786" t="str">
        <f>IF('Summary ERRs'!$L$96&lt;&gt;2,"Need Use Finan Prices","")</f>
        <v>Need Use Finan Prices</v>
      </c>
    </row>
    <row r="248" spans="2:14" ht="12.75">
      <c r="B248" t="s">
        <v>684</v>
      </c>
      <c r="E248" s="240">
        <f>((E225*G57)+(E229*G100)+(E233*G137)+(E237*G174)+(E241*G205))/E245</f>
        <v>551.0434877622376</v>
      </c>
      <c r="I248" t="s">
        <v>334</v>
      </c>
      <c r="N248" s="240">
        <f>K43</f>
        <v>294.1025641025641</v>
      </c>
    </row>
    <row r="249" spans="2:14" ht="12.75">
      <c r="B249" t="s">
        <v>335</v>
      </c>
      <c r="E249" s="242">
        <f>E248-E247</f>
        <v>334.8744140624999</v>
      </c>
      <c r="I249" t="s">
        <v>686</v>
      </c>
      <c r="N249" s="242">
        <f>N248-N247</f>
        <v>104.10256410256409</v>
      </c>
    </row>
    <row r="250" spans="2:14" ht="26.25" customHeight="1">
      <c r="B250" t="s">
        <v>685</v>
      </c>
      <c r="E250" s="243">
        <f>E249/E247</f>
        <v>1.5491319286848857</v>
      </c>
      <c r="I250" t="s">
        <v>336</v>
      </c>
      <c r="N250" s="243">
        <f>N249/N247</f>
        <v>0.5479082321187584</v>
      </c>
    </row>
    <row r="251" spans="5:14" ht="25.5" customHeight="1">
      <c r="E251" s="202"/>
      <c r="N251" s="202"/>
    </row>
    <row r="252" spans="2:14" ht="12.75">
      <c r="B252" t="s">
        <v>688</v>
      </c>
      <c r="E252" s="240">
        <f>SUM(E225+E229+E233+E237+E241)</f>
        <v>28160</v>
      </c>
      <c r="I252" t="s">
        <v>688</v>
      </c>
      <c r="N252" s="240">
        <f>SUMIF(K225:K227,"Yes",M225:M227)</f>
        <v>9522.790400000002</v>
      </c>
    </row>
    <row r="253" spans="2:14" ht="12.75">
      <c r="B253" t="s">
        <v>689</v>
      </c>
      <c r="E253" s="240">
        <f>(IF(G57&gt;C219,0,E225))+(IF(G100&gt;C219,0,E229)+(IF(G137&gt;C219,0,E233))+(IF(G174&gt;C219,0,E237))+(IF(G205&gt;C219,0,E241)))</f>
        <v>0</v>
      </c>
      <c r="I253" t="s">
        <v>689</v>
      </c>
      <c r="N253" s="240">
        <f>IF(N248&gt;C219,0,K8)</f>
        <v>0</v>
      </c>
    </row>
    <row r="254" spans="2:14" ht="12.75">
      <c r="B254" t="s">
        <v>679</v>
      </c>
      <c r="E254" s="242">
        <f>E252-E253</f>
        <v>28160</v>
      </c>
      <c r="I254" t="s">
        <v>679</v>
      </c>
      <c r="N254" s="242">
        <f>N252-N253</f>
        <v>9522.790400000002</v>
      </c>
    </row>
    <row r="256" spans="2:14" ht="25.5" customHeight="1">
      <c r="B256" s="1140" t="s">
        <v>25</v>
      </c>
      <c r="C256" s="1140"/>
      <c r="D256" s="1140"/>
      <c r="E256" s="239">
        <f>((E226*$C$219-E226*C69)+(E227*$C$219-E227*C70)+(E228*$C$219-E228*C71)+(E230*$C$219-E230*C106)+(E231*$C$219-E231*C107)+(E232*$C$219-E232*C108)+(E234*$C$219-E234*C143)+(E235*$C$219-E235*C144)+(E236*$C$219-E236*C145)+(E238*$C$219-E238*C180)+(E239*$C$219-E239*C181)+(E240*$C$219-E240*C182)+(E242*$C$219-E242*C211)+(E243*$C$219-E243*C212)+(E244*$C$219-E244*C213))/E245</f>
        <v>60.79631091564687</v>
      </c>
      <c r="F256" s="49"/>
      <c r="I256" s="1140" t="s">
        <v>26</v>
      </c>
      <c r="J256" s="1140"/>
      <c r="K256" s="1140"/>
      <c r="L256" s="1140"/>
      <c r="M256" s="1140"/>
      <c r="N256" s="255">
        <f>((N225*$C$219-N225*J69)+(N226*$C$219-N226*J70)+(N227*$C$219-N227*J71))/N228</f>
        <v>86.9653846153846</v>
      </c>
    </row>
    <row r="257" spans="2:14" ht="25.5" customHeight="1">
      <c r="B257" s="1140" t="s">
        <v>28</v>
      </c>
      <c r="C257" s="1140"/>
      <c r="D257" s="1140"/>
      <c r="E257" s="239">
        <f>(((IF(G57&gt;C219,0,((C219-G57)*E225))))+(IF(G100&gt;C219,0,((C219-G100)*E229))+(IF(G137&gt;C219,0,((C219-G137)*E233)))+(IF(G174&gt;C219,0,((C219-G174)*E237)))+(IF(G205&gt;C219,0,((C219-G205)*E241)))))/(E245)</f>
        <v>0</v>
      </c>
      <c r="I257" s="1140" t="s">
        <v>27</v>
      </c>
      <c r="J257" s="1140"/>
      <c r="K257" s="1140"/>
      <c r="L257" s="1140"/>
      <c r="M257" s="1140"/>
      <c r="N257" s="255">
        <f>IF(N253=0,0,(((N225*$C$219-N225*N248)+(N226*$C$219-N226*N248)+(N227*$C$219-N227*N248))/N228))</f>
        <v>0</v>
      </c>
    </row>
    <row r="258" spans="2:14" ht="12.75">
      <c r="B258" t="s">
        <v>691</v>
      </c>
      <c r="E258" s="253">
        <f>E256/$C$219</f>
        <v>0.21950869781100368</v>
      </c>
      <c r="I258" t="s">
        <v>691</v>
      </c>
      <c r="N258" s="253">
        <f>N256/$C$219</f>
        <v>0.313993695407646</v>
      </c>
    </row>
    <row r="259" spans="2:15" ht="12.75">
      <c r="B259" t="s">
        <v>692</v>
      </c>
      <c r="E259" s="253">
        <f>E257/C219</f>
        <v>0</v>
      </c>
      <c r="F259" s="786"/>
      <c r="I259" t="s">
        <v>692</v>
      </c>
      <c r="N259" s="253">
        <f>N257/$C$219</f>
        <v>0</v>
      </c>
      <c r="O259" s="786" t="str">
        <f>IF('Summary ERRs'!$L$96&lt;&gt;2,"Need Use Finan Prices","")</f>
        <v>Need Use Finan Prices</v>
      </c>
    </row>
    <row r="261" ht="25.5">
      <c r="B261" s="450" t="s">
        <v>889</v>
      </c>
    </row>
  </sheetData>
  <mergeCells count="41">
    <mergeCell ref="B1:J1"/>
    <mergeCell ref="C4:C5"/>
    <mergeCell ref="J4:J5"/>
    <mergeCell ref="D4:D5"/>
    <mergeCell ref="K4:K5"/>
    <mergeCell ref="I38:J38"/>
    <mergeCell ref="I66:J66"/>
    <mergeCell ref="I67:J67"/>
    <mergeCell ref="I43:J43"/>
    <mergeCell ref="B32:C32"/>
    <mergeCell ref="B33:C33"/>
    <mergeCell ref="C41:G41"/>
    <mergeCell ref="I41:J41"/>
    <mergeCell ref="F32:I32"/>
    <mergeCell ref="F33:I33"/>
    <mergeCell ref="I256:M256"/>
    <mergeCell ref="I257:M257"/>
    <mergeCell ref="B22:D22"/>
    <mergeCell ref="B66:D66"/>
    <mergeCell ref="B67:D67"/>
    <mergeCell ref="C121:G121"/>
    <mergeCell ref="B140:D140"/>
    <mergeCell ref="B141:D141"/>
    <mergeCell ref="C158:G158"/>
    <mergeCell ref="B177:D177"/>
    <mergeCell ref="B256:D256"/>
    <mergeCell ref="B257:D257"/>
    <mergeCell ref="B178:D178"/>
    <mergeCell ref="C189:G189"/>
    <mergeCell ref="B208:D208"/>
    <mergeCell ref="B209:D209"/>
    <mergeCell ref="C84:G84"/>
    <mergeCell ref="B103:D103"/>
    <mergeCell ref="B104:D104"/>
    <mergeCell ref="B16:C16"/>
    <mergeCell ref="B17:C17"/>
    <mergeCell ref="B31:C31"/>
    <mergeCell ref="B28:C28"/>
    <mergeCell ref="F31:I31"/>
    <mergeCell ref="B35:C35"/>
    <mergeCell ref="B36:C36"/>
  </mergeCells>
  <conditionalFormatting sqref="B1">
    <cfRule type="cellIs" priority="1" dxfId="0" operator="equal" stopIfTrue="1">
      <formula>0</formula>
    </cfRule>
    <cfRule type="cellIs" priority="2" dxfId="1" operator="notEqual" stopIfTrue="1">
      <formula>0</formula>
    </cfRule>
  </conditionalFormatting>
  <printOptions/>
  <pageMargins left="0.75" right="0.75" top="1" bottom="1" header="0.5" footer="0.5"/>
  <pageSetup fitToHeight="1" fitToWidth="1" horizontalDpi="600" verticalDpi="600" orientation="landscape" scale="1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wilcockd</dc:creator>
  <cp:keywords/>
  <dc:description/>
  <cp:lastModifiedBy>defuser</cp:lastModifiedBy>
  <cp:lastPrinted>2006-08-31T15:03:03Z</cp:lastPrinted>
  <dcterms:created xsi:type="dcterms:W3CDTF">2005-08-29T04:58:44Z</dcterms:created>
  <dcterms:modified xsi:type="dcterms:W3CDTF">2008-09-16T15:27:09Z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