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75" windowHeight="8220" tabRatio="839" activeTab="0"/>
  </bookViews>
  <sheets>
    <sheet name="User's Guide" sheetId="1" r:id="rId1"/>
    <sheet name="Project Description" sheetId="2" r:id="rId2"/>
    <sheet name="CB_DATA_" sheetId="3" state="veryHidden" r:id="rId3"/>
    <sheet name="ERR &amp; Sensitivity Analysis" sheetId="4" r:id="rId4"/>
    <sheet name="Costs &amp; Benefits Summary" sheetId="5" r:id="rId5"/>
    <sheet name="Civil Legal" sheetId="6" r:id="rId6"/>
    <sheet name="Land Administration" sheetId="7" r:id="rId7"/>
  </sheets>
  <externalReferences>
    <externalReference r:id="rId10"/>
  </externalReferences>
  <definedNames>
    <definedName name="cardcost">#REF!</definedName>
    <definedName name="case_val">'Civil Legal'!$C$8</definedName>
    <definedName name="CB_16c3d27304fc45d1959599a093ddde25" localSheetId="3" hidden="1">'ERR &amp; Sensitivity Analysis'!$D$13</definedName>
    <definedName name="CB_1d6db2e7721b4033a1539ddd1ac2139d" localSheetId="3" hidden="1">'ERR &amp; Sensitivity Analysis'!#REF!</definedName>
    <definedName name="CB_40f2eda53b244f0989f33b7528a604af" localSheetId="3" hidden="1">'ERR &amp; Sensitivity Analysis'!$D$15</definedName>
    <definedName name="CB_5e33210a35bc4383aa9a6ee25af37e81" localSheetId="3" hidden="1">'ERR &amp; Sensitivity Analysis'!$D$14</definedName>
    <definedName name="CB_d3c5da17d95a4793bd77d7e02ff270a5" localSheetId="3" hidden="1">'ERR &amp; Sensitivity Analysis'!$D$19</definedName>
    <definedName name="CB_d458e2fdd9c04e09a5491920375a4a55" localSheetId="3" hidden="1">'ERR &amp; Sensitivity Analysis'!#REF!</definedName>
    <definedName name="CBCR_050e652ecc4a44f3b2c753de9da00c80" localSheetId="3" hidden="1">'ERR &amp; Sensitivity Analysis'!$C$13</definedName>
    <definedName name="CBCR_4042c31c8576418ba0f94bdfca1cc28e" localSheetId="3" hidden="1">'ERR &amp; Sensitivity Analysis'!#REF!</definedName>
    <definedName name="CBCR_900e476b8a3845f4851a2db728def793" localSheetId="3" hidden="1">'ERR &amp; Sensitivity Analysis'!$E$15</definedName>
    <definedName name="CBCR_d5b50df13502414cb6ff533685fcd541" localSheetId="3" hidden="1">'ERR &amp; Sensitivity Analysis'!$C$15</definedName>
    <definedName name="CBCR_e4310af2123848a499231255a97ab4a1" localSheetId="3" hidden="1">'ERR &amp; Sensitivity Analysis'!#REF!</definedName>
    <definedName name="CBCR_fb4b79d0d138494a9aa845353504300e" localSheetId="3" hidden="1">'ERR &amp; Sensitivity Analysis'!$E$13</definedName>
    <definedName name="CBWorkbookPriority" hidden="1">-1351066716</definedName>
    <definedName name="CBx_1775b7fd58d043919876e0ad5fc29558" localSheetId="2" hidden="1">"'CB_DATA_'!$A$1"</definedName>
    <definedName name="CBx_c593189efacc41f9809e485603529d39" localSheetId="2" hidden="1">"'ERR &amp; Sensitivity Analysis'!$A$1"</definedName>
    <definedName name="CBx_Sheet_Guid" localSheetId="2" hidden="1">"'1775b7fd-58d0-4391-9876-e0ad5fc29558"</definedName>
    <definedName name="CBx_Sheet_Guid" localSheetId="3" hidden="1">"'c593189e-facc-41f9-809e-485603529d39"</definedName>
    <definedName name="CBx_StorageType" localSheetId="2" hidden="1">1</definedName>
    <definedName name="CBx_StorageType" localSheetId="3" hidden="1">1</definedName>
    <definedName name="Default1">'[1]ERR &amp; Sensitivity Analysis'!$D$10:$D$11</definedName>
    <definedName name="Default2">'[1]ERR &amp; Sensitivity Analysis'!$D$13:$D$19</definedName>
    <definedName name="equity_debt">'Land Administration'!$C$13</definedName>
    <definedName name="exrate">#REF!</definedName>
    <definedName name="full_dev">'Civil Legal'!$C$12</definedName>
    <definedName name="growth_rate">'Civil Legal'!$C$7</definedName>
    <definedName name="in_flow_wo">'Land Administration'!$C$6</definedName>
    <definedName name="inv_return">'Land Administration'!$C$14</definedName>
    <definedName name="invest_return">#REF!</definedName>
    <definedName name="legal_c_w">'Civil Legal'!$C$10</definedName>
    <definedName name="legal_c_wo">'Civil Legal'!$C$9</definedName>
    <definedName name="mort_parc_start">'Land Administration'!$C$11</definedName>
    <definedName name="mortgage_ratio">'Land Administration'!$C$7</definedName>
    <definedName name="parce_val">'Land Administration'!$C$12</definedName>
    <definedName name="regis_c_w_a">'Land Administration'!$C$17</definedName>
    <definedName name="regis_c_w_d">'Land Administration'!$C$16</definedName>
    <definedName name="regst_c_wo">'Land Administration'!$C$15</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 localSheetId="6">1000</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trans_cost_w">'Land Administration'!#REF!</definedName>
    <definedName name="trans_cost_wo">'Land Administration'!$C$18</definedName>
    <definedName name="trans_mort_c">'Land Administration'!$C$19</definedName>
    <definedName name="trans_ratio">'Land Administration'!$C$8</definedName>
    <definedName name="trans_ratio_w">'Land Administration'!$C$9</definedName>
    <definedName name="trans_yr">'Land Administration'!#REF!</definedName>
    <definedName name="trans_yr_w">'Land Administration'!#REF!</definedName>
  </definedNames>
  <calcPr fullCalcOnLoad="1"/>
</workbook>
</file>

<file path=xl/sharedStrings.xml><?xml version="1.0" encoding="utf-8"?>
<sst xmlns="http://schemas.openxmlformats.org/spreadsheetml/2006/main" count="256" uniqueCount="202">
  <si>
    <t>ERR</t>
  </si>
  <si>
    <t>Total</t>
  </si>
  <si>
    <t>Project name</t>
  </si>
  <si>
    <t>Spreadsheet version</t>
  </si>
  <si>
    <t>Investment memo, final</t>
  </si>
  <si>
    <t>Amount of MCC funds</t>
  </si>
  <si>
    <t>Project description</t>
  </si>
  <si>
    <t>Benefit streams included in ERR</t>
  </si>
  <si>
    <t>Costs included in ERR (other than costs borne by MCC)</t>
  </si>
  <si>
    <t>Estimated ERR and time horizon</t>
  </si>
  <si>
    <t>ERR and sensitivity analysis</t>
  </si>
  <si>
    <t>Description of key parameters</t>
  </si>
  <si>
    <t>Parameter values</t>
  </si>
  <si>
    <t>Values used in ERR computation</t>
  </si>
  <si>
    <t>Summary</t>
  </si>
  <si>
    <t>User Input</t>
  </si>
  <si>
    <t>Actual costs as a percentage of estimated costs</t>
  </si>
  <si>
    <t>Actual benefits as a percentage of estimated benefits</t>
  </si>
  <si>
    <t>80 - 120%</t>
  </si>
  <si>
    <t>MCC Estimate</t>
  </si>
  <si>
    <t>All summary parameters set to initial values?</t>
  </si>
  <si>
    <t>Parameter type</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</si>
  <si>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</si>
  <si>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   </t>
    </r>
    <r>
      <rPr>
        <u val="single"/>
        <sz val="10"/>
        <color indexed="12"/>
        <rFont val="Arial"/>
        <family val="2"/>
      </rPr>
      <t>Project Description</t>
    </r>
  </si>
  <si>
    <t>Project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</si>
  <si>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</si>
  <si>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</si>
  <si>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</si>
  <si>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Components</t>
  </si>
  <si>
    <t>Economic Rationale</t>
  </si>
  <si>
    <t>Plausible range</t>
  </si>
  <si>
    <t xml:space="preserve">Lesotho:  Private Sector Development </t>
  </si>
  <si>
    <t>Private Sector Development Project</t>
  </si>
  <si>
    <t>$36.1 million</t>
  </si>
  <si>
    <t xml:space="preserve">      Increase in growth in credit volume; incremental value added associated with economic activity mediated by increased access and use of credit</t>
  </si>
  <si>
    <t xml:space="preserve">      Increase in mortgage activity; incremental value added associated with economic activity mediated by use of credit</t>
  </si>
  <si>
    <t>• capital costs
• annual operating and maintenance costs</t>
  </si>
  <si>
    <t>Project Year</t>
  </si>
  <si>
    <t>Total investment costs</t>
  </si>
  <si>
    <t>Total incremental costs</t>
  </si>
  <si>
    <t>Estimated incremental added value</t>
  </si>
  <si>
    <t>Average case value (USD)</t>
  </si>
  <si>
    <t>New case flow</t>
  </si>
  <si>
    <t>Legal costs (USD million)</t>
  </si>
  <si>
    <t>Project investment costs</t>
  </si>
  <si>
    <t>Incremental recurrent system costs</t>
  </si>
  <si>
    <t>Without Project</t>
  </si>
  <si>
    <t>Current population of registry</t>
  </si>
  <si>
    <t>Est. mortgaged parcels to date</t>
  </si>
  <si>
    <t>Average land value per parcel (USD)</t>
  </si>
  <si>
    <t>Equity to credit ratio</t>
  </si>
  <si>
    <t>Land registration cost (without compact)</t>
  </si>
  <si>
    <t>Land registration cost (during compact)</t>
  </si>
  <si>
    <t>Land registration cost (following compact)</t>
  </si>
  <si>
    <t>Transaction costs w/o project (% of land value)</t>
  </si>
  <si>
    <t>Transfer and mortgage transaction cost (% land value)</t>
  </si>
  <si>
    <t>Based on Swedesurvey, excluding tax</t>
  </si>
  <si>
    <t>Parcels entering registry</t>
  </si>
  <si>
    <t>Parcels in registry</t>
  </si>
  <si>
    <t>Property transfers</t>
  </si>
  <si>
    <t>Additions to mortgaged parcels</t>
  </si>
  <si>
    <t>Value of new mortgages (USD million)</t>
  </si>
  <si>
    <t xml:space="preserve">Equity Contribution </t>
  </si>
  <si>
    <t>Total value of investment</t>
  </si>
  <si>
    <t>Total Investment</t>
  </si>
  <si>
    <t>Est. return on mortgage leveraged investment</t>
  </si>
  <si>
    <t>Transaction costs (USD million)</t>
  </si>
  <si>
    <t>Registration</t>
  </si>
  <si>
    <t>Mortgage registration</t>
  </si>
  <si>
    <t>Property transfer</t>
  </si>
  <si>
    <t xml:space="preserve">Incremental parcels entering registry </t>
  </si>
  <si>
    <t>Incremental Net Benefits</t>
  </si>
  <si>
    <t>Incremental investment returns</t>
  </si>
  <si>
    <t>Compact Administration/Management</t>
  </si>
  <si>
    <t>Incremental transaction costs</t>
  </si>
  <si>
    <t>NPV at 9.2% (USD million)</t>
  </si>
  <si>
    <t>NPV @ 10% (USD million)</t>
  </si>
  <si>
    <t>Lesotho:  Private Sector Development</t>
  </si>
  <si>
    <t>Civil Legal</t>
  </si>
  <si>
    <t>Land Administration</t>
  </si>
  <si>
    <t>Specific (Civil Legal)</t>
  </si>
  <si>
    <t>Specific (Land Administration)</t>
  </si>
  <si>
    <t>Swedesurvey, excluding stamp charges</t>
  </si>
  <si>
    <t>MCC Staff</t>
  </si>
  <si>
    <t>Lesotho Private Sector Development</t>
  </si>
  <si>
    <t>ERRs for the Payment and Gender Activities were not estimated</t>
  </si>
  <si>
    <t>0.20 - 0.55</t>
  </si>
  <si>
    <t>This sheet calculates the annual net benefits of reducing legal costs and computes the resulting ERR over a 20-year time period.</t>
  </si>
  <si>
    <t>This Project is designed to increase private sector activity in Lesotho by improving access to credit, reducing transaction costs and increasing the participation of women in the economy. Project Activities include improving land administration, modernizing the commercial legal system, strengthening payment and settlement systems, supporting the provision of credit bureau services, including assisting the roll-out of a national ID scheme, and training and outreach to support gender equality in economic rights.</t>
  </si>
  <si>
    <r>
      <t xml:space="preserve">     Credit Bureau and National Identity Card Activity: </t>
    </r>
    <r>
      <rPr>
        <sz val="10"/>
        <rFont val="Arial"/>
        <family val="2"/>
      </rPr>
      <t>Will support the production and issuance of national ID cards as well as legal and regulatory reforms for facilitating the establishment and operation of private credit bureau(s).</t>
    </r>
  </si>
  <si>
    <r>
      <t xml:space="preserve">     Civil Legal Activity: </t>
    </r>
    <r>
      <rPr>
        <sz val="10"/>
        <rFont val="Arial"/>
        <family val="2"/>
      </rPr>
      <t>Will support faster and less expensive resolution of commercial disputes through activities including development of the Commercial Court, creation of case management systems and promotion of alternative resolution.</t>
    </r>
  </si>
  <si>
    <t>(1) Credit Bureau and National ID Activity</t>
  </si>
  <si>
    <t>(2) Civil Legal Activity</t>
  </si>
  <si>
    <t xml:space="preserve">      Reduction in legal costs associated with pursuing cases in the Commercial Court </t>
  </si>
  <si>
    <t>Net Benefits</t>
  </si>
  <si>
    <t>Cost Shares</t>
  </si>
  <si>
    <t>Total Costs Over 5 Years</t>
  </si>
  <si>
    <t>Share of Subtotal</t>
  </si>
  <si>
    <t>Subtotal</t>
  </si>
  <si>
    <t>Payment and Settlement System</t>
  </si>
  <si>
    <t>Gender Equality</t>
  </si>
  <si>
    <t xml:space="preserve">Weighted Average </t>
  </si>
  <si>
    <t>The weights used in average are the cost shares of the Activities</t>
  </si>
  <si>
    <t>Other Activities not included in analysis</t>
  </si>
  <si>
    <t>(2) Civil Legal ERR: 13%</t>
  </si>
  <si>
    <t>(3) Land Administration: 18%</t>
  </si>
  <si>
    <t xml:space="preserve">(1) National ID ERR: 10% </t>
  </si>
  <si>
    <t>The Weighted Average ERR for the Project is 16% over 20 years.  The ERRs for the individual activities analyzed are:</t>
  </si>
  <si>
    <t>Civil Legal:</t>
  </si>
  <si>
    <t xml:space="preserve">Land Administration: </t>
  </si>
  <si>
    <t>Computed Value</t>
  </si>
  <si>
    <t>Lesotho: Private Sector Development</t>
  </si>
  <si>
    <t>NPV (USD million @ 9.2%)</t>
  </si>
  <si>
    <t>Value</t>
  </si>
  <si>
    <t>Costs &amp; Benefits Summary</t>
  </si>
  <si>
    <t>Civil Legal Activity Costs &amp; Benefits</t>
  </si>
  <si>
    <t>Case inflow (number)</t>
  </si>
  <si>
    <t>Annual real economic growth rate</t>
  </si>
  <si>
    <t>Legal cost as % of case value without project</t>
  </si>
  <si>
    <t>Legal cost as % of case value with project</t>
  </si>
  <si>
    <t>Years to full development after Compact Entry-into-Force</t>
  </si>
  <si>
    <t>Incremental recurrent system costs (USD mil)</t>
  </si>
  <si>
    <t>Phasing of reduction in legal costs</t>
  </si>
  <si>
    <t>Reduction in costs from base</t>
  </si>
  <si>
    <t>Case value (USD million)</t>
  </si>
  <si>
    <t>Key Parameters</t>
  </si>
  <si>
    <t>Incremental legal cost savings (USD mil)</t>
  </si>
  <si>
    <t>Incremental costs (USD mil)</t>
  </si>
  <si>
    <t>Net incremental benefits (USD Mil)</t>
  </si>
  <si>
    <t>NPV (USD million @ 10%)</t>
  </si>
  <si>
    <t>Land Administration Activity Costs &amp; Benefits</t>
  </si>
  <si>
    <t>Swedesurvey report and data on deeds registry</t>
  </si>
  <si>
    <t xml:space="preserve">Swedesurvey report </t>
  </si>
  <si>
    <t>Swedesurvey report and consultants</t>
  </si>
  <si>
    <t>Project Impact Assumptions</t>
  </si>
  <si>
    <t>During Project</t>
  </si>
  <si>
    <t>After Project</t>
  </si>
  <si>
    <t>Registration Costs Per Parcel (Maloti)</t>
  </si>
  <si>
    <t>Advertisement</t>
  </si>
  <si>
    <t>Inpection</t>
  </si>
  <si>
    <t>Lease preparation</t>
  </si>
  <si>
    <t>Survey</t>
  </si>
  <si>
    <t>Time cost</t>
  </si>
  <si>
    <t>Total (USD)</t>
  </si>
  <si>
    <t>Registration cost per land value</t>
  </si>
  <si>
    <t xml:space="preserve">Equity contribution </t>
  </si>
  <si>
    <t>Total investment</t>
  </si>
  <si>
    <t>Total transaction costs (USD million)</t>
  </si>
  <si>
    <t xml:space="preserve">MCC Investment </t>
  </si>
  <si>
    <t>Incremental Costs</t>
  </si>
  <si>
    <t xml:space="preserve">Incremental institutional costs (est.) </t>
  </si>
  <si>
    <t>Incremental Net Benefits (USD million)</t>
  </si>
  <si>
    <t>Change in share of registered parcels which are mortgaged</t>
  </si>
  <si>
    <t>Total investment return</t>
  </si>
  <si>
    <t>Reduction in time to register parcel</t>
  </si>
  <si>
    <t>60% - 75%</t>
  </si>
  <si>
    <r>
      <t>Civil Legal Activity</t>
    </r>
    <r>
      <rPr>
        <sz val="10"/>
        <rFont val="Arial"/>
        <family val="2"/>
      </rPr>
      <t xml:space="preserve">
The analysis of the proposed civil legal project principally entailed estimating savings in legal costs arising from the improved adjudication of legal claims. The analysis considered an estimated backlog of legal cases to which 350 or more cases are added each year, assuming that cases entering the queue now typically require on average two years to process. The average case claim is valued at approximately USD 30,000. Current legal costs are estimated at 15 percent of the claim value. Under the Activity, legal costs are expected to halve through investments that improve case management.  Incremental recurrent costs in the operation of the improved commercial court system are also computed as part of the calculation of the project’s returns.</t>
    </r>
  </si>
  <si>
    <t>Incremental recurrent system costs in millions of USD (court costs, arbitration process costs, on-going legal training).</t>
  </si>
  <si>
    <t>Rate of registration without project (parcels/yr)</t>
  </si>
  <si>
    <t>Rate of mortgage registration without project (% of titles)</t>
  </si>
  <si>
    <t>Rate of property transfer without project (% of titles)</t>
  </si>
  <si>
    <t>Rate of property transfer with project (% of titles)</t>
  </si>
  <si>
    <t>Incremental parcels entering registry (years 2-5 of Project)</t>
  </si>
  <si>
    <t>40,000 - 70,000</t>
  </si>
  <si>
    <r>
      <t xml:space="preserve">     Payment and Settlement Systems Activity: </t>
    </r>
    <r>
      <rPr>
        <sz val="10"/>
        <rFont val="Arial"/>
        <family val="2"/>
      </rPr>
      <t>Will support the establishment of a legal and regulatory structure governing domestic and cross-border payments and implementation of a new payment and settlement system</t>
    </r>
  </si>
  <si>
    <t>This sheet calculates the annual net benefits of implementing land regularization programs, and computes the resulting ERR over a 20-year time period.</t>
  </si>
  <si>
    <t>With Project</t>
  </si>
  <si>
    <t>167 was the baseline…grow to 200-something</t>
  </si>
  <si>
    <t>MCC Estimate (closeout)</t>
  </si>
  <si>
    <t>User's Guide</t>
  </si>
  <si>
    <t>Closeout</t>
  </si>
  <si>
    <t>$20.95 million</t>
  </si>
  <si>
    <t>The Weighted Average ERR for the Project is 14.9% over 20 years.  The ERRs for the individual activities analyzed are:</t>
  </si>
  <si>
    <t>Table of Contents</t>
  </si>
  <si>
    <t>Notes</t>
  </si>
  <si>
    <t>Note</t>
  </si>
  <si>
    <t>Description</t>
  </si>
  <si>
    <t>3, 4</t>
  </si>
  <si>
    <t>MCC Staff using WB data on estimate of average plaintiff's costs (USD 30000) per case</t>
  </si>
  <si>
    <t>Estiamte from Government of Lesotho National Budget indicates ~0.50 mil USD</t>
  </si>
  <si>
    <t>Including court costs, arbitration process costs, on-going legal training</t>
  </si>
  <si>
    <t>Applied multiplier of 1.3</t>
  </si>
  <si>
    <t xml:space="preserve">     National ID</t>
  </si>
  <si>
    <t>Total Project</t>
  </si>
  <si>
    <t>Total Project ERR</t>
  </si>
  <si>
    <t>Credit Bureau and National ID Card activities were canceled, as was the Payment and Settlement Systems activity. Of the Cost Benefit analyses completed in compact development, only the Civil Legal Activity remained unchanged. For the Land Administration Activity, the number of parcels registered ended up significantly smaller than originally planned.</t>
  </si>
  <si>
    <t>(1) Civil Legal ERR: 13%</t>
  </si>
  <si>
    <t>(2) Land Administration: 16%</t>
  </si>
  <si>
    <t>(1) Civil Legal Activity</t>
  </si>
  <si>
    <t>This worksheet presents the annual costs and benefits of each activity.</t>
  </si>
  <si>
    <t>(3) Land Administration Reform Activity</t>
  </si>
  <si>
    <t>(2) Land Administration Reform Activity</t>
  </si>
  <si>
    <t>MCC Funding will support the following Project activities:</t>
  </si>
  <si>
    <r>
      <t xml:space="preserve">     Land Administration Reform Activity: </t>
    </r>
    <r>
      <rPr>
        <sz val="10"/>
        <rFont val="Arial"/>
        <family val="2"/>
      </rPr>
      <t>Will provide technical assistance to revise land reform legislation and policy and support the implementation of a land regularization program (titling) for urban and peri-urban areas</t>
    </r>
  </si>
  <si>
    <r>
      <t>Land Administration Reform Activity</t>
    </r>
    <r>
      <rPr>
        <sz val="10"/>
        <rFont val="Arial"/>
        <family val="2"/>
      </rPr>
      <t xml:space="preserve"> 
This activity is intended to expand the number of registered land parcels and so improve the prospects of using land to stimulate investment activity. To gauge the scale of the effect of expanding the registry, the analysis extrapolated from observations of on-going mortgage activity associated with the existing registry. The activity is expected to introduce 55,000 additional parcels into the registry within the Compact period than would have been otherwise expected. By the end of the Compact period the number of registered land parcels should approach 64,000 –72,000 as opposed to about 22,000 – 23,000 without the project.  The analysis based these estimated returns based on current real interest rate levels, incorporating a marginal return of 5 percent after financing, and accommodating default on 5 percent of the lending.</t>
    </r>
  </si>
  <si>
    <r>
      <t xml:space="preserve">     Training and Public Awareness to Support Gender Equality in Economic Rights Activity: </t>
    </r>
    <r>
      <rPr>
        <sz val="10"/>
        <rFont val="Arial"/>
        <family val="2"/>
      </rPr>
      <t xml:space="preserve">Will conduct training of judiciary and banking institutions in the application of new legislation concerning gender equality regarding economic rights </t>
    </r>
  </si>
  <si>
    <t>This Project was designed to increase private sector activity in Lesotho by improving access to credit, reducing transaction costs and increasing the participation of women in the economy. Project activities include improving land administration, modernizing the commercial legal system, strengthening payment and settlement systems, supporting the provision of credit bureau services, including assisting the roll-out of a national ID scheme, and training and outreach to support gender equality in economic rights.</t>
  </si>
  <si>
    <t>The activities were intended to address economy-wide constraints that affect access to credit, financial services and the costs of doing business.  As part of the MCC's economic assessment, an economic rate of return (ERR) was calculated for each of the first three Activities listed above, based on the following rationale:</t>
  </si>
  <si>
    <t>As the Credit Bureau and National ID Activity was cancelled, there is no closeout ERR. No ERR was calculated for the Gender Equality Activity. Finally, the Payment and Settlement Systems Activities were cancelled.</t>
  </si>
  <si>
    <t>*Weighted ERR for Total Project:</t>
  </si>
  <si>
    <t>*Note: The computed value weighted ERR excludes costs from the activities for which no individual ERR is calculated. The MCC Estimate weighted ERR includes these costs.</t>
  </si>
  <si>
    <t>An ERR for the Gender Activity was not estimated.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</si>
</sst>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quot;$&quot;#,##0"/>
    <numFmt numFmtId="166" formatCode="0.0%"/>
    <numFmt numFmtId="167" formatCode="_(&quot;$&quot;* #,##0_);_(&quot;$&quot;* \(#,##0\);_(&quot;$&quot;* &quot;-&quot;??_);_(@_)"/>
    <numFmt numFmtId="168" formatCode="_(&quot;$&quot;* #,##0.0_);_(&quot;$&quot;* \(#,##0.0\);_(&quot;$&quot;* &quot;-&quot;??_);_(@_)"/>
    <numFmt numFmtId="169" formatCode="_(* #,##0.0_);_(* \(#,##0.0\);_(* &quot;-&quot;?_);_(@_)"/>
    <numFmt numFmtId="170" formatCode="#,##0.0"/>
    <numFmt numFmtId="171" formatCode="#,##0.000"/>
    <numFmt numFmtId="172" formatCode="_-* #,##0.00_-;\-* #,##0.00_-;_-* &quot;-&quot;??_-;_-@_-"/>
    <numFmt numFmtId="173" formatCode="&quot;$&quot;#,##0.00"/>
    <numFmt numFmtId="174" formatCode="&quot;$&quot;#,##0;[Red]\-&quot;$&quot;#,##0"/>
    <numFmt numFmtId="175" formatCode="_-&quot;$&quot;* #,##0_-;\-&quot;$&quot;* #,##0_-;_-&quot;$&quot;* &quot;-&quot;??_-;_-@_-"/>
    <numFmt numFmtId="176" formatCode="_-&quot;$&quot;* #,##0.00_-;\-&quot;$&quot;* #,##0.00_-;_-&quot;$&quot;* &quot;-&quot;??_-;_-@_-"/>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440A]#,##0.00"/>
    <numFmt numFmtId="182" formatCode="[$$-440A]#,##0.00_ ;[Red]\-[$$-440A]#,##0.00\ "/>
    <numFmt numFmtId="183" formatCode="_-[$$-440A]* #,##0.00_ ;_-[$$-440A]* \-#,##0.00\ ;_-[$$-440A]* &quot;-&quot;??_ ;_-@_ "/>
    <numFmt numFmtId="184" formatCode="[$$-440A]#,##0"/>
    <numFmt numFmtId="185" formatCode="&quot;$&quot;#,##0.0"/>
    <numFmt numFmtId="186" formatCode="0.0"/>
    <numFmt numFmtId="187" formatCode="0.000"/>
    <numFmt numFmtId="188" formatCode="&quot;$&quot;#,##0.000"/>
    <numFmt numFmtId="189" formatCode="[$$-440A]#,##0.00_ ;\-[$$-440A]#,##0.00\ "/>
    <numFmt numFmtId="190" formatCode="_(* #,##0_);_(* \(#,##0\);_(* &quot;-&quot;??_);_(@_)"/>
    <numFmt numFmtId="191" formatCode="_-* #,##0.0\ _€_-;\-* #,##0.0\ _€_-;_-* &quot;-&quot;??\ _€_-;_-@_-"/>
    <numFmt numFmtId="192" formatCode="_-* #,##0\ _€_-;\-* #,##0\ _€_-;_-* &quot;-&quot;??\ _€_-;_-@_-"/>
    <numFmt numFmtId="193" formatCode="&quot;$&quot;#,##0.000_);\(&quot;$&quot;#,##0.000\)"/>
    <numFmt numFmtId="194" formatCode="&quot;Yes&quot;;&quot;Yes&quot;;&quot;No&quot;"/>
    <numFmt numFmtId="195" formatCode="&quot;True&quot;;&quot;True&quot;;&quot;False&quot;"/>
    <numFmt numFmtId="196" formatCode="&quot;On&quot;;&quot;On&quot;;&quot;Off&quot;"/>
    <numFmt numFmtId="197" formatCode="[$€-2]\ #,##0.00_);[Red]\([$€-2]\ #,##0.00\)"/>
    <numFmt numFmtId="198" formatCode="_(* #,##0.00000000_);_(* \(#,##0.00000000\);_(* &quot;-&quot;????????_);_(@_)"/>
    <numFmt numFmtId="199" formatCode="#,##0.00000"/>
    <numFmt numFmtId="200" formatCode="#,##0.0000"/>
    <numFmt numFmtId="201" formatCode="0,,"/>
    <numFmt numFmtId="202" formatCode="0.0,,"/>
    <numFmt numFmtId="203" formatCode="0.00,,"/>
    <numFmt numFmtId="204" formatCode="0.000,,"/>
    <numFmt numFmtId="205" formatCode="0.0000,,"/>
    <numFmt numFmtId="206" formatCode="0.0000"/>
    <numFmt numFmtId="207" formatCode="0.00000"/>
    <numFmt numFmtId="208" formatCode="[$-409]h:mm:ss\ AM/PM"/>
    <numFmt numFmtId="209" formatCode="[$-409]dddd\,\ mmmm\ dd\,\ yyyy"/>
    <numFmt numFmtId="210" formatCode="_(* #,##0.0_);_(* \(#,##0.0\);_(* &quot;-&quot;??_);_(@_)"/>
  </numFmts>
  <fonts count="66">
    <font>
      <sz val="10"/>
      <name val="Arial"/>
      <family val="0"/>
    </font>
    <font>
      <b/>
      <sz val="10"/>
      <name val="Arial"/>
      <family val="2"/>
    </font>
    <font>
      <i/>
      <sz val="10"/>
      <name val="Arial"/>
      <family val="2"/>
    </font>
    <font>
      <sz val="8"/>
      <name val="Arial"/>
      <family val="2"/>
    </font>
    <font>
      <sz val="14"/>
      <name val="Arial"/>
      <family val="2"/>
    </font>
    <font>
      <b/>
      <sz val="16"/>
      <name val="Arial"/>
      <family val="2"/>
    </font>
    <font>
      <b/>
      <sz val="10"/>
      <color indexed="12"/>
      <name val="Arial"/>
      <family val="2"/>
    </font>
    <font>
      <u val="single"/>
      <sz val="10"/>
      <color indexed="36"/>
      <name val="Arial"/>
      <family val="2"/>
    </font>
    <font>
      <u val="single"/>
      <sz val="10"/>
      <color indexed="12"/>
      <name val="Arial"/>
      <family val="2"/>
    </font>
    <font>
      <b/>
      <sz val="18"/>
      <color indexed="32"/>
      <name val="Arial"/>
      <family val="2"/>
    </font>
    <font>
      <sz val="8"/>
      <color indexed="17"/>
      <name val="Arial"/>
      <family val="2"/>
    </font>
    <font>
      <sz val="10"/>
      <color indexed="12"/>
      <name val="Arial"/>
      <family val="2"/>
    </font>
    <font>
      <b/>
      <sz val="12"/>
      <name val="Arial"/>
      <family val="2"/>
    </font>
    <font>
      <sz val="10"/>
      <color indexed="23"/>
      <name val="Arial"/>
      <family val="2"/>
    </font>
    <font>
      <b/>
      <sz val="10"/>
      <color indexed="55"/>
      <name val="Arial"/>
      <family val="2"/>
    </font>
    <font>
      <b/>
      <sz val="10"/>
      <color indexed="9"/>
      <name val="Arial"/>
      <family val="2"/>
    </font>
    <font>
      <i/>
      <sz val="8"/>
      <name val="Arial"/>
      <family val="2"/>
    </font>
    <font>
      <i/>
      <sz val="9"/>
      <name val="Arial"/>
      <family val="2"/>
    </font>
    <font>
      <sz val="11"/>
      <name val="Arial"/>
      <family val="2"/>
    </font>
    <font>
      <b/>
      <sz val="11"/>
      <name val="Arial"/>
      <family val="2"/>
    </font>
    <font>
      <b/>
      <sz val="12"/>
      <color indexed="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i/>
      <sz val="9"/>
      <color indexed="23"/>
      <name val="Arial"/>
      <family val="2"/>
    </font>
    <font>
      <sz val="11.5"/>
      <color indexed="8"/>
      <name val="Arial"/>
      <family val="0"/>
    </font>
    <font>
      <b/>
      <sz val="10"/>
      <color indexed="8"/>
      <name val="Arial"/>
      <family val="0"/>
    </font>
    <font>
      <b/>
      <sz val="12"/>
      <color indexed="8"/>
      <name val="Arial"/>
      <family val="0"/>
    </font>
    <font>
      <b/>
      <sz val="10.5"/>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4999699890613556"/>
      <name val="Arial"/>
      <family val="2"/>
    </font>
    <font>
      <i/>
      <sz val="9"/>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double"/>
      <top style="double"/>
      <bottom style="thin"/>
    </border>
    <border>
      <left style="double"/>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style="thin"/>
    </border>
    <border>
      <left style="double"/>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color indexed="63"/>
      </bottom>
    </border>
    <border>
      <left style="thin"/>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color indexed="63"/>
      </top>
      <bottom>
        <color indexed="63"/>
      </bottom>
    </border>
    <border>
      <left style="double"/>
      <right style="double"/>
      <top style="thin"/>
      <bottom style="thin"/>
    </border>
    <border>
      <left style="double"/>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double"/>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10" fontId="0" fillId="0" borderId="0" xfId="0" applyNumberFormat="1" applyFont="1" applyAlignment="1">
      <alignment/>
    </xf>
    <xf numFmtId="0" fontId="0" fillId="0" borderId="10" xfId="0" applyFont="1" applyFill="1" applyBorder="1" applyAlignment="1">
      <alignment vertical="center"/>
    </xf>
    <xf numFmtId="0" fontId="0" fillId="0" borderId="0" xfId="0" applyBorder="1" applyAlignment="1">
      <alignment/>
    </xf>
    <xf numFmtId="0" fontId="0" fillId="0" borderId="11" xfId="0" applyBorder="1" applyAlignment="1">
      <alignment/>
    </xf>
    <xf numFmtId="0" fontId="5" fillId="0" borderId="0" xfId="0" applyFont="1" applyAlignment="1">
      <alignment/>
    </xf>
    <xf numFmtId="0" fontId="4" fillId="0" borderId="0" xfId="0" applyFont="1" applyAlignment="1">
      <alignment/>
    </xf>
    <xf numFmtId="0" fontId="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right"/>
    </xf>
    <xf numFmtId="0" fontId="6"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0" xfId="0" applyFont="1" applyBorder="1" applyAlignment="1">
      <alignment vertical="center"/>
    </xf>
    <xf numFmtId="0" fontId="0" fillId="0" borderId="16" xfId="0" applyBorder="1" applyAlignment="1">
      <alignment vertical="center" wrapText="1"/>
    </xf>
    <xf numFmtId="9" fontId="6" fillId="33" borderId="0" xfId="0" applyNumberFormat="1" applyFont="1" applyFill="1" applyBorder="1" applyAlignment="1">
      <alignment horizontal="center" vertical="center"/>
    </xf>
    <xf numFmtId="9" fontId="0" fillId="0" borderId="16" xfId="0" applyNumberFormat="1" applyFont="1" applyBorder="1" applyAlignment="1">
      <alignment horizontal="center" vertical="center" wrapText="1"/>
    </xf>
    <xf numFmtId="0" fontId="0" fillId="0" borderId="17" xfId="0" applyFont="1" applyBorder="1" applyAlignment="1">
      <alignment horizontal="center" vertical="center" wrapText="1"/>
    </xf>
    <xf numFmtId="9" fontId="0" fillId="34" borderId="16"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1" fillId="0" borderId="16" xfId="53" applyFont="1" applyBorder="1" applyAlignment="1" applyProtection="1">
      <alignment vertical="center"/>
      <protection/>
    </xf>
    <xf numFmtId="9" fontId="0" fillId="0" borderId="0" xfId="0" applyNumberFormat="1" applyFont="1" applyAlignment="1">
      <alignment/>
    </xf>
    <xf numFmtId="0" fontId="0" fillId="0" borderId="19" xfId="0" applyFont="1" applyBorder="1" applyAlignment="1">
      <alignment vertical="center"/>
    </xf>
    <xf numFmtId="0" fontId="0" fillId="0" borderId="19" xfId="0" applyFont="1" applyFill="1" applyBorder="1" applyAlignment="1">
      <alignment horizontal="center" vertical="center"/>
    </xf>
    <xf numFmtId="0" fontId="1" fillId="0" borderId="20" xfId="0" applyFont="1" applyBorder="1" applyAlignment="1">
      <alignment horizontal="center"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xf>
    <xf numFmtId="0" fontId="10" fillId="0" borderId="0" xfId="0" applyFont="1" applyAlignment="1">
      <alignment horizontal="right"/>
    </xf>
    <xf numFmtId="0" fontId="2" fillId="0" borderId="0" xfId="0" applyFont="1" applyBorder="1" applyAlignment="1">
      <alignment vertical="center" wrapText="1"/>
    </xf>
    <xf numFmtId="0" fontId="5"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wrapText="1"/>
    </xf>
    <xf numFmtId="0" fontId="1" fillId="0" borderId="0" xfId="0" applyFont="1" applyBorder="1" applyAlignment="1">
      <alignment wrapText="1"/>
    </xf>
    <xf numFmtId="0" fontId="0" fillId="0" borderId="0" xfId="0" applyNumberFormat="1" applyBorder="1" applyAlignment="1">
      <alignment wrapText="1"/>
    </xf>
    <xf numFmtId="14" fontId="10" fillId="0" borderId="0" xfId="0" applyNumberFormat="1" applyFont="1" applyBorder="1" applyAlignment="1">
      <alignment horizontal="right"/>
    </xf>
    <xf numFmtId="0" fontId="15" fillId="0" borderId="0" xfId="0" applyFont="1" applyAlignment="1">
      <alignment horizontal="center" vertical="center"/>
    </xf>
    <xf numFmtId="0" fontId="0" fillId="0" borderId="0" xfId="0" applyFont="1" applyBorder="1" applyAlignment="1">
      <alignment vertical="center" wrapText="1"/>
    </xf>
    <xf numFmtId="202" fontId="0" fillId="0" borderId="0" xfId="0" applyNumberFormat="1" applyAlignment="1">
      <alignment/>
    </xf>
    <xf numFmtId="2" fontId="0" fillId="0" borderId="0" xfId="0" applyNumberFormat="1" applyAlignment="1">
      <alignment/>
    </xf>
    <xf numFmtId="203" fontId="0" fillId="0" borderId="0" xfId="0" applyNumberFormat="1" applyAlignment="1">
      <alignment/>
    </xf>
    <xf numFmtId="1" fontId="0" fillId="0" borderId="0" xfId="0" applyNumberFormat="1" applyAlignment="1">
      <alignment/>
    </xf>
    <xf numFmtId="187" fontId="0" fillId="0" borderId="0" xfId="0" applyNumberFormat="1" applyAlignment="1">
      <alignment/>
    </xf>
    <xf numFmtId="202" fontId="0" fillId="0" borderId="11" xfId="0" applyNumberFormat="1" applyBorder="1" applyAlignment="1">
      <alignment/>
    </xf>
    <xf numFmtId="9" fontId="0" fillId="0" borderId="0" xfId="0" applyNumberFormat="1" applyAlignment="1">
      <alignment/>
    </xf>
    <xf numFmtId="203" fontId="0" fillId="0" borderId="11" xfId="0" applyNumberFormat="1" applyBorder="1" applyAlignment="1">
      <alignment/>
    </xf>
    <xf numFmtId="166" fontId="0" fillId="0" borderId="0" xfId="60" applyNumberFormat="1" applyAlignment="1">
      <alignment/>
    </xf>
    <xf numFmtId="0" fontId="0" fillId="0" borderId="26" xfId="0" applyFont="1" applyBorder="1" applyAlignment="1">
      <alignment vertical="center"/>
    </xf>
    <xf numFmtId="0" fontId="0" fillId="0" borderId="11" xfId="0" applyBorder="1" applyAlignment="1">
      <alignment vertical="center"/>
    </xf>
    <xf numFmtId="2" fontId="0" fillId="0" borderId="0" xfId="0" applyNumberFormat="1" applyFont="1" applyAlignment="1">
      <alignment/>
    </xf>
    <xf numFmtId="0" fontId="0" fillId="0" borderId="27" xfId="0" applyFont="1" applyBorder="1" applyAlignment="1">
      <alignment vertical="center"/>
    </xf>
    <xf numFmtId="0" fontId="1" fillId="0" borderId="28" xfId="0" applyFont="1" applyBorder="1" applyAlignment="1">
      <alignment horizontal="left" vertical="center"/>
    </xf>
    <xf numFmtId="2" fontId="0" fillId="0" borderId="0" xfId="0" applyNumberFormat="1" applyFont="1" applyAlignment="1">
      <alignment/>
    </xf>
    <xf numFmtId="187" fontId="0" fillId="0" borderId="0" xfId="0" applyNumberFormat="1" applyFont="1" applyAlignment="1">
      <alignment/>
    </xf>
    <xf numFmtId="0" fontId="1" fillId="33" borderId="27" xfId="0" applyFont="1" applyFill="1" applyBorder="1" applyAlignment="1">
      <alignment/>
    </xf>
    <xf numFmtId="0" fontId="0" fillId="0" borderId="0" xfId="0" applyAlignment="1">
      <alignment horizontal="left"/>
    </xf>
    <xf numFmtId="0" fontId="1" fillId="0" borderId="0" xfId="0" applyFont="1" applyBorder="1" applyAlignment="1">
      <alignment horizontal="right"/>
    </xf>
    <xf numFmtId="0" fontId="0" fillId="0" borderId="0" xfId="0" applyFont="1" applyBorder="1" applyAlignment="1">
      <alignment/>
    </xf>
    <xf numFmtId="0" fontId="17" fillId="0" borderId="22" xfId="0" applyFont="1" applyBorder="1" applyAlignment="1">
      <alignment vertical="center"/>
    </xf>
    <xf numFmtId="9" fontId="0" fillId="0" borderId="0" xfId="60" applyFont="1" applyAlignment="1">
      <alignment/>
    </xf>
    <xf numFmtId="0" fontId="0" fillId="0" borderId="0" xfId="0" applyAlignment="1">
      <alignment vertical="center" wrapText="1"/>
    </xf>
    <xf numFmtId="10" fontId="0" fillId="0" borderId="0" xfId="0" applyNumberFormat="1" applyAlignment="1">
      <alignment/>
    </xf>
    <xf numFmtId="0" fontId="16" fillId="0" borderId="0" xfId="0" applyFont="1" applyAlignment="1">
      <alignment/>
    </xf>
    <xf numFmtId="0" fontId="1" fillId="0" borderId="29" xfId="0" applyFont="1" applyBorder="1" applyAlignment="1">
      <alignment/>
    </xf>
    <xf numFmtId="0" fontId="0" fillId="0" borderId="30" xfId="0" applyBorder="1" applyAlignment="1">
      <alignment/>
    </xf>
    <xf numFmtId="0" fontId="0" fillId="0" borderId="31" xfId="0" applyBorder="1" applyAlignment="1">
      <alignment/>
    </xf>
    <xf numFmtId="0" fontId="1" fillId="0" borderId="32" xfId="0" applyFont="1" applyBorder="1" applyAlignment="1">
      <alignment/>
    </xf>
    <xf numFmtId="0" fontId="0" fillId="0" borderId="33" xfId="0" applyBorder="1" applyAlignment="1">
      <alignment/>
    </xf>
    <xf numFmtId="0" fontId="0" fillId="0" borderId="34" xfId="0" applyBorder="1" applyAlignment="1">
      <alignment/>
    </xf>
    <xf numFmtId="190" fontId="0" fillId="0" borderId="0" xfId="42" applyNumberFormat="1" applyFont="1" applyBorder="1" applyAlignment="1">
      <alignment/>
    </xf>
    <xf numFmtId="190" fontId="0" fillId="0" borderId="34" xfId="42" applyNumberFormat="1" applyFont="1" applyBorder="1" applyAlignment="1">
      <alignment/>
    </xf>
    <xf numFmtId="190" fontId="0" fillId="0" borderId="12" xfId="42" applyNumberFormat="1" applyFont="1" applyBorder="1" applyAlignment="1">
      <alignment/>
    </xf>
    <xf numFmtId="190" fontId="0" fillId="0" borderId="35" xfId="42" applyNumberFormat="1" applyFont="1" applyBorder="1" applyAlignment="1">
      <alignment/>
    </xf>
    <xf numFmtId="167" fontId="0" fillId="0" borderId="0" xfId="44" applyNumberFormat="1" applyFont="1" applyBorder="1" applyAlignment="1">
      <alignment/>
    </xf>
    <xf numFmtId="9" fontId="0" fillId="0" borderId="34" xfId="60" applyFont="1" applyBorder="1" applyAlignment="1">
      <alignment/>
    </xf>
    <xf numFmtId="0" fontId="17" fillId="0" borderId="31" xfId="0" applyFont="1" applyBorder="1" applyAlignment="1">
      <alignment horizontal="left"/>
    </xf>
    <xf numFmtId="0" fontId="17" fillId="0" borderId="31" xfId="0" applyFont="1" applyBorder="1" applyAlignment="1">
      <alignment horizontal="left" indent="1"/>
    </xf>
    <xf numFmtId="167" fontId="17" fillId="0" borderId="0" xfId="44" applyNumberFormat="1" applyFont="1" applyBorder="1" applyAlignment="1">
      <alignment/>
    </xf>
    <xf numFmtId="0" fontId="17" fillId="0" borderId="32" xfId="0" applyFont="1" applyBorder="1" applyAlignment="1">
      <alignment horizontal="left" indent="1"/>
    </xf>
    <xf numFmtId="167" fontId="17" fillId="0" borderId="12" xfId="0" applyNumberFormat="1" applyFont="1" applyBorder="1" applyAlignment="1">
      <alignment/>
    </xf>
    <xf numFmtId="0" fontId="0" fillId="0" borderId="35" xfId="0" applyBorder="1" applyAlignment="1">
      <alignment/>
    </xf>
    <xf numFmtId="0" fontId="1" fillId="0" borderId="29" xfId="0" applyFont="1" applyBorder="1" applyAlignment="1">
      <alignment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166" fontId="0" fillId="0" borderId="34" xfId="0" applyNumberFormat="1" applyBorder="1" applyAlignment="1">
      <alignment/>
    </xf>
    <xf numFmtId="166" fontId="1" fillId="0" borderId="35" xfId="60" applyNumberFormat="1" applyFont="1" applyBorder="1" applyAlignment="1">
      <alignment/>
    </xf>
    <xf numFmtId="166" fontId="1" fillId="33" borderId="36" xfId="0" applyNumberFormat="1" applyFont="1" applyFill="1" applyBorder="1" applyAlignment="1">
      <alignment/>
    </xf>
    <xf numFmtId="0" fontId="0" fillId="0" borderId="22" xfId="0" applyFont="1" applyBorder="1" applyAlignment="1">
      <alignment horizontal="left" vertical="center" indent="1"/>
    </xf>
    <xf numFmtId="0" fontId="0" fillId="0" borderId="27" xfId="0" applyFont="1" applyBorder="1" applyAlignment="1">
      <alignment vertical="center" wrapText="1"/>
    </xf>
    <xf numFmtId="2" fontId="6" fillId="33" borderId="26" xfId="0" applyNumberFormat="1" applyFont="1" applyFill="1" applyBorder="1" applyAlignment="1">
      <alignment horizontal="center" vertical="center"/>
    </xf>
    <xf numFmtId="2" fontId="0" fillId="0" borderId="26" xfId="0" applyNumberFormat="1" applyFont="1" applyBorder="1" applyAlignment="1">
      <alignment horizontal="center" vertical="center"/>
    </xf>
    <xf numFmtId="2" fontId="0" fillId="0" borderId="28" xfId="0" applyNumberFormat="1" applyFont="1" applyBorder="1" applyAlignment="1">
      <alignment horizontal="center" vertical="center"/>
    </xf>
    <xf numFmtId="2" fontId="0" fillId="34" borderId="26" xfId="42" applyNumberFormat="1" applyFont="1" applyFill="1" applyBorder="1" applyAlignment="1">
      <alignment horizontal="center" vertical="center"/>
    </xf>
    <xf numFmtId="0" fontId="0" fillId="0" borderId="28" xfId="0" applyBorder="1" applyAlignment="1">
      <alignment vertical="center"/>
    </xf>
    <xf numFmtId="0" fontId="19" fillId="0" borderId="10" xfId="0" applyFont="1" applyBorder="1" applyAlignment="1">
      <alignment horizontal="right"/>
    </xf>
    <xf numFmtId="0" fontId="18" fillId="0" borderId="27" xfId="0" applyFont="1" applyBorder="1" applyAlignment="1">
      <alignment/>
    </xf>
    <xf numFmtId="0" fontId="20" fillId="0" borderId="0" xfId="0" applyNumberFormat="1" applyFont="1" applyAlignment="1">
      <alignment vertical="top"/>
    </xf>
    <xf numFmtId="0" fontId="0" fillId="0" borderId="0" xfId="0" applyAlignment="1">
      <alignment vertical="center"/>
    </xf>
    <xf numFmtId="0" fontId="1" fillId="0" borderId="37" xfId="0" applyFont="1" applyBorder="1" applyAlignment="1">
      <alignment/>
    </xf>
    <xf numFmtId="0" fontId="0" fillId="0" borderId="19" xfId="0" applyBorder="1" applyAlignment="1">
      <alignment/>
    </xf>
    <xf numFmtId="0" fontId="0" fillId="0" borderId="38" xfId="0" applyBorder="1" applyAlignment="1">
      <alignment/>
    </xf>
    <xf numFmtId="0" fontId="0" fillId="0" borderId="10" xfId="0" applyBorder="1" applyAlignment="1">
      <alignment/>
    </xf>
    <xf numFmtId="0" fontId="0" fillId="0" borderId="39" xfId="0" applyBorder="1" applyAlignment="1">
      <alignment/>
    </xf>
    <xf numFmtId="202" fontId="0" fillId="0" borderId="0" xfId="0" applyNumberFormat="1" applyBorder="1" applyAlignment="1">
      <alignment/>
    </xf>
    <xf numFmtId="202" fontId="0" fillId="0" borderId="17" xfId="0" applyNumberFormat="1" applyBorder="1" applyAlignment="1">
      <alignment/>
    </xf>
    <xf numFmtId="0" fontId="0" fillId="0" borderId="40" xfId="0" applyFont="1" applyBorder="1" applyAlignment="1">
      <alignment/>
    </xf>
    <xf numFmtId="0" fontId="0" fillId="0" borderId="27" xfId="0" applyBorder="1" applyAlignment="1">
      <alignment/>
    </xf>
    <xf numFmtId="0" fontId="0" fillId="0" borderId="28" xfId="0" applyBorder="1" applyAlignment="1">
      <alignment/>
    </xf>
    <xf numFmtId="0" fontId="0" fillId="0" borderId="36" xfId="0" applyBorder="1" applyAlignment="1">
      <alignment/>
    </xf>
    <xf numFmtId="0" fontId="0" fillId="0" borderId="37" xfId="0" applyBorder="1" applyAlignment="1">
      <alignment/>
    </xf>
    <xf numFmtId="202" fontId="0" fillId="0" borderId="19" xfId="0" applyNumberFormat="1" applyBorder="1" applyAlignment="1">
      <alignment/>
    </xf>
    <xf numFmtId="202" fontId="0" fillId="0" borderId="38" xfId="0" applyNumberFormat="1" applyBorder="1" applyAlignment="1">
      <alignment/>
    </xf>
    <xf numFmtId="0" fontId="0" fillId="0" borderId="40" xfId="0" applyBorder="1" applyAlignment="1">
      <alignment/>
    </xf>
    <xf numFmtId="1" fontId="0" fillId="0" borderId="0" xfId="0" applyNumberFormat="1" applyBorder="1" applyAlignment="1">
      <alignment/>
    </xf>
    <xf numFmtId="0" fontId="1" fillId="0" borderId="27" xfId="0" applyFont="1" applyBorder="1" applyAlignment="1">
      <alignment/>
    </xf>
    <xf numFmtId="0" fontId="1" fillId="0" borderId="11" xfId="0" applyFont="1" applyBorder="1" applyAlignment="1">
      <alignment horizontal="left"/>
    </xf>
    <xf numFmtId="0" fontId="1" fillId="0" borderId="11" xfId="0" applyFont="1" applyBorder="1" applyAlignment="1">
      <alignment/>
    </xf>
    <xf numFmtId="0" fontId="11" fillId="0" borderId="0" xfId="0" applyFont="1" applyAlignment="1">
      <alignment vertical="center" wrapText="1"/>
    </xf>
    <xf numFmtId="0" fontId="11" fillId="0" borderId="0" xfId="0" applyFont="1" applyAlignment="1">
      <alignment vertical="center"/>
    </xf>
    <xf numFmtId="187" fontId="0" fillId="0" borderId="0" xfId="0" applyNumberFormat="1" applyBorder="1" applyAlignment="1">
      <alignment/>
    </xf>
    <xf numFmtId="187" fontId="0" fillId="0" borderId="17" xfId="0" applyNumberFormat="1" applyBorder="1" applyAlignment="1">
      <alignment/>
    </xf>
    <xf numFmtId="2" fontId="0" fillId="0" borderId="11" xfId="0" applyNumberFormat="1" applyBorder="1" applyAlignment="1">
      <alignment/>
    </xf>
    <xf numFmtId="187" fontId="0" fillId="0" borderId="11" xfId="0" applyNumberFormat="1" applyBorder="1" applyAlignment="1">
      <alignment/>
    </xf>
    <xf numFmtId="187" fontId="0" fillId="0" borderId="39" xfId="0" applyNumberFormat="1" applyBorder="1" applyAlignment="1">
      <alignment/>
    </xf>
    <xf numFmtId="0" fontId="0" fillId="0" borderId="0" xfId="0" applyFont="1" applyBorder="1" applyAlignment="1">
      <alignment/>
    </xf>
    <xf numFmtId="202" fontId="0" fillId="0" borderId="0" xfId="0" applyNumberFormat="1" applyFont="1" applyBorder="1" applyAlignment="1">
      <alignment/>
    </xf>
    <xf numFmtId="0" fontId="0" fillId="0" borderId="17" xfId="0" applyBorder="1" applyAlignment="1">
      <alignment/>
    </xf>
    <xf numFmtId="1" fontId="0" fillId="0" borderId="17" xfId="0" applyNumberFormat="1" applyBorder="1" applyAlignment="1">
      <alignment/>
    </xf>
    <xf numFmtId="203" fontId="0" fillId="0" borderId="39" xfId="0" applyNumberFormat="1" applyBorder="1" applyAlignment="1">
      <alignment/>
    </xf>
    <xf numFmtId="203" fontId="0" fillId="0" borderId="19" xfId="0" applyNumberFormat="1" applyBorder="1" applyAlignment="1">
      <alignment/>
    </xf>
    <xf numFmtId="203" fontId="0" fillId="0" borderId="38" xfId="0" applyNumberFormat="1" applyBorder="1" applyAlignment="1">
      <alignment/>
    </xf>
    <xf numFmtId="0" fontId="1" fillId="0" borderId="10" xfId="0" applyFont="1" applyBorder="1" applyAlignment="1">
      <alignment/>
    </xf>
    <xf numFmtId="203" fontId="0" fillId="0" borderId="0" xfId="0" applyNumberFormat="1" applyBorder="1" applyAlignment="1">
      <alignment/>
    </xf>
    <xf numFmtId="203" fontId="0" fillId="0" borderId="17" xfId="0" applyNumberFormat="1" applyBorder="1" applyAlignment="1">
      <alignment/>
    </xf>
    <xf numFmtId="203" fontId="0" fillId="0" borderId="0" xfId="0" applyNumberFormat="1" applyFont="1" applyFill="1" applyBorder="1" applyAlignment="1">
      <alignment/>
    </xf>
    <xf numFmtId="0" fontId="1" fillId="0" borderId="40" xfId="0" applyFont="1" applyBorder="1" applyAlignment="1">
      <alignment/>
    </xf>
    <xf numFmtId="0" fontId="2" fillId="0" borderId="37" xfId="0" applyFont="1" applyBorder="1" applyAlignment="1">
      <alignment/>
    </xf>
    <xf numFmtId="203" fontId="2" fillId="0" borderId="38" xfId="0" applyNumberFormat="1" applyFont="1" applyBorder="1" applyAlignment="1">
      <alignment/>
    </xf>
    <xf numFmtId="0" fontId="2" fillId="0" borderId="40" xfId="0" applyFont="1" applyBorder="1" applyAlignment="1">
      <alignment/>
    </xf>
    <xf numFmtId="203" fontId="2" fillId="0" borderId="39" xfId="0" applyNumberFormat="1" applyFont="1" applyBorder="1" applyAlignment="1">
      <alignment/>
    </xf>
    <xf numFmtId="0" fontId="0" fillId="0" borderId="11" xfId="0" applyBorder="1" applyAlignment="1">
      <alignment horizontal="center" vertical="center" wrapText="1"/>
    </xf>
    <xf numFmtId="203" fontId="0" fillId="0" borderId="28" xfId="0" applyNumberFormat="1" applyBorder="1" applyAlignment="1">
      <alignment/>
    </xf>
    <xf numFmtId="203" fontId="0" fillId="0" borderId="36" xfId="0" applyNumberFormat="1" applyBorder="1" applyAlignment="1">
      <alignment/>
    </xf>
    <xf numFmtId="2" fontId="0" fillId="0" borderId="0" xfId="0" applyNumberFormat="1" applyFont="1" applyBorder="1" applyAlignment="1">
      <alignment/>
    </xf>
    <xf numFmtId="9" fontId="0" fillId="0" borderId="0" xfId="60" applyFont="1" applyAlignment="1">
      <alignment/>
    </xf>
    <xf numFmtId="0" fontId="11" fillId="0" borderId="0" xfId="0" applyFont="1" applyFill="1" applyBorder="1" applyAlignment="1">
      <alignment/>
    </xf>
    <xf numFmtId="9" fontId="11" fillId="0" borderId="0" xfId="60" applyFont="1" applyBorder="1" applyAlignment="1">
      <alignment/>
    </xf>
    <xf numFmtId="9" fontId="6" fillId="33" borderId="26" xfId="60" applyFont="1" applyFill="1" applyBorder="1" applyAlignment="1">
      <alignment horizontal="center" vertical="center"/>
    </xf>
    <xf numFmtId="9" fontId="0" fillId="34" borderId="26" xfId="60" applyFont="1" applyFill="1" applyBorder="1" applyAlignment="1">
      <alignment horizontal="center" vertical="center"/>
    </xf>
    <xf numFmtId="49" fontId="0" fillId="0" borderId="28" xfId="0" applyNumberFormat="1" applyFont="1" applyBorder="1" applyAlignment="1">
      <alignment horizontal="center" vertical="center"/>
    </xf>
    <xf numFmtId="9" fontId="0" fillId="0" borderId="26" xfId="60" applyFont="1" applyBorder="1" applyAlignment="1">
      <alignment horizontal="center" vertical="center"/>
    </xf>
    <xf numFmtId="0" fontId="19" fillId="0" borderId="27" xfId="0" applyFont="1" applyBorder="1" applyAlignment="1">
      <alignment horizontal="right"/>
    </xf>
    <xf numFmtId="0" fontId="21" fillId="0" borderId="10" xfId="0" applyFont="1" applyFill="1" applyBorder="1" applyAlignment="1">
      <alignment horizontal="right"/>
    </xf>
    <xf numFmtId="0" fontId="21" fillId="0" borderId="40" xfId="0" applyFont="1" applyBorder="1" applyAlignment="1">
      <alignment horizontal="right"/>
    </xf>
    <xf numFmtId="166" fontId="19" fillId="35" borderId="10" xfId="60" applyNumberFormat="1" applyFont="1" applyFill="1" applyBorder="1" applyAlignment="1">
      <alignment horizontal="center"/>
    </xf>
    <xf numFmtId="166" fontId="19" fillId="35" borderId="17" xfId="6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0" borderId="17" xfId="0" applyNumberFormat="1" applyFont="1" applyFill="1" applyBorder="1" applyAlignment="1">
      <alignment horizontal="center"/>
    </xf>
    <xf numFmtId="0" fontId="2" fillId="0" borderId="0" xfId="0" applyFont="1" applyBorder="1" applyAlignment="1">
      <alignment wrapText="1"/>
    </xf>
    <xf numFmtId="0" fontId="0" fillId="0" borderId="0" xfId="0" applyFont="1" applyBorder="1" applyAlignment="1">
      <alignment wrapText="1"/>
    </xf>
    <xf numFmtId="0" fontId="0" fillId="0" borderId="11" xfId="0" applyFont="1" applyBorder="1" applyAlignment="1">
      <alignment/>
    </xf>
    <xf numFmtId="9" fontId="0" fillId="0" borderId="11" xfId="60" applyNumberFormat="1" applyFont="1" applyFill="1" applyBorder="1" applyAlignment="1">
      <alignment/>
    </xf>
    <xf numFmtId="190" fontId="11" fillId="0" borderId="0" xfId="42" applyNumberFormat="1" applyFont="1" applyBorder="1" applyAlignment="1">
      <alignment/>
    </xf>
    <xf numFmtId="190" fontId="0" fillId="0" borderId="0" xfId="0" applyNumberFormat="1" applyBorder="1" applyAlignment="1">
      <alignment/>
    </xf>
    <xf numFmtId="3" fontId="0" fillId="34" borderId="26" xfId="42" applyNumberFormat="1" applyFont="1" applyFill="1" applyBorder="1" applyAlignment="1">
      <alignment horizontal="center" vertical="center"/>
    </xf>
    <xf numFmtId="3" fontId="0" fillId="0" borderId="26" xfId="42" applyNumberFormat="1" applyFont="1" applyBorder="1" applyAlignment="1">
      <alignment horizontal="center" vertical="center"/>
    </xf>
    <xf numFmtId="3" fontId="6" fillId="33" borderId="26" xfId="42" applyNumberFormat="1" applyFont="1" applyFill="1" applyBorder="1" applyAlignment="1">
      <alignment horizontal="center" vertical="center"/>
    </xf>
    <xf numFmtId="0" fontId="0" fillId="0" borderId="0" xfId="57" applyAlignment="1">
      <alignment vertical="center" wrapText="1"/>
      <protection/>
    </xf>
    <xf numFmtId="0" fontId="10" fillId="0" borderId="0" xfId="57" applyFont="1" applyAlignment="1">
      <alignment horizontal="right"/>
      <protection/>
    </xf>
    <xf numFmtId="0" fontId="1" fillId="0" borderId="0" xfId="0" applyFont="1" applyBorder="1" applyAlignment="1">
      <alignment/>
    </xf>
    <xf numFmtId="0" fontId="0" fillId="36" borderId="0" xfId="0" applyFont="1" applyFill="1" applyAlignment="1">
      <alignment/>
    </xf>
    <xf numFmtId="0" fontId="63" fillId="0" borderId="0" xfId="0" applyFont="1" applyAlignment="1">
      <alignment/>
    </xf>
    <xf numFmtId="0" fontId="8" fillId="0" borderId="16" xfId="53" applyBorder="1" applyAlignment="1" applyProtection="1">
      <alignment horizontal="center" vertical="center"/>
      <protection/>
    </xf>
    <xf numFmtId="0" fontId="0" fillId="0" borderId="18" xfId="0" applyFont="1" applyBorder="1" applyAlignment="1">
      <alignment/>
    </xf>
    <xf numFmtId="166" fontId="0" fillId="0" borderId="41" xfId="0" applyNumberFormat="1" applyFont="1" applyBorder="1" applyAlignment="1">
      <alignment horizontal="left" vertical="center" wrapText="1"/>
    </xf>
    <xf numFmtId="0" fontId="0" fillId="0" borderId="0" xfId="0" applyBorder="1" applyAlignment="1">
      <alignment vertical="center"/>
    </xf>
    <xf numFmtId="0" fontId="8" fillId="0" borderId="0" xfId="53" applyBorder="1" applyAlignment="1" applyProtection="1">
      <alignment vertical="center" wrapText="1"/>
      <protection/>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42" xfId="0" applyFont="1" applyBorder="1" applyAlignment="1">
      <alignment horizontal="left" vertical="center" indent="1"/>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left"/>
    </xf>
    <xf numFmtId="0" fontId="0" fillId="0" borderId="0" xfId="0" applyAlignment="1">
      <alignment horizontal="right" vertical="center"/>
    </xf>
    <xf numFmtId="0" fontId="0" fillId="0" borderId="0" xfId="0" applyBorder="1" applyAlignment="1">
      <alignment horizontal="right" vertical="center"/>
    </xf>
    <xf numFmtId="2" fontId="0" fillId="0" borderId="0" xfId="0" applyNumberFormat="1" applyBorder="1" applyAlignment="1">
      <alignment/>
    </xf>
    <xf numFmtId="0" fontId="0" fillId="0" borderId="17" xfId="0" applyFont="1" applyBorder="1" applyAlignment="1">
      <alignment horizontal="right"/>
    </xf>
    <xf numFmtId="0" fontId="0" fillId="0" borderId="38" xfId="0" applyBorder="1" applyAlignment="1">
      <alignment horizontal="right" vertical="center"/>
    </xf>
    <xf numFmtId="0" fontId="0" fillId="0" borderId="17" xfId="0" applyBorder="1" applyAlignment="1">
      <alignment horizontal="right" vertical="center"/>
    </xf>
    <xf numFmtId="0" fontId="0" fillId="0" borderId="17" xfId="0" applyFont="1" applyBorder="1" applyAlignment="1">
      <alignment horizontal="right" vertical="center"/>
    </xf>
    <xf numFmtId="0" fontId="1" fillId="0" borderId="39" xfId="0" applyFont="1" applyBorder="1" applyAlignment="1">
      <alignment/>
    </xf>
    <xf numFmtId="0" fontId="0" fillId="0" borderId="10" xfId="0" applyFont="1" applyBorder="1" applyAlignment="1">
      <alignment horizontal="left" vertical="center"/>
    </xf>
    <xf numFmtId="0" fontId="0" fillId="0" borderId="17" xfId="0" applyFont="1" applyBorder="1" applyAlignment="1">
      <alignment horizontal="left" vertical="center"/>
    </xf>
    <xf numFmtId="166" fontId="1" fillId="0" borderId="0" xfId="60" applyNumberFormat="1" applyFont="1" applyBorder="1" applyAlignment="1">
      <alignment/>
    </xf>
    <xf numFmtId="0" fontId="1" fillId="0" borderId="43" xfId="0" applyFont="1" applyFill="1" applyBorder="1" applyAlignment="1">
      <alignment/>
    </xf>
    <xf numFmtId="44" fontId="0" fillId="0" borderId="44" xfId="0" applyNumberFormat="1" applyBorder="1" applyAlignment="1">
      <alignment/>
    </xf>
    <xf numFmtId="44" fontId="0" fillId="0" borderId="45" xfId="0" applyNumberFormat="1" applyBorder="1" applyAlignment="1">
      <alignment/>
    </xf>
    <xf numFmtId="0" fontId="0" fillId="0" borderId="46" xfId="0" applyFont="1" applyBorder="1" applyAlignment="1">
      <alignment horizontal="left" vertical="center" indent="1"/>
    </xf>
    <xf numFmtId="0" fontId="0" fillId="0" borderId="47" xfId="0" applyFont="1" applyBorder="1" applyAlignment="1">
      <alignment vertical="center" wrapText="1"/>
    </xf>
    <xf numFmtId="0" fontId="0" fillId="0" borderId="46" xfId="0" applyBorder="1" applyAlignment="1">
      <alignment/>
    </xf>
    <xf numFmtId="0" fontId="0" fillId="0" borderId="48" xfId="0" applyBorder="1" applyAlignment="1">
      <alignment/>
    </xf>
    <xf numFmtId="0" fontId="8" fillId="0" borderId="10" xfId="53" applyBorder="1" applyAlignment="1" applyProtection="1">
      <alignment horizontal="left" vertical="center"/>
      <protection/>
    </xf>
    <xf numFmtId="0" fontId="64" fillId="0" borderId="22" xfId="0" applyFont="1" applyBorder="1" applyAlignment="1">
      <alignment vertical="center" wrapText="1"/>
    </xf>
    <xf numFmtId="0" fontId="64" fillId="0" borderId="41" xfId="0" applyFont="1" applyBorder="1" applyAlignment="1">
      <alignment vertical="center" wrapText="1"/>
    </xf>
    <xf numFmtId="0" fontId="64" fillId="0" borderId="41" xfId="0" applyFont="1" applyBorder="1" applyAlignment="1">
      <alignment vertical="center"/>
    </xf>
    <xf numFmtId="0" fontId="64" fillId="0" borderId="22" xfId="0" applyFont="1" applyBorder="1" applyAlignment="1">
      <alignment vertical="center"/>
    </xf>
    <xf numFmtId="0" fontId="65" fillId="0" borderId="22" xfId="0" applyFont="1" applyBorder="1" applyAlignment="1">
      <alignment vertical="center"/>
    </xf>
    <xf numFmtId="0" fontId="64" fillId="0" borderId="24" xfId="0" applyFont="1" applyBorder="1" applyAlignment="1">
      <alignment vertical="center" wrapText="1"/>
    </xf>
    <xf numFmtId="166" fontId="64" fillId="0" borderId="41" xfId="0" applyNumberFormat="1" applyFont="1" applyBorder="1" applyAlignment="1">
      <alignment horizontal="left" vertical="center" wrapText="1"/>
    </xf>
    <xf numFmtId="0" fontId="64" fillId="0" borderId="22" xfId="0" applyFont="1" applyBorder="1" applyAlignment="1">
      <alignment horizontal="left" vertical="center" indent="1"/>
    </xf>
    <xf numFmtId="0" fontId="64" fillId="0" borderId="10" xfId="0" applyFont="1" applyBorder="1" applyAlignment="1">
      <alignment horizontal="left" vertical="center" indent="1"/>
    </xf>
    <xf numFmtId="0" fontId="64" fillId="0" borderId="42" xfId="0" applyFont="1" applyBorder="1" applyAlignment="1">
      <alignment horizontal="left" vertical="center" indent="1"/>
    </xf>
    <xf numFmtId="0" fontId="0" fillId="0" borderId="1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8" fillId="0" borderId="10" xfId="53" applyBorder="1" applyAlignment="1" applyProtection="1">
      <alignment horizontal="left" vertical="center" wrapText="1"/>
      <protection/>
    </xf>
    <xf numFmtId="0" fontId="8" fillId="0" borderId="17" xfId="53" applyBorder="1" applyAlignment="1" applyProtection="1">
      <alignment horizontal="left" vertical="center" wrapText="1"/>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5" fillId="0" borderId="0" xfId="0" applyFont="1" applyAlignment="1">
      <alignment horizontal="center"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51" xfId="0" applyFont="1" applyBorder="1" applyAlignment="1">
      <alignment horizontal="left" vertical="center" wrapText="1"/>
    </xf>
    <xf numFmtId="0" fontId="1" fillId="0" borderId="37" xfId="0" applyFont="1" applyBorder="1" applyAlignment="1">
      <alignment horizontal="center"/>
    </xf>
    <xf numFmtId="0" fontId="1" fillId="0" borderId="38" xfId="0" applyFont="1"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vertical="center" wrapText="1"/>
    </xf>
    <xf numFmtId="0" fontId="0" fillId="0" borderId="0" xfId="0" applyAlignment="1">
      <alignment horizontal="left" wrapText="1"/>
    </xf>
    <xf numFmtId="0" fontId="12" fillId="0" borderId="15" xfId="0" applyFont="1" applyBorder="1" applyAlignment="1">
      <alignment horizontal="left" vertical="center"/>
    </xf>
    <xf numFmtId="0" fontId="0" fillId="0" borderId="52" xfId="0" applyBorder="1" applyAlignment="1">
      <alignment/>
    </xf>
    <xf numFmtId="0" fontId="12" fillId="0" borderId="52" xfId="0" applyFont="1"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6" xfId="0" applyFont="1" applyBorder="1" applyAlignment="1">
      <alignment horizontal="center" vertical="center"/>
    </xf>
    <xf numFmtId="166" fontId="19" fillId="35" borderId="27" xfId="60" applyNumberFormat="1" applyFont="1" applyFill="1" applyBorder="1" applyAlignment="1">
      <alignment horizontal="center"/>
    </xf>
    <xf numFmtId="166" fontId="19" fillId="35" borderId="36" xfId="60" applyNumberFormat="1" applyFont="1" applyFill="1" applyBorder="1" applyAlignment="1">
      <alignment horizontal="center"/>
    </xf>
    <xf numFmtId="0" fontId="19" fillId="0" borderId="27" xfId="0" applyFont="1" applyFill="1" applyBorder="1" applyAlignment="1">
      <alignment horizontal="center"/>
    </xf>
    <xf numFmtId="0" fontId="19" fillId="0" borderId="36" xfId="0" applyFont="1" applyFill="1" applyBorder="1" applyAlignment="1">
      <alignment horizontal="center"/>
    </xf>
    <xf numFmtId="0" fontId="1" fillId="0" borderId="0" xfId="57" applyFont="1" applyFill="1" applyAlignment="1">
      <alignment horizontal="left" vertical="center" wrapText="1"/>
      <protection/>
    </xf>
    <xf numFmtId="166" fontId="21" fillId="35" borderId="10" xfId="60" applyNumberFormat="1" applyFont="1" applyFill="1" applyBorder="1" applyAlignment="1">
      <alignment horizontal="center"/>
    </xf>
    <xf numFmtId="166" fontId="21" fillId="35" borderId="17" xfId="60" applyNumberFormat="1" applyFont="1" applyFill="1" applyBorder="1" applyAlignment="1">
      <alignment horizontal="center"/>
    </xf>
    <xf numFmtId="166" fontId="21" fillId="35" borderId="40" xfId="60" applyNumberFormat="1" applyFont="1" applyFill="1" applyBorder="1" applyAlignment="1">
      <alignment horizontal="center"/>
    </xf>
    <xf numFmtId="166" fontId="21" fillId="35" borderId="39" xfId="60" applyNumberFormat="1" applyFont="1" applyFill="1" applyBorder="1" applyAlignment="1">
      <alignment horizontal="center"/>
    </xf>
    <xf numFmtId="0" fontId="19" fillId="0" borderId="28" xfId="0" applyFont="1" applyBorder="1" applyAlignment="1">
      <alignment horizontal="center"/>
    </xf>
    <xf numFmtId="0" fontId="19" fillId="0" borderId="36" xfId="0" applyFont="1" applyBorder="1" applyAlignment="1">
      <alignment horizontal="center"/>
    </xf>
    <xf numFmtId="166" fontId="19" fillId="0" borderId="28" xfId="0" applyNumberFormat="1" applyFont="1" applyFill="1" applyBorder="1" applyAlignment="1">
      <alignment horizontal="center"/>
    </xf>
    <xf numFmtId="166" fontId="19" fillId="0" borderId="36" xfId="0" applyNumberFormat="1" applyFont="1" applyFill="1" applyBorder="1" applyAlignment="1">
      <alignment horizontal="center"/>
    </xf>
    <xf numFmtId="166" fontId="21" fillId="0" borderId="0" xfId="0" applyNumberFormat="1" applyFont="1" applyFill="1" applyBorder="1" applyAlignment="1">
      <alignment horizontal="center"/>
    </xf>
    <xf numFmtId="166" fontId="21" fillId="0" borderId="17" xfId="0" applyNumberFormat="1" applyFont="1" applyFill="1" applyBorder="1" applyAlignment="1">
      <alignment horizontal="center"/>
    </xf>
    <xf numFmtId="166" fontId="21" fillId="0" borderId="11" xfId="0" applyNumberFormat="1" applyFont="1" applyFill="1" applyBorder="1" applyAlignment="1">
      <alignment horizontal="center"/>
    </xf>
    <xf numFmtId="166" fontId="21" fillId="0" borderId="39" xfId="0" applyNumberFormat="1" applyFont="1" applyFill="1" applyBorder="1" applyAlignment="1">
      <alignment horizontal="center"/>
    </xf>
    <xf numFmtId="0" fontId="5" fillId="0" borderId="0" xfId="0" applyFont="1" applyAlignment="1">
      <alignment horizontal="left" vertical="center" wrapText="1"/>
    </xf>
    <xf numFmtId="0" fontId="1" fillId="0" borderId="0" xfId="0" applyFont="1" applyAlignment="1">
      <alignment horizontal="left"/>
    </xf>
    <xf numFmtId="0" fontId="0" fillId="0" borderId="0" xfId="0" applyAlignment="1">
      <alignment horizontal="left" vertical="center" wrapText="1"/>
    </xf>
    <xf numFmtId="0" fontId="0" fillId="0" borderId="0" xfId="0" applyAlignment="1">
      <alignment horizontal="center"/>
    </xf>
    <xf numFmtId="0" fontId="1"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sotho - Health - v2" xfId="57"/>
    <cellStyle name="Note" xfId="58"/>
    <cellStyle name="Output" xfId="59"/>
    <cellStyle name="Percent" xfId="60"/>
    <cellStyle name="Title" xfId="61"/>
    <cellStyle name="Total" xfId="62"/>
    <cellStyle name="Warning Text" xfId="63"/>
  </cellStyles>
  <dxfs count="2">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Annual Undiscounted Net Benefits of Private Sector Development Project</a:t>
            </a:r>
            <a:r>
              <a:rPr lang="en-US" cap="none" sz="105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(excluding Payment System and Gender Equity Activities)</a:t>
            </a:r>
          </a:p>
        </c:rich>
      </c:tx>
      <c:layout>
        <c:manualLayout>
          <c:xMode val="factor"/>
          <c:yMode val="factor"/>
          <c:x val="0.00125"/>
          <c:y val="0"/>
        </c:manualLayout>
      </c:layout>
      <c:spPr>
        <a:noFill/>
        <a:ln>
          <a:noFill/>
        </a:ln>
      </c:spPr>
    </c:title>
    <c:plotArea>
      <c:layout>
        <c:manualLayout>
          <c:xMode val="edge"/>
          <c:yMode val="edge"/>
          <c:x val="0.042"/>
          <c:y val="0.18925"/>
          <c:w val="0.94575"/>
          <c:h val="0.716"/>
        </c:manualLayout>
      </c:layout>
      <c:areaChart>
        <c:grouping val="standard"/>
        <c:varyColors val="0"/>
        <c:ser>
          <c:idx val="0"/>
          <c:order val="0"/>
          <c:tx>
            <c:strRef>
              <c:f>'Costs &amp; Benefits Summary'!$B$19</c:f>
              <c:strCache>
                <c:ptCount val="1"/>
                <c:pt idx="0">
                  <c:v>Total</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'Costs &amp; Benefits Summary'!$C$19:$V$19</c:f>
              <c:numCache>
                <c:ptCount val="20"/>
                <c:pt idx="0">
                  <c:v>-3573647.919</c:v>
                </c:pt>
                <c:pt idx="1">
                  <c:v>-12261091.41590476</c:v>
                </c:pt>
                <c:pt idx="2">
                  <c:v>-9724956.994275508</c:v>
                </c:pt>
                <c:pt idx="3">
                  <c:v>-7144647.920251699</c:v>
                </c:pt>
                <c:pt idx="4">
                  <c:v>-3245705.026588843</c:v>
                </c:pt>
                <c:pt idx="5">
                  <c:v>1619272.4123132569</c:v>
                </c:pt>
                <c:pt idx="6">
                  <c:v>3224366.232321427</c:v>
                </c:pt>
                <c:pt idx="7">
                  <c:v>4846538.860158332</c:v>
                </c:pt>
                <c:pt idx="8">
                  <c:v>6490083.104932926</c:v>
                </c:pt>
                <c:pt idx="9">
                  <c:v>8096262.574793489</c:v>
                </c:pt>
                <c:pt idx="10">
                  <c:v>9719542.565479835</c:v>
                </c:pt>
                <c:pt idx="11">
                  <c:v>11359930.606075142</c:v>
                </c:pt>
                <c:pt idx="12">
                  <c:v>13021720.090529978</c:v>
                </c:pt>
                <c:pt idx="13">
                  <c:v>14646175.223531056</c:v>
                </c:pt>
                <c:pt idx="14">
                  <c:v>16287761.909287391</c:v>
                </c:pt>
                <c:pt idx="15">
                  <c:v>17946488.297520768</c:v>
                </c:pt>
                <c:pt idx="16">
                  <c:v>19622362.700947367</c:v>
                </c:pt>
                <c:pt idx="17">
                  <c:v>21319679.31282346</c:v>
                </c:pt>
                <c:pt idx="18">
                  <c:v>22979703.15312755</c:v>
                </c:pt>
                <c:pt idx="19">
                  <c:v>24656900.957666293</c:v>
                </c:pt>
              </c:numCache>
            </c:numRef>
          </c:val>
        </c:ser>
        <c:axId val="30639974"/>
        <c:axId val="7324311"/>
      </c:areaChart>
      <c:catAx>
        <c:axId val="306399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005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324311"/>
        <c:crosses val="autoZero"/>
        <c:auto val="1"/>
        <c:lblOffset val="100"/>
        <c:tickLblSkip val="1"/>
        <c:noMultiLvlLbl val="0"/>
      </c:catAx>
      <c:valAx>
        <c:axId val="73243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USD (Mil)</a:t>
                </a:r>
              </a:p>
            </c:rich>
          </c:tx>
          <c:layout>
            <c:manualLayout>
              <c:xMode val="factor"/>
              <c:yMode val="factor"/>
              <c:x val="-0.006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639974"/>
        <c:crossesAt val="1"/>
        <c:crossBetween val="midCat"/>
        <c:dispUnits/>
      </c:valAx>
      <c:spPr>
        <a:no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714375</xdr:colOff>
      <xdr:row>6</xdr:row>
      <xdr:rowOff>57150</xdr:rowOff>
    </xdr:to>
    <xdr:pic>
      <xdr:nvPicPr>
        <xdr:cNvPr id="1" name="Picture 1"/>
        <xdr:cNvPicPr preferRelativeResize="1">
          <a:picLocks noChangeAspect="1"/>
        </xdr:cNvPicPr>
      </xdr:nvPicPr>
      <xdr:blipFill>
        <a:blip r:embed="rId1"/>
        <a:stretch>
          <a:fillRect/>
        </a:stretch>
      </xdr:blipFill>
      <xdr:spPr>
        <a:xfrm>
          <a:off x="247650" y="161925"/>
          <a:ext cx="28956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2190750</xdr:colOff>
      <xdr:row>1</xdr:row>
      <xdr:rowOff>9525</xdr:rowOff>
    </xdr:to>
    <xdr:pic>
      <xdr:nvPicPr>
        <xdr:cNvPr id="1" name="Picture 2" descr="MCC horizontal"/>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4</xdr:col>
      <xdr:colOff>1009650</xdr:colOff>
      <xdr:row>1</xdr:row>
      <xdr:rowOff>133350</xdr:rowOff>
    </xdr:from>
    <xdr:to>
      <xdr:col>7</xdr:col>
      <xdr:colOff>0</xdr:colOff>
      <xdr:row>1</xdr:row>
      <xdr:rowOff>295275</xdr:rowOff>
    </xdr:to>
    <xdr:pic>
      <xdr:nvPicPr>
        <xdr:cNvPr id="6" name="Picture 3" descr="MCC horizontal"/>
        <xdr:cNvPicPr preferRelativeResize="1">
          <a:picLocks noChangeAspect="1"/>
        </xdr:cNvPicPr>
      </xdr:nvPicPr>
      <xdr:blipFill>
        <a:blip r:embed="rId2"/>
        <a:stretch>
          <a:fillRect/>
        </a:stretch>
      </xdr:blipFill>
      <xdr:spPr>
        <a:xfrm>
          <a:off x="8810625" y="295275"/>
          <a:ext cx="2162175" cy="161925"/>
        </a:xfrm>
        <a:prstGeom prst="rect">
          <a:avLst/>
        </a:prstGeom>
        <a:noFill/>
        <a:ln w="9525" cmpd="sng">
          <a:noFill/>
        </a:ln>
      </xdr:spPr>
    </xdr:pic>
    <xdr:clientData/>
  </xdr:twoCellAnchor>
  <xdr:twoCellAnchor>
    <xdr:from>
      <xdr:col>2</xdr:col>
      <xdr:colOff>9525</xdr:colOff>
      <xdr:row>25</xdr:row>
      <xdr:rowOff>133350</xdr:rowOff>
    </xdr:from>
    <xdr:to>
      <xdr:col>6</xdr:col>
      <xdr:colOff>66675</xdr:colOff>
      <xdr:row>47</xdr:row>
      <xdr:rowOff>190500</xdr:rowOff>
    </xdr:to>
    <xdr:graphicFrame>
      <xdr:nvGraphicFramePr>
        <xdr:cNvPr id="7" name="Chart 16"/>
        <xdr:cNvGraphicFramePr/>
      </xdr:nvGraphicFramePr>
      <xdr:xfrm>
        <a:off x="2190750" y="6600825"/>
        <a:ext cx="7772400" cy="36195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2190750</xdr:colOff>
      <xdr:row>0</xdr:row>
      <xdr:rowOff>152400</xdr:rowOff>
    </xdr:to>
    <xdr:pic>
      <xdr:nvPicPr>
        <xdr:cNvPr id="1" name="Picture 1" descr="MCC horizontal"/>
        <xdr:cNvPicPr preferRelativeResize="1">
          <a:picLocks noChangeAspect="1"/>
        </xdr:cNvPicPr>
      </xdr:nvPicPr>
      <xdr:blipFill>
        <a:blip r:embed="rId1"/>
        <a:stretch>
          <a:fillRect/>
        </a:stretch>
      </xdr:blipFill>
      <xdr:spPr>
        <a:xfrm>
          <a:off x="180975" y="0"/>
          <a:ext cx="21621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1781175</xdr:colOff>
      <xdr:row>0</xdr:row>
      <xdr:rowOff>152400</xdr:rowOff>
    </xdr:to>
    <xdr:pic>
      <xdr:nvPicPr>
        <xdr:cNvPr id="1" name="Picture 294" descr="MCC horizontal"/>
        <xdr:cNvPicPr preferRelativeResize="1">
          <a:picLocks noChangeAspect="1"/>
        </xdr:cNvPicPr>
      </xdr:nvPicPr>
      <xdr:blipFill>
        <a:blip r:embed="rId1"/>
        <a:stretch>
          <a:fillRect/>
        </a:stretch>
      </xdr:blipFill>
      <xdr:spPr>
        <a:xfrm>
          <a:off x="0" y="0"/>
          <a:ext cx="2171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1</xdr:col>
      <xdr:colOff>1828800</xdr:colOff>
      <xdr:row>0</xdr:row>
      <xdr:rowOff>161925</xdr:rowOff>
    </xdr:to>
    <xdr:pic>
      <xdr:nvPicPr>
        <xdr:cNvPr id="1" name="Picture 465" descr="MCC horizontal"/>
        <xdr:cNvPicPr preferRelativeResize="1">
          <a:picLocks noChangeAspect="1"/>
        </xdr:cNvPicPr>
      </xdr:nvPicPr>
      <xdr:blipFill>
        <a:blip r:embed="rId1"/>
        <a:stretch>
          <a:fillRect/>
        </a:stretch>
      </xdr:blipFill>
      <xdr:spPr>
        <a:xfrm>
          <a:off x="85725" y="9525"/>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cc.gov\root\_divisions\Economic%20Analysis\ERR%20Spreadsheets\Web%20Dissemination\Ongoing%20Work\El%20Salvador\ES%20Non-Formal%20Education%20v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No 1 y 2"/>
      <sheetName val="AGUA262"/>
      <sheetName val="Datos de Becas"/>
      <sheetName val="User's Guide"/>
      <sheetName val="Project Description"/>
      <sheetName val="ERR &amp; Sensitivity Analysis"/>
      <sheetName val="Non-formal Skills ERR"/>
    </sheetNames>
    <sheetDataSet>
      <sheetData sheetId="5">
        <row r="10">
          <cell r="D10">
            <v>1</v>
          </cell>
        </row>
        <row r="11">
          <cell r="D11">
            <v>1</v>
          </cell>
        </row>
        <row r="13">
          <cell r="D13">
            <v>2600</v>
          </cell>
        </row>
        <row r="14">
          <cell r="D14">
            <v>60</v>
          </cell>
        </row>
        <row r="15">
          <cell r="D15">
            <v>195</v>
          </cell>
        </row>
        <row r="16">
          <cell r="D16">
            <v>150</v>
          </cell>
        </row>
        <row r="17">
          <cell r="D17">
            <v>0.196</v>
          </cell>
        </row>
        <row r="18">
          <cell r="D18">
            <v>0.08</v>
          </cell>
        </row>
        <row r="19">
          <cell r="D19">
            <v>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1:F37"/>
  <sheetViews>
    <sheetView showGridLines="0" tabSelected="1" zoomScale="84" zoomScaleNormal="84" zoomScalePageLayoutView="0" workbookViewId="0" topLeftCell="A1">
      <selection activeCell="G17" sqref="G17"/>
    </sheetView>
  </sheetViews>
  <sheetFormatPr defaultColWidth="9.140625" defaultRowHeight="12.75"/>
  <cols>
    <col min="1" max="1" width="3.7109375" style="0" customWidth="1"/>
    <col min="2" max="2" width="32.7109375" style="0" customWidth="1"/>
    <col min="3" max="4" width="61.8515625" style="0" customWidth="1"/>
  </cols>
  <sheetData>
    <row r="1" spans="3:4" ht="12.75">
      <c r="C1" s="36"/>
      <c r="D1" s="36"/>
    </row>
    <row r="2" spans="3:4" ht="20.25" customHeight="1">
      <c r="C2" s="229" t="s">
        <v>31</v>
      </c>
      <c r="D2" s="229"/>
    </row>
    <row r="3" spans="3:4" ht="12.75" customHeight="1">
      <c r="C3" s="229"/>
      <c r="D3" s="229"/>
    </row>
    <row r="4" spans="3:4" ht="12.75" customHeight="1">
      <c r="C4" s="229"/>
      <c r="D4" s="229"/>
    </row>
    <row r="5" spans="3:4" ht="12.75" customHeight="1">
      <c r="C5" s="229"/>
      <c r="D5" s="229"/>
    </row>
    <row r="6" spans="3:4" ht="12.75" customHeight="1">
      <c r="C6" s="229"/>
      <c r="D6" s="229"/>
    </row>
    <row r="7" ht="13.5" thickBot="1"/>
    <row r="8" spans="2:4" ht="18" customHeight="1" thickTop="1">
      <c r="B8" s="34" t="s">
        <v>2</v>
      </c>
      <c r="C8" s="29" t="s">
        <v>32</v>
      </c>
      <c r="D8" s="29" t="s">
        <v>32</v>
      </c>
    </row>
    <row r="9" spans="2:4" ht="18" customHeight="1">
      <c r="B9" s="30" t="s">
        <v>3</v>
      </c>
      <c r="C9" s="211" t="s">
        <v>4</v>
      </c>
      <c r="D9" s="31" t="s">
        <v>170</v>
      </c>
    </row>
    <row r="10" spans="2:4" ht="18" customHeight="1">
      <c r="B10" s="30" t="s">
        <v>5</v>
      </c>
      <c r="C10" s="211" t="s">
        <v>33</v>
      </c>
      <c r="D10" s="31" t="s">
        <v>171</v>
      </c>
    </row>
    <row r="11" spans="2:4" ht="118.5" customHeight="1">
      <c r="B11" s="32" t="s">
        <v>6</v>
      </c>
      <c r="C11" s="212" t="s">
        <v>88</v>
      </c>
      <c r="D11" s="207" t="s">
        <v>88</v>
      </c>
    </row>
    <row r="12" spans="2:4" ht="18" customHeight="1">
      <c r="B12" s="227" t="s">
        <v>7</v>
      </c>
      <c r="C12" s="213" t="s">
        <v>91</v>
      </c>
      <c r="D12" s="35" t="s">
        <v>188</v>
      </c>
    </row>
    <row r="13" spans="2:4" ht="36" customHeight="1">
      <c r="B13" s="228"/>
      <c r="C13" s="211" t="s">
        <v>34</v>
      </c>
      <c r="D13" s="31" t="s">
        <v>93</v>
      </c>
    </row>
    <row r="14" spans="2:4" ht="18" customHeight="1">
      <c r="B14" s="228"/>
      <c r="C14" s="214" t="s">
        <v>92</v>
      </c>
      <c r="D14" s="35" t="s">
        <v>191</v>
      </c>
    </row>
    <row r="15" spans="2:4" ht="24" customHeight="1">
      <c r="B15" s="228"/>
      <c r="C15" s="211" t="s">
        <v>93</v>
      </c>
      <c r="D15" s="31" t="s">
        <v>35</v>
      </c>
    </row>
    <row r="16" spans="2:4" ht="18" customHeight="1">
      <c r="B16" s="228"/>
      <c r="C16" s="214" t="s">
        <v>190</v>
      </c>
      <c r="D16" s="66" t="s">
        <v>201</v>
      </c>
    </row>
    <row r="17" spans="2:4" ht="24.75" customHeight="1">
      <c r="B17" s="228"/>
      <c r="C17" s="211" t="s">
        <v>35</v>
      </c>
      <c r="D17" s="208"/>
    </row>
    <row r="18" spans="2:4" ht="18" customHeight="1">
      <c r="B18" s="228"/>
      <c r="C18" s="215" t="s">
        <v>85</v>
      </c>
      <c r="D18" s="209"/>
    </row>
    <row r="19" spans="2:4" ht="36" customHeight="1">
      <c r="B19" s="32" t="s">
        <v>8</v>
      </c>
      <c r="C19" s="216" t="s">
        <v>36</v>
      </c>
      <c r="D19" s="33" t="s">
        <v>36</v>
      </c>
    </row>
    <row r="20" spans="2:4" ht="30" customHeight="1">
      <c r="B20" s="230" t="s">
        <v>9</v>
      </c>
      <c r="C20" s="217" t="s">
        <v>107</v>
      </c>
      <c r="D20" s="182" t="s">
        <v>172</v>
      </c>
    </row>
    <row r="21" spans="2:4" ht="18" customHeight="1">
      <c r="B21" s="231"/>
      <c r="C21" s="218" t="s">
        <v>106</v>
      </c>
      <c r="D21" s="95" t="s">
        <v>186</v>
      </c>
    </row>
    <row r="22" spans="2:4" ht="18" customHeight="1">
      <c r="B22" s="231"/>
      <c r="C22" s="219" t="s">
        <v>104</v>
      </c>
      <c r="D22" s="206" t="s">
        <v>187</v>
      </c>
    </row>
    <row r="23" spans="2:4" ht="18" customHeight="1" thickBot="1">
      <c r="B23" s="232"/>
      <c r="C23" s="220" t="s">
        <v>105</v>
      </c>
      <c r="D23" s="187"/>
    </row>
    <row r="24" spans="2:4" ht="13.5" thickTop="1">
      <c r="B24" s="183"/>
      <c r="C24" s="45"/>
      <c r="D24" s="45"/>
    </row>
    <row r="25" spans="2:4" ht="15.75" customHeight="1">
      <c r="B25" s="233" t="s">
        <v>173</v>
      </c>
      <c r="C25" s="234"/>
      <c r="D25" s="45"/>
    </row>
    <row r="26" spans="2:4" ht="5.25" customHeight="1">
      <c r="B26" s="188"/>
      <c r="C26" s="189"/>
      <c r="D26" s="45"/>
    </row>
    <row r="27" spans="2:4" ht="15" customHeight="1">
      <c r="B27" s="223" t="s">
        <v>24</v>
      </c>
      <c r="C27" s="224"/>
      <c r="D27" s="184"/>
    </row>
    <row r="28" spans="2:6" ht="30.75" customHeight="1">
      <c r="B28" s="221" t="s">
        <v>25</v>
      </c>
      <c r="C28" s="222"/>
      <c r="D28" s="186"/>
      <c r="F28" s="63"/>
    </row>
    <row r="29" spans="2:4" ht="15" customHeight="1">
      <c r="B29" s="223" t="s">
        <v>26</v>
      </c>
      <c r="C29" s="224"/>
      <c r="D29" s="184"/>
    </row>
    <row r="30" spans="2:4" ht="12.75">
      <c r="B30" s="225" t="s">
        <v>27</v>
      </c>
      <c r="C30" s="226"/>
      <c r="D30" s="185"/>
    </row>
    <row r="31" spans="2:4" ht="12.75">
      <c r="B31" s="210" t="s">
        <v>114</v>
      </c>
      <c r="C31" s="201"/>
      <c r="D31" s="185"/>
    </row>
    <row r="32" spans="2:4" ht="12.75">
      <c r="B32" s="200" t="s">
        <v>189</v>
      </c>
      <c r="C32" s="201"/>
      <c r="D32" s="185"/>
    </row>
    <row r="33" spans="2:4" ht="15" customHeight="1">
      <c r="B33" s="223" t="s">
        <v>78</v>
      </c>
      <c r="C33" s="224"/>
      <c r="D33" s="184"/>
    </row>
    <row r="34" spans="2:6" ht="30.75" customHeight="1">
      <c r="B34" s="221" t="s">
        <v>87</v>
      </c>
      <c r="C34" s="222"/>
      <c r="D34" s="186"/>
      <c r="F34" s="63"/>
    </row>
    <row r="35" spans="2:4" ht="15" customHeight="1">
      <c r="B35" s="223" t="s">
        <v>79</v>
      </c>
      <c r="C35" s="224"/>
      <c r="D35" s="184"/>
    </row>
    <row r="36" spans="2:6" ht="30.75" customHeight="1">
      <c r="B36" s="221" t="s">
        <v>165</v>
      </c>
      <c r="C36" s="222"/>
      <c r="D36" s="186"/>
      <c r="F36" s="63"/>
    </row>
    <row r="37" spans="2:4" ht="6" customHeight="1">
      <c r="B37" s="120"/>
      <c r="C37" s="110"/>
      <c r="D37" s="6"/>
    </row>
  </sheetData>
  <sheetProtection/>
  <mergeCells count="12">
    <mergeCell ref="B12:B18"/>
    <mergeCell ref="C2:D6"/>
    <mergeCell ref="B20:B23"/>
    <mergeCell ref="B25:C25"/>
    <mergeCell ref="B28:C28"/>
    <mergeCell ref="B27:C27"/>
    <mergeCell ref="B36:C36"/>
    <mergeCell ref="B35:C35"/>
    <mergeCell ref="B30:C30"/>
    <mergeCell ref="B29:C29"/>
    <mergeCell ref="B34:C34"/>
    <mergeCell ref="B33:C33"/>
  </mergeCells>
  <hyperlinks>
    <hyperlink ref="B29" location="'ERR &amp; Sensitivity Analysis'!A1" display="ERR &amp; Sensitivity Analysis"/>
    <hyperlink ref="B27" location="'Project Description'!A1" display="Project Description"/>
    <hyperlink ref="B33" location="'Civil Legal'!A1" display="Civil Legal"/>
    <hyperlink ref="B35" location="'Land Administration'!A1" display="Land Administration"/>
    <hyperlink ref="B31" location="'Costs &amp; Benefits Summary'!A1" display="Costs &amp; Benefits Summary"/>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B79"/>
  <sheetViews>
    <sheetView showGridLines="0" zoomScale="86" zoomScaleNormal="86" zoomScalePageLayoutView="0" workbookViewId="0" topLeftCell="A4">
      <selection activeCell="B36" sqref="B36"/>
    </sheetView>
  </sheetViews>
  <sheetFormatPr defaultColWidth="9.140625" defaultRowHeight="12.75"/>
  <cols>
    <col min="1" max="1" width="5.7109375" style="6" customWidth="1"/>
    <col min="2" max="2" width="106.421875" style="6" customWidth="1"/>
    <col min="3" max="16384" width="9.140625" style="6" customWidth="1"/>
  </cols>
  <sheetData>
    <row r="1" s="175" customFormat="1" ht="12.75">
      <c r="B1" s="176"/>
    </row>
    <row r="2" ht="28.5" customHeight="1">
      <c r="B2" s="38" t="s">
        <v>77</v>
      </c>
    </row>
    <row r="3" ht="12.75">
      <c r="B3" s="39"/>
    </row>
    <row r="4" ht="18">
      <c r="B4" s="40" t="s">
        <v>24</v>
      </c>
    </row>
    <row r="5" ht="12.75">
      <c r="B5" s="39"/>
    </row>
    <row r="6" ht="12.75">
      <c r="B6" s="41" t="s">
        <v>14</v>
      </c>
    </row>
    <row r="7" ht="6.75" customHeight="1">
      <c r="B7" s="39"/>
    </row>
    <row r="8" ht="63.75">
      <c r="B8" s="45" t="s">
        <v>196</v>
      </c>
    </row>
    <row r="9" ht="12.75">
      <c r="B9" s="39"/>
    </row>
    <row r="10" ht="12.75">
      <c r="B10" s="41" t="s">
        <v>28</v>
      </c>
    </row>
    <row r="11" ht="6.75" customHeight="1">
      <c r="B11" s="39"/>
    </row>
    <row r="12" ht="12.75">
      <c r="B12" s="42" t="s">
        <v>192</v>
      </c>
    </row>
    <row r="13" ht="33" customHeight="1">
      <c r="B13" s="37" t="s">
        <v>89</v>
      </c>
    </row>
    <row r="14" ht="26.25" customHeight="1">
      <c r="B14" s="37" t="s">
        <v>90</v>
      </c>
    </row>
    <row r="15" ht="32.25" customHeight="1">
      <c r="B15" s="37" t="s">
        <v>193</v>
      </c>
    </row>
    <row r="16" ht="32.25" customHeight="1">
      <c r="B16" s="37" t="s">
        <v>164</v>
      </c>
    </row>
    <row r="17" ht="32.25" customHeight="1">
      <c r="B17" s="37" t="s">
        <v>195</v>
      </c>
    </row>
    <row r="18" ht="12.75">
      <c r="B18" s="39"/>
    </row>
    <row r="19" ht="13.5" customHeight="1">
      <c r="B19" s="190" t="s">
        <v>170</v>
      </c>
    </row>
    <row r="20" ht="6.75" customHeight="1">
      <c r="B20" s="39"/>
    </row>
    <row r="21" ht="13.5" customHeight="1">
      <c r="B21" s="235" t="s">
        <v>185</v>
      </c>
    </row>
    <row r="22" ht="35.25" customHeight="1">
      <c r="B22" s="235"/>
    </row>
    <row r="23" ht="12.75">
      <c r="B23" s="41" t="s">
        <v>29</v>
      </c>
    </row>
    <row r="24" ht="6.75" customHeight="1">
      <c r="B24" s="39"/>
    </row>
    <row r="25" ht="38.25">
      <c r="B25" s="167" t="s">
        <v>197</v>
      </c>
    </row>
    <row r="26" ht="102">
      <c r="B26" s="166" t="s">
        <v>156</v>
      </c>
    </row>
    <row r="27" ht="119.25" customHeight="1">
      <c r="B27" s="37" t="s">
        <v>194</v>
      </c>
    </row>
    <row r="28" ht="22.5" customHeight="1">
      <c r="B28" s="167" t="s">
        <v>198</v>
      </c>
    </row>
    <row r="29" ht="12.75">
      <c r="B29" s="39"/>
    </row>
    <row r="30" ht="12.75">
      <c r="B30" s="43"/>
    </row>
    <row r="31" ht="12.75">
      <c r="B31" s="39"/>
    </row>
    <row r="32" ht="12.75">
      <c r="B32" s="39"/>
    </row>
    <row r="33" ht="12.75">
      <c r="B33" s="39"/>
    </row>
    <row r="34" ht="12.75">
      <c r="B34" s="39"/>
    </row>
    <row r="35" ht="12.75">
      <c r="B35" s="39"/>
    </row>
    <row r="36" ht="12.75">
      <c r="B36" s="39"/>
    </row>
    <row r="37" ht="12.75">
      <c r="B37" s="39"/>
    </row>
    <row r="38" ht="12.75">
      <c r="B38" s="39"/>
    </row>
    <row r="39" ht="12.75">
      <c r="B39" s="39"/>
    </row>
    <row r="40" ht="12.75">
      <c r="B40" s="39"/>
    </row>
    <row r="41" ht="12.75">
      <c r="B41" s="39"/>
    </row>
    <row r="42" ht="12.75">
      <c r="B42" s="39"/>
    </row>
    <row r="43" ht="12.75">
      <c r="B43" s="39"/>
    </row>
    <row r="44" ht="12.75">
      <c r="B44" s="39"/>
    </row>
    <row r="45" ht="12.75">
      <c r="B45" s="39"/>
    </row>
    <row r="46" ht="12.75">
      <c r="B46" s="39"/>
    </row>
    <row r="47" ht="12.75">
      <c r="B47" s="39"/>
    </row>
    <row r="48" ht="12.75">
      <c r="B48" s="39"/>
    </row>
    <row r="49" ht="12.75">
      <c r="B49" s="39"/>
    </row>
    <row r="50" ht="12.75">
      <c r="B50" s="39"/>
    </row>
    <row r="51" ht="12.75">
      <c r="B51" s="39"/>
    </row>
    <row r="52" ht="12.75">
      <c r="B52" s="39"/>
    </row>
    <row r="53" ht="12.75">
      <c r="B53" s="39"/>
    </row>
    <row r="54" ht="12.75">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row r="65" ht="12.75">
      <c r="B65" s="39"/>
    </row>
    <row r="66" ht="12.75">
      <c r="B66" s="39"/>
    </row>
    <row r="67" ht="12.75">
      <c r="B67" s="39"/>
    </row>
    <row r="68" ht="12.75">
      <c r="B68" s="39"/>
    </row>
    <row r="69" ht="12.75">
      <c r="B69" s="39"/>
    </row>
    <row r="70" ht="12.75">
      <c r="B70" s="39"/>
    </row>
    <row r="71" ht="12.75">
      <c r="B71" s="39"/>
    </row>
    <row r="72" ht="12.75">
      <c r="B72" s="39"/>
    </row>
    <row r="73" ht="12.75">
      <c r="B73" s="39"/>
    </row>
    <row r="74" ht="12.75">
      <c r="B74" s="39"/>
    </row>
    <row r="75" ht="12.75">
      <c r="B75" s="39"/>
    </row>
    <row r="76" ht="12.75">
      <c r="B76" s="39"/>
    </row>
    <row r="77" ht="12.75">
      <c r="B77" s="39"/>
    </row>
    <row r="78" ht="12.75">
      <c r="B78" s="39"/>
    </row>
    <row r="79" ht="12.75">
      <c r="B79" s="39"/>
    </row>
  </sheetData>
  <sheetProtection/>
  <mergeCells count="1">
    <mergeCell ref="B21:B22"/>
  </mergeCells>
  <printOptions/>
  <pageMargins left="0.46" right="0.75" top="1" bottom="1" header="0.5" footer="0.5"/>
  <pageSetup fitToHeight="1" fitToWidth="1" horizontalDpi="600" verticalDpi="600" orientation="portrait" scale="84" r:id="rId2"/>
  <drawing r:id="rId1"/>
</worksheet>
</file>

<file path=xl/worksheets/sheet3.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B2:I66"/>
  <sheetViews>
    <sheetView showGridLines="0" zoomScale="85" zoomScaleNormal="85" zoomScalePageLayoutView="0" workbookViewId="0" topLeftCell="A4">
      <selection activeCell="H30" sqref="H30"/>
    </sheetView>
  </sheetViews>
  <sheetFormatPr defaultColWidth="9.140625" defaultRowHeight="12.75"/>
  <cols>
    <col min="1" max="1" width="5.7109375" style="2" customWidth="1"/>
    <col min="2" max="2" width="27.00390625" style="2" customWidth="1"/>
    <col min="3" max="3" width="68.57421875" style="2" bestFit="1" customWidth="1"/>
    <col min="4" max="6" width="15.7109375" style="2" customWidth="1"/>
    <col min="7" max="7" width="16.140625" style="2" customWidth="1"/>
    <col min="8" max="8" width="5.7109375" style="2" customWidth="1"/>
    <col min="9" max="9" width="20.140625" style="2" customWidth="1"/>
    <col min="10" max="16384" width="9.140625" style="2" customWidth="1"/>
  </cols>
  <sheetData>
    <row r="1" ht="12.75"/>
    <row r="2" spans="2:4" ht="23.25">
      <c r="B2" s="8" t="s">
        <v>84</v>
      </c>
      <c r="D2" s="10"/>
    </row>
    <row r="3" ht="12.75">
      <c r="F3" s="11"/>
    </row>
    <row r="4" spans="2:7" ht="18">
      <c r="B4" s="9" t="s">
        <v>10</v>
      </c>
      <c r="G4" s="12"/>
    </row>
    <row r="6" spans="2:7" ht="37.5" customHeight="1">
      <c r="B6" s="237" t="s">
        <v>22</v>
      </c>
      <c r="C6" s="237"/>
      <c r="D6" s="237"/>
      <c r="E6" s="237"/>
      <c r="F6" s="237"/>
      <c r="G6" s="237"/>
    </row>
    <row r="8" spans="2:7" ht="15.75">
      <c r="B8" s="238" t="s">
        <v>21</v>
      </c>
      <c r="C8" s="238" t="s">
        <v>11</v>
      </c>
      <c r="D8" s="241" t="s">
        <v>12</v>
      </c>
      <c r="E8" s="242"/>
      <c r="F8" s="242"/>
      <c r="G8" s="243"/>
    </row>
    <row r="9" spans="2:9" ht="39" thickBot="1">
      <c r="B9" s="239"/>
      <c r="C9" s="240"/>
      <c r="D9" s="13" t="s">
        <v>15</v>
      </c>
      <c r="E9" s="14" t="s">
        <v>19</v>
      </c>
      <c r="F9" s="15" t="s">
        <v>30</v>
      </c>
      <c r="G9" s="14" t="s">
        <v>13</v>
      </c>
      <c r="I9" s="16" t="s">
        <v>20</v>
      </c>
    </row>
    <row r="10" spans="2:9" ht="33" customHeight="1">
      <c r="B10" s="17" t="s">
        <v>14</v>
      </c>
      <c r="C10" s="18" t="s">
        <v>16</v>
      </c>
      <c r="D10" s="19">
        <v>1</v>
      </c>
      <c r="E10" s="20">
        <v>1</v>
      </c>
      <c r="F10" s="21" t="s">
        <v>18</v>
      </c>
      <c r="G10" s="22">
        <f>D10</f>
        <v>1</v>
      </c>
      <c r="I10" s="23" t="str">
        <f>IF(D10=E10,IF(D11=E11,"Y","N"),"N")</f>
        <v>Y</v>
      </c>
    </row>
    <row r="11" spans="2:9" ht="33" customHeight="1">
      <c r="B11" s="5" t="s">
        <v>14</v>
      </c>
      <c r="C11" s="18" t="s">
        <v>17</v>
      </c>
      <c r="D11" s="19">
        <v>1</v>
      </c>
      <c r="E11" s="20">
        <v>1</v>
      </c>
      <c r="F11" s="21" t="s">
        <v>18</v>
      </c>
      <c r="G11" s="22">
        <f>D11</f>
        <v>1</v>
      </c>
      <c r="I11" s="44" t="e">
        <f>IF(#REF!=#REF!,IF(#REF!=#REF!,IF(D13=E13,IF(D15=E15,"Y","N"),"N"),"N"),"N")</f>
        <v>#REF!</v>
      </c>
    </row>
    <row r="12" spans="2:7" ht="12.75">
      <c r="B12" s="27"/>
      <c r="C12" s="59"/>
      <c r="D12" s="28"/>
      <c r="E12" s="24"/>
      <c r="F12" s="24"/>
      <c r="G12" s="24"/>
    </row>
    <row r="13" spans="2:9" ht="33" customHeight="1">
      <c r="B13" s="58" t="s">
        <v>80</v>
      </c>
      <c r="C13" s="96" t="s">
        <v>157</v>
      </c>
      <c r="D13" s="97">
        <v>0.5</v>
      </c>
      <c r="E13" s="98">
        <v>0.5</v>
      </c>
      <c r="F13" s="99" t="s">
        <v>86</v>
      </c>
      <c r="G13" s="100">
        <f>IF($I$10="Y",D13,E13)</f>
        <v>0.5</v>
      </c>
      <c r="I13" s="25" t="s">
        <v>23</v>
      </c>
    </row>
    <row r="14" spans="2:9" ht="33" customHeight="1">
      <c r="B14" s="58" t="s">
        <v>81</v>
      </c>
      <c r="C14" s="96" t="str">
        <f>'Land Administration'!B20</f>
        <v>Reduction in time to register parcel</v>
      </c>
      <c r="D14" s="155">
        <v>0.666666</v>
      </c>
      <c r="E14" s="158">
        <v>0.67</v>
      </c>
      <c r="F14" s="99" t="s">
        <v>155</v>
      </c>
      <c r="G14" s="156">
        <f>IF($I$10="Y",D14,E14)</f>
        <v>0.666666</v>
      </c>
      <c r="I14" s="180" t="s">
        <v>169</v>
      </c>
    </row>
    <row r="15" spans="2:9" ht="33" customHeight="1">
      <c r="B15" s="55" t="s">
        <v>81</v>
      </c>
      <c r="C15" s="101" t="str">
        <f>'Land Administration'!B21</f>
        <v>Incremental parcels entering registry (years 2-5 of Project)</v>
      </c>
      <c r="D15" s="174">
        <v>55000</v>
      </c>
      <c r="E15" s="173">
        <v>55000</v>
      </c>
      <c r="F15" s="157" t="s">
        <v>163</v>
      </c>
      <c r="G15" s="172">
        <f>IF($I$10="Y",D15,E15)</f>
        <v>55000</v>
      </c>
      <c r="I15" s="181"/>
    </row>
    <row r="16" spans="2:4" ht="11.25" customHeight="1">
      <c r="B16"/>
      <c r="D16" s="1"/>
    </row>
    <row r="17" spans="2:8" ht="33" customHeight="1">
      <c r="B17" s="248">
        <f>IF($I$10="N",IF($I$11="N","Reminder: Please reset all summary parameters to original values before changing specific parameters.  Specific parameters will only be used in ERR computation when all summary parameters are set to initial values",0),0)</f>
        <v>0</v>
      </c>
      <c r="C17" s="248"/>
      <c r="D17" s="248"/>
      <c r="E17" s="248"/>
      <c r="F17" s="248"/>
      <c r="G17" s="248"/>
      <c r="H17" s="248"/>
    </row>
    <row r="18" spans="2:7" ht="15">
      <c r="B18"/>
      <c r="C18" s="103"/>
      <c r="D18" s="246" t="s">
        <v>110</v>
      </c>
      <c r="E18" s="247"/>
      <c r="F18" s="253" t="s">
        <v>168</v>
      </c>
      <c r="G18" s="254"/>
    </row>
    <row r="19" spans="3:7" ht="15">
      <c r="C19" s="159" t="s">
        <v>199</v>
      </c>
      <c r="D19" s="244">
        <f>'Costs &amp; Benefits Summary'!C25</f>
        <v>0.15503224385320297</v>
      </c>
      <c r="E19" s="245"/>
      <c r="F19" s="255">
        <f>'Costs &amp; Benefits Summary'!C26</f>
        <v>0.14872534875117838</v>
      </c>
      <c r="G19" s="256"/>
    </row>
    <row r="20" spans="2:7" ht="6" customHeight="1">
      <c r="B20" s="3"/>
      <c r="C20" s="102"/>
      <c r="D20" s="162"/>
      <c r="E20" s="163"/>
      <c r="F20" s="164"/>
      <c r="G20" s="165"/>
    </row>
    <row r="21" spans="2:7" s="3" customFormat="1" ht="14.25">
      <c r="B21" s="2"/>
      <c r="C21" s="160" t="s">
        <v>108</v>
      </c>
      <c r="D21" s="249">
        <f>'Civil Legal'!C39</f>
        <v>0.1295862984488314</v>
      </c>
      <c r="E21" s="250"/>
      <c r="F21" s="257">
        <v>0.13</v>
      </c>
      <c r="G21" s="258"/>
    </row>
    <row r="22" spans="3:7" ht="14.25">
      <c r="C22" s="161" t="s">
        <v>109</v>
      </c>
      <c r="D22" s="251">
        <f>'Land Administration'!C90</f>
        <v>0.15962057003883645</v>
      </c>
      <c r="E22" s="252"/>
      <c r="F22" s="259">
        <v>0.16</v>
      </c>
      <c r="G22" s="260"/>
    </row>
    <row r="23" spans="3:5" ht="12.75">
      <c r="C23" s="64"/>
      <c r="D23" s="65"/>
      <c r="E23" s="65"/>
    </row>
    <row r="24" spans="3:7" ht="12.75">
      <c r="C24" s="265" t="s">
        <v>200</v>
      </c>
      <c r="D24" s="265"/>
      <c r="E24" s="265"/>
      <c r="F24" s="265"/>
      <c r="G24" s="265"/>
    </row>
    <row r="25" spans="3:7" ht="12.75">
      <c r="C25" s="265"/>
      <c r="D25" s="265"/>
      <c r="E25" s="265"/>
      <c r="F25" s="265"/>
      <c r="G25" s="265"/>
    </row>
    <row r="27" ht="12.75">
      <c r="F27" s="26"/>
    </row>
    <row r="28" ht="12.75">
      <c r="F28" s="26"/>
    </row>
    <row r="34" ht="12.75">
      <c r="F34" s="4"/>
    </row>
    <row r="35" ht="12.75">
      <c r="F35" s="26"/>
    </row>
    <row r="36" ht="12.75">
      <c r="F36" s="26"/>
    </row>
    <row r="48" ht="33" customHeight="1"/>
    <row r="49" ht="33" customHeight="1"/>
    <row r="50" ht="33" customHeight="1">
      <c r="I50" s="179"/>
    </row>
    <row r="51" ht="25.5" customHeight="1"/>
    <row r="66" spans="3:7" ht="24.75" customHeight="1">
      <c r="C66" s="236"/>
      <c r="D66" s="236"/>
      <c r="E66" s="236"/>
      <c r="F66" s="236"/>
      <c r="G66" s="236"/>
    </row>
  </sheetData>
  <sheetProtection/>
  <mergeCells count="15">
    <mergeCell ref="F18:G18"/>
    <mergeCell ref="F19:G19"/>
    <mergeCell ref="F21:G21"/>
    <mergeCell ref="F22:G22"/>
    <mergeCell ref="C24:G25"/>
    <mergeCell ref="C66:G66"/>
    <mergeCell ref="B6:G6"/>
    <mergeCell ref="B8:B9"/>
    <mergeCell ref="C8:C9"/>
    <mergeCell ref="D8:G8"/>
    <mergeCell ref="D19:E19"/>
    <mergeCell ref="D18:E18"/>
    <mergeCell ref="B17:H17"/>
    <mergeCell ref="D21:E21"/>
    <mergeCell ref="D22:E22"/>
  </mergeCells>
  <conditionalFormatting sqref="B17">
    <cfRule type="cellIs" priority="1" dxfId="1" operator="equal" stopIfTrue="1">
      <formula>0</formula>
    </cfRule>
    <cfRule type="cellIs" priority="2" dxfId="0" operator="notEqual" stopIfTrue="1">
      <formula>0</formula>
    </cfRule>
  </conditionalFormatting>
  <hyperlinks>
    <hyperlink ref="I13" location="'Project Description'!A1" display="Project Description"/>
    <hyperlink ref="I14" location="'User''s Guide'!A1" display="User's Guide"/>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7"/>
  <dimension ref="B1:V27"/>
  <sheetViews>
    <sheetView showGridLines="0" zoomScalePageLayoutView="0" workbookViewId="0" topLeftCell="A1">
      <selection activeCell="C26" sqref="C26"/>
    </sheetView>
  </sheetViews>
  <sheetFormatPr defaultColWidth="9.140625" defaultRowHeight="12.75"/>
  <cols>
    <col min="1" max="1" width="2.28125" style="0" customWidth="1"/>
    <col min="2" max="2" width="33.8515625" style="0" customWidth="1"/>
    <col min="3" max="3" width="14.8515625" style="0" bestFit="1" customWidth="1"/>
    <col min="4" max="5" width="15.57421875" style="0" bestFit="1" customWidth="1"/>
    <col min="6" max="7" width="14.57421875" style="0" bestFit="1" customWidth="1"/>
    <col min="8" max="13" width="14.00390625" style="0" bestFit="1" customWidth="1"/>
    <col min="14" max="22" width="15.00390625" style="0" bestFit="1" customWidth="1"/>
  </cols>
  <sheetData>
    <row r="1" s="68" customFormat="1" ht="12.75">
      <c r="H1" s="11"/>
    </row>
    <row r="2" spans="2:5" s="68" customFormat="1" ht="39" customHeight="1">
      <c r="B2" s="261" t="s">
        <v>111</v>
      </c>
      <c r="C2" s="261"/>
      <c r="D2" s="261"/>
      <c r="E2" s="261"/>
    </row>
    <row r="3" ht="12.75">
      <c r="B3" s="1" t="s">
        <v>114</v>
      </c>
    </row>
    <row r="4" ht="13.5" thickBot="1"/>
    <row r="5" spans="2:4" s="68" customFormat="1" ht="25.5">
      <c r="B5" s="89" t="s">
        <v>95</v>
      </c>
      <c r="C5" s="90" t="s">
        <v>96</v>
      </c>
      <c r="D5" s="91" t="s">
        <v>97</v>
      </c>
    </row>
    <row r="6" spans="2:5" ht="12.75">
      <c r="B6" s="73" t="s">
        <v>78</v>
      </c>
      <c r="C6" s="81">
        <v>2893534.9</v>
      </c>
      <c r="D6" s="82">
        <f>C6/$C$8</f>
        <v>0.15276968418839204</v>
      </c>
      <c r="E6" s="52"/>
    </row>
    <row r="7" spans="2:5" ht="12.75">
      <c r="B7" s="73" t="s">
        <v>79</v>
      </c>
      <c r="C7" s="81">
        <v>16046969.660000002</v>
      </c>
      <c r="D7" s="82">
        <f>C7/$C$8</f>
        <v>0.8472303158116079</v>
      </c>
      <c r="E7" s="52"/>
    </row>
    <row r="8" spans="2:4" ht="12.75">
      <c r="B8" s="73" t="s">
        <v>98</v>
      </c>
      <c r="C8" s="81">
        <f>C7+C6</f>
        <v>18940504.560000002</v>
      </c>
      <c r="D8" s="82">
        <f>C8/$C$8</f>
        <v>1</v>
      </c>
    </row>
    <row r="9" spans="2:4" ht="12.75">
      <c r="B9" s="83" t="s">
        <v>103</v>
      </c>
      <c r="C9" s="81"/>
      <c r="D9" s="82"/>
    </row>
    <row r="10" spans="2:4" ht="12.75">
      <c r="B10" s="83" t="s">
        <v>182</v>
      </c>
      <c r="C10" s="85">
        <v>782762</v>
      </c>
      <c r="D10" s="82"/>
    </row>
    <row r="11" spans="2:4" ht="12.75">
      <c r="B11" s="84" t="s">
        <v>99</v>
      </c>
      <c r="C11" s="85">
        <v>1372984.9599999997</v>
      </c>
      <c r="D11" s="76"/>
    </row>
    <row r="12" spans="2:4" ht="12.75">
      <c r="B12" s="84" t="s">
        <v>100</v>
      </c>
      <c r="C12" s="85">
        <v>1080153.5</v>
      </c>
      <c r="D12" s="76"/>
    </row>
    <row r="13" spans="2:4" ht="13.5" thickBot="1">
      <c r="B13" s="86" t="s">
        <v>1</v>
      </c>
      <c r="C13" s="87">
        <f>C12+C11+C10+C8</f>
        <v>22176405.020000003</v>
      </c>
      <c r="D13" s="88"/>
    </row>
    <row r="14" ht="13.5" thickBot="1"/>
    <row r="15" spans="2:22" ht="12.75">
      <c r="B15" s="71" t="s">
        <v>94</v>
      </c>
      <c r="C15" s="75"/>
      <c r="D15" s="75"/>
      <c r="E15" s="75"/>
      <c r="F15" s="75"/>
      <c r="G15" s="75"/>
      <c r="H15" s="75"/>
      <c r="I15" s="75"/>
      <c r="J15" s="75"/>
      <c r="K15" s="75"/>
      <c r="L15" s="75"/>
      <c r="M15" s="75"/>
      <c r="N15" s="75"/>
      <c r="O15" s="75"/>
      <c r="P15" s="75"/>
      <c r="Q15" s="75"/>
      <c r="R15" s="75"/>
      <c r="S15" s="75"/>
      <c r="T15" s="75"/>
      <c r="U15" s="75"/>
      <c r="V15" s="72"/>
    </row>
    <row r="16" spans="2:22" ht="12.75">
      <c r="B16" s="73" t="s">
        <v>37</v>
      </c>
      <c r="C16" s="6">
        <v>1</v>
      </c>
      <c r="D16" s="6">
        <v>2</v>
      </c>
      <c r="E16" s="6">
        <v>3</v>
      </c>
      <c r="F16" s="6">
        <v>4</v>
      </c>
      <c r="G16" s="6">
        <v>5</v>
      </c>
      <c r="H16" s="6">
        <v>6</v>
      </c>
      <c r="I16" s="6">
        <v>7</v>
      </c>
      <c r="J16" s="6">
        <v>8</v>
      </c>
      <c r="K16" s="6">
        <v>9</v>
      </c>
      <c r="L16" s="6">
        <v>10</v>
      </c>
      <c r="M16" s="6">
        <v>11</v>
      </c>
      <c r="N16" s="6">
        <v>12</v>
      </c>
      <c r="O16" s="6">
        <v>13</v>
      </c>
      <c r="P16" s="6">
        <v>14</v>
      </c>
      <c r="Q16" s="6">
        <v>15</v>
      </c>
      <c r="R16" s="6">
        <v>16</v>
      </c>
      <c r="S16" s="6">
        <v>17</v>
      </c>
      <c r="T16" s="6">
        <v>18</v>
      </c>
      <c r="U16" s="6">
        <v>19</v>
      </c>
      <c r="V16" s="76">
        <v>20</v>
      </c>
    </row>
    <row r="17" spans="2:22" ht="12.75">
      <c r="B17" s="73" t="s">
        <v>78</v>
      </c>
      <c r="C17" s="77">
        <f>'Civil Legal'!D37</f>
        <v>-600000</v>
      </c>
      <c r="D17" s="77">
        <f>'Civil Legal'!E37</f>
        <v>-1111137</v>
      </c>
      <c r="E17" s="77">
        <f>'Civil Legal'!F37</f>
        <v>-589298.7000000001</v>
      </c>
      <c r="F17" s="77">
        <f>'Civil Legal'!G37</f>
        <v>37415.326</v>
      </c>
      <c r="G17" s="77">
        <f>'Civil Legal'!H37</f>
        <v>184463.6325200001</v>
      </c>
      <c r="H17" s="77">
        <f>'Civil Legal'!I37</f>
        <v>386852.90517040004</v>
      </c>
      <c r="I17" s="77">
        <f>'Civil Legal'!J37</f>
        <v>404589.963273808</v>
      </c>
      <c r="J17" s="77">
        <f>'Civil Legal'!K37</f>
        <v>422681.7625392843</v>
      </c>
      <c r="K17" s="77">
        <f>'Civil Legal'!L37</f>
        <v>441135.39779007004</v>
      </c>
      <c r="L17" s="77">
        <f>'Civil Legal'!M37</f>
        <v>459958.1057458713</v>
      </c>
      <c r="M17" s="77">
        <f>'Civil Legal'!N37</f>
        <v>479157.26786078874</v>
      </c>
      <c r="N17" s="77">
        <f>'Civil Legal'!O37</f>
        <v>498740.4132180046</v>
      </c>
      <c r="O17" s="77">
        <f>'Civil Legal'!P37</f>
        <v>518715.2214823647</v>
      </c>
      <c r="P17" s="77">
        <f>'Civil Legal'!Q37</f>
        <v>539089.525912012</v>
      </c>
      <c r="Q17" s="77">
        <f>'Civil Legal'!R37</f>
        <v>559871.316430252</v>
      </c>
      <c r="R17" s="77">
        <f>'Civil Legal'!S37</f>
        <v>581068.7427588573</v>
      </c>
      <c r="S17" s="77">
        <f>'Civil Legal'!T37</f>
        <v>602690.1176140343</v>
      </c>
      <c r="T17" s="77">
        <f>'Civil Legal'!U37</f>
        <v>624743.9199663152</v>
      </c>
      <c r="U17" s="77">
        <f>'Civil Legal'!V37</f>
        <v>647238.7983656414</v>
      </c>
      <c r="V17" s="78">
        <f>'Civil Legal'!W37</f>
        <v>670183.5743329544</v>
      </c>
    </row>
    <row r="18" spans="2:22" ht="12.75">
      <c r="B18" s="73" t="s">
        <v>79</v>
      </c>
      <c r="C18" s="77">
        <f>'Land Administration'!C88</f>
        <v>-2973647.919</v>
      </c>
      <c r="D18" s="77">
        <f>'Land Administration'!D88</f>
        <v>-11149954.41590476</v>
      </c>
      <c r="E18" s="77">
        <f>'Land Administration'!E88</f>
        <v>-9135658.29427551</v>
      </c>
      <c r="F18" s="77">
        <f>'Land Administration'!F88</f>
        <v>-7182063.2462516995</v>
      </c>
      <c r="G18" s="77">
        <f>'Land Administration'!G88</f>
        <v>-3430168.659108843</v>
      </c>
      <c r="H18" s="77">
        <f>'Land Administration'!H88</f>
        <v>1232419.5071428567</v>
      </c>
      <c r="I18" s="77">
        <f>'Land Administration'!I88</f>
        <v>2819776.2690476193</v>
      </c>
      <c r="J18" s="77">
        <f>'Land Administration'!J88</f>
        <v>4423857.097619047</v>
      </c>
      <c r="K18" s="77">
        <f>'Land Administration'!K88</f>
        <v>6048947.707142856</v>
      </c>
      <c r="L18" s="77">
        <f>'Land Administration'!L88</f>
        <v>7636304.469047617</v>
      </c>
      <c r="M18" s="77">
        <f>'Land Administration'!M88</f>
        <v>9240385.297619047</v>
      </c>
      <c r="N18" s="77">
        <f>'Land Administration'!N88</f>
        <v>10861190.192857137</v>
      </c>
      <c r="O18" s="77">
        <f>'Land Administration'!O88</f>
        <v>12503004.869047614</v>
      </c>
      <c r="P18" s="77">
        <f>'Land Administration'!P88</f>
        <v>14107085.697619045</v>
      </c>
      <c r="Q18" s="77">
        <f>'Land Administration'!Q88</f>
        <v>15727890.59285714</v>
      </c>
      <c r="R18" s="77">
        <f>'Land Administration'!R88</f>
        <v>17365419.55476191</v>
      </c>
      <c r="S18" s="77">
        <f>'Land Administration'!S88</f>
        <v>19019672.583333332</v>
      </c>
      <c r="T18" s="77">
        <f>'Land Administration'!T88</f>
        <v>20694935.392857146</v>
      </c>
      <c r="U18" s="77">
        <f>'Land Administration'!U88</f>
        <v>22332464.35476191</v>
      </c>
      <c r="V18" s="78">
        <f>'Land Administration'!V88</f>
        <v>23986717.383333337</v>
      </c>
    </row>
    <row r="19" spans="2:22" ht="13.5" thickBot="1">
      <c r="B19" s="74" t="s">
        <v>1</v>
      </c>
      <c r="C19" s="79">
        <f aca="true" t="shared" si="0" ref="C19:V19">SUM(C17:C18)</f>
        <v>-3573647.919</v>
      </c>
      <c r="D19" s="79">
        <f t="shared" si="0"/>
        <v>-12261091.41590476</v>
      </c>
      <c r="E19" s="79">
        <f t="shared" si="0"/>
        <v>-9724956.994275508</v>
      </c>
      <c r="F19" s="79">
        <f t="shared" si="0"/>
        <v>-7144647.920251699</v>
      </c>
      <c r="G19" s="79">
        <f t="shared" si="0"/>
        <v>-3245705.026588843</v>
      </c>
      <c r="H19" s="79">
        <f t="shared" si="0"/>
        <v>1619272.4123132569</v>
      </c>
      <c r="I19" s="79">
        <f t="shared" si="0"/>
        <v>3224366.232321427</v>
      </c>
      <c r="J19" s="79">
        <f t="shared" si="0"/>
        <v>4846538.860158332</v>
      </c>
      <c r="K19" s="79">
        <f t="shared" si="0"/>
        <v>6490083.104932926</v>
      </c>
      <c r="L19" s="79">
        <f t="shared" si="0"/>
        <v>8096262.574793489</v>
      </c>
      <c r="M19" s="79">
        <f t="shared" si="0"/>
        <v>9719542.565479835</v>
      </c>
      <c r="N19" s="79">
        <f t="shared" si="0"/>
        <v>11359930.606075142</v>
      </c>
      <c r="O19" s="79">
        <f t="shared" si="0"/>
        <v>13021720.090529978</v>
      </c>
      <c r="P19" s="79">
        <f t="shared" si="0"/>
        <v>14646175.223531056</v>
      </c>
      <c r="Q19" s="79">
        <f t="shared" si="0"/>
        <v>16287761.909287391</v>
      </c>
      <c r="R19" s="79">
        <f t="shared" si="0"/>
        <v>17946488.297520768</v>
      </c>
      <c r="S19" s="79">
        <f t="shared" si="0"/>
        <v>19622362.700947367</v>
      </c>
      <c r="T19" s="79">
        <f t="shared" si="0"/>
        <v>21319679.31282346</v>
      </c>
      <c r="U19" s="79">
        <f t="shared" si="0"/>
        <v>22979703.15312755</v>
      </c>
      <c r="V19" s="80">
        <f t="shared" si="0"/>
        <v>24656900.957666293</v>
      </c>
    </row>
    <row r="20" spans="2:22" ht="13.5" thickBot="1">
      <c r="B20" s="203" t="s">
        <v>183</v>
      </c>
      <c r="C20" s="204">
        <f>C19-(SUM($C$10:$C$12))/5</f>
        <v>-4220828.011</v>
      </c>
      <c r="D20" s="204">
        <f>D19-(SUM($C$10:$C$12))/5</f>
        <v>-12908271.50790476</v>
      </c>
      <c r="E20" s="204">
        <f>E19-(SUM($C$10:$C$12))/5</f>
        <v>-10372137.086275509</v>
      </c>
      <c r="F20" s="204">
        <f>F19-(SUM($C$10:$C$12))/5</f>
        <v>-7791828.012251699</v>
      </c>
      <c r="G20" s="204">
        <f>G19-(SUM($C$10:$C$12))/5</f>
        <v>-3892885.1185888434</v>
      </c>
      <c r="H20" s="204">
        <f>H19</f>
        <v>1619272.4123132569</v>
      </c>
      <c r="I20" s="204">
        <f>I19</f>
        <v>3224366.232321427</v>
      </c>
      <c r="J20" s="204">
        <f aca="true" t="shared" si="1" ref="J20:V20">J19</f>
        <v>4846538.860158332</v>
      </c>
      <c r="K20" s="204">
        <f t="shared" si="1"/>
        <v>6490083.104932926</v>
      </c>
      <c r="L20" s="204">
        <f t="shared" si="1"/>
        <v>8096262.574793489</v>
      </c>
      <c r="M20" s="204">
        <f t="shared" si="1"/>
        <v>9719542.565479835</v>
      </c>
      <c r="N20" s="204">
        <f t="shared" si="1"/>
        <v>11359930.606075142</v>
      </c>
      <c r="O20" s="204">
        <f t="shared" si="1"/>
        <v>13021720.090529978</v>
      </c>
      <c r="P20" s="204">
        <f t="shared" si="1"/>
        <v>14646175.223531056</v>
      </c>
      <c r="Q20" s="204">
        <f t="shared" si="1"/>
        <v>16287761.909287391</v>
      </c>
      <c r="R20" s="204">
        <f t="shared" si="1"/>
        <v>17946488.297520768</v>
      </c>
      <c r="S20" s="204">
        <f t="shared" si="1"/>
        <v>19622362.700947367</v>
      </c>
      <c r="T20" s="204">
        <f t="shared" si="1"/>
        <v>21319679.31282346</v>
      </c>
      <c r="U20" s="204">
        <f t="shared" si="1"/>
        <v>22979703.15312755</v>
      </c>
      <c r="V20" s="205">
        <f t="shared" si="1"/>
        <v>24656900.957666293</v>
      </c>
    </row>
    <row r="21" ht="13.5" thickBot="1"/>
    <row r="22" spans="2:3" ht="12.75">
      <c r="B22" s="71" t="s">
        <v>0</v>
      </c>
      <c r="C22" s="72"/>
    </row>
    <row r="23" spans="2:4" ht="12.75">
      <c r="B23" s="73" t="s">
        <v>78</v>
      </c>
      <c r="C23" s="92">
        <f>'Civil Legal'!C39</f>
        <v>0.1295862984488314</v>
      </c>
      <c r="D23" s="69"/>
    </row>
    <row r="24" spans="2:4" ht="12.75">
      <c r="B24" s="73" t="s">
        <v>79</v>
      </c>
      <c r="C24" s="92">
        <f>'Land Administration'!C90</f>
        <v>0.15962057003883645</v>
      </c>
      <c r="D24" s="69"/>
    </row>
    <row r="25" spans="2:4" ht="13.5" thickBot="1">
      <c r="B25" s="74" t="s">
        <v>101</v>
      </c>
      <c r="C25" s="93">
        <f>SUMPRODUCT($D$6:$D$7,C23:C24)</f>
        <v>0.15503224385320297</v>
      </c>
      <c r="D25" s="69"/>
    </row>
    <row r="26" spans="2:4" ht="12.75">
      <c r="B26" s="177" t="s">
        <v>184</v>
      </c>
      <c r="C26" s="202">
        <f>IRR(C20:V20)</f>
        <v>0.14872534875117838</v>
      </c>
      <c r="D26" s="69"/>
    </row>
    <row r="27" ht="12.75">
      <c r="B27" s="70" t="s">
        <v>102</v>
      </c>
    </row>
  </sheetData>
  <sheetProtection/>
  <mergeCells count="1">
    <mergeCell ref="B2:E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X49"/>
  <sheetViews>
    <sheetView zoomScale="84" zoomScaleNormal="84" zoomScalePageLayoutView="0" workbookViewId="0" topLeftCell="A1">
      <selection activeCell="E43" sqref="E43"/>
    </sheetView>
  </sheetViews>
  <sheetFormatPr defaultColWidth="9.140625" defaultRowHeight="12.75"/>
  <cols>
    <col min="1" max="1" width="5.8515625" style="0" customWidth="1"/>
    <col min="2" max="2" width="39.8515625" style="0" customWidth="1"/>
    <col min="4" max="4" width="10.140625" style="0" bestFit="1" customWidth="1"/>
  </cols>
  <sheetData>
    <row r="1" spans="1:8" s="68" customFormat="1" ht="12.75">
      <c r="A1" s="263"/>
      <c r="B1" s="263"/>
      <c r="H1" s="11"/>
    </row>
    <row r="2" spans="1:5" s="68" customFormat="1" ht="39" customHeight="1">
      <c r="A2" s="261" t="s">
        <v>111</v>
      </c>
      <c r="B2" s="261"/>
      <c r="C2" s="261"/>
      <c r="D2" s="261"/>
      <c r="E2" s="261"/>
    </row>
    <row r="3" spans="1:2" ht="12.75">
      <c r="A3" s="262" t="s">
        <v>115</v>
      </c>
      <c r="B3" s="262"/>
    </row>
    <row r="4" spans="1:2" ht="15.75" customHeight="1">
      <c r="A4" s="264"/>
      <c r="B4" s="264"/>
    </row>
    <row r="5" spans="1:11" ht="12.75">
      <c r="A5" s="124" t="s">
        <v>174</v>
      </c>
      <c r="B5" s="123" t="s">
        <v>125</v>
      </c>
      <c r="C5" s="123" t="s">
        <v>113</v>
      </c>
      <c r="D5" s="191"/>
      <c r="E5" s="6"/>
      <c r="F5" s="6"/>
      <c r="G5" s="6"/>
      <c r="H5" s="6"/>
      <c r="I5" s="6"/>
      <c r="J5" s="6"/>
      <c r="K5" s="6"/>
    </row>
    <row r="6" spans="1:11" ht="12.75">
      <c r="A6" s="196">
        <v>1</v>
      </c>
      <c r="B6" t="s">
        <v>116</v>
      </c>
      <c r="C6">
        <v>350</v>
      </c>
      <c r="D6" s="6"/>
      <c r="E6" s="6"/>
      <c r="F6" s="6"/>
      <c r="G6" s="6"/>
      <c r="H6" s="6"/>
      <c r="I6" s="6"/>
      <c r="J6" s="6"/>
      <c r="K6" s="6"/>
    </row>
    <row r="7" spans="1:11" ht="12.75">
      <c r="A7" s="197"/>
      <c r="B7" t="s">
        <v>117</v>
      </c>
      <c r="C7" s="67">
        <v>0.02</v>
      </c>
      <c r="D7" s="6"/>
      <c r="E7" s="6"/>
      <c r="F7" s="6"/>
      <c r="G7" s="6"/>
      <c r="H7" s="6"/>
      <c r="I7" s="6"/>
      <c r="J7" s="6"/>
      <c r="K7" s="6"/>
    </row>
    <row r="8" spans="1:11" ht="12.75">
      <c r="A8" s="197">
        <v>1</v>
      </c>
      <c r="B8" s="2" t="s">
        <v>41</v>
      </c>
      <c r="C8" s="2">
        <v>30000</v>
      </c>
      <c r="D8" s="6"/>
      <c r="E8" s="6"/>
      <c r="F8" s="6"/>
      <c r="G8" s="6"/>
      <c r="H8" s="6"/>
      <c r="I8" s="6"/>
      <c r="J8" s="6"/>
      <c r="K8" s="6"/>
    </row>
    <row r="9" spans="1:11" ht="12.75">
      <c r="A9" s="197">
        <v>2</v>
      </c>
      <c r="B9" s="2" t="s">
        <v>118</v>
      </c>
      <c r="C9" s="2">
        <v>0.15</v>
      </c>
      <c r="D9" s="6"/>
      <c r="E9" s="6"/>
      <c r="F9" s="6"/>
      <c r="G9" s="6"/>
      <c r="H9" s="6"/>
      <c r="I9" s="6"/>
      <c r="J9" s="6"/>
      <c r="K9" s="6"/>
    </row>
    <row r="10" spans="1:11" ht="12.75">
      <c r="A10" s="197">
        <v>1</v>
      </c>
      <c r="B10" s="2" t="s">
        <v>119</v>
      </c>
      <c r="C10" s="2">
        <f>C9*0.5</f>
        <v>0.075</v>
      </c>
      <c r="D10" s="6"/>
      <c r="E10" s="6"/>
      <c r="F10" s="6"/>
      <c r="G10" s="6"/>
      <c r="H10" s="6"/>
      <c r="I10" s="6"/>
      <c r="J10" s="6"/>
      <c r="K10" s="6"/>
    </row>
    <row r="11" spans="1:11" ht="16.5" customHeight="1">
      <c r="A11" s="198" t="s">
        <v>177</v>
      </c>
      <c r="B11" s="125" t="s">
        <v>121</v>
      </c>
      <c r="C11" s="126">
        <f>'ERR &amp; Sensitivity Analysis'!G13</f>
        <v>0.5</v>
      </c>
      <c r="D11" s="6"/>
      <c r="E11" s="6"/>
      <c r="F11" s="6"/>
      <c r="G11" s="6"/>
      <c r="H11" s="6"/>
      <c r="I11" s="6"/>
      <c r="J11" s="6"/>
      <c r="K11" s="6"/>
    </row>
    <row r="12" spans="1:3" ht="25.5">
      <c r="A12" s="197"/>
      <c r="B12" s="68" t="s">
        <v>120</v>
      </c>
      <c r="C12" s="105">
        <v>6</v>
      </c>
    </row>
    <row r="13" ht="12.75">
      <c r="A13" s="192"/>
    </row>
    <row r="14" ht="12.75">
      <c r="A14" s="192"/>
    </row>
    <row r="15" spans="1:23" ht="12.75">
      <c r="A15" s="192"/>
      <c r="B15" s="117" t="s">
        <v>37</v>
      </c>
      <c r="C15" s="107"/>
      <c r="D15" s="107">
        <v>1</v>
      </c>
      <c r="E15" s="107">
        <v>2</v>
      </c>
      <c r="F15" s="107">
        <v>3</v>
      </c>
      <c r="G15" s="107">
        <v>4</v>
      </c>
      <c r="H15" s="107">
        <v>5</v>
      </c>
      <c r="I15" s="107">
        <v>6</v>
      </c>
      <c r="J15" s="107">
        <v>7</v>
      </c>
      <c r="K15" s="107">
        <v>8</v>
      </c>
      <c r="L15" s="107">
        <v>9</v>
      </c>
      <c r="M15" s="107">
        <v>10</v>
      </c>
      <c r="N15" s="107">
        <v>11</v>
      </c>
      <c r="O15" s="107">
        <v>12</v>
      </c>
      <c r="P15" s="107">
        <v>13</v>
      </c>
      <c r="Q15" s="107">
        <v>14</v>
      </c>
      <c r="R15" s="107">
        <v>15</v>
      </c>
      <c r="S15" s="107">
        <v>16</v>
      </c>
      <c r="T15" s="107">
        <v>17</v>
      </c>
      <c r="U15" s="107">
        <v>18</v>
      </c>
      <c r="V15" s="107">
        <v>19</v>
      </c>
      <c r="W15" s="108">
        <v>20</v>
      </c>
    </row>
    <row r="16" spans="1:23" ht="12.75">
      <c r="A16" s="192"/>
      <c r="B16" s="109" t="s">
        <v>122</v>
      </c>
      <c r="C16" s="6"/>
      <c r="D16" s="127">
        <v>0</v>
      </c>
      <c r="E16" s="127">
        <f aca="true" t="shared" si="0" ref="E16:W16">IF(E15&gt;full_dev,D16,legal_c_wo-(legal_c_wo-legal_c_w)/(full_dev-1)*(E15-1))</f>
        <v>0.135</v>
      </c>
      <c r="F16" s="127">
        <f t="shared" si="0"/>
        <v>0.12</v>
      </c>
      <c r="G16" s="127">
        <f t="shared" si="0"/>
        <v>0.105</v>
      </c>
      <c r="H16" s="127">
        <f t="shared" si="0"/>
        <v>0.09</v>
      </c>
      <c r="I16" s="127">
        <f t="shared" si="0"/>
        <v>0.075</v>
      </c>
      <c r="J16" s="127">
        <f t="shared" si="0"/>
        <v>0.075</v>
      </c>
      <c r="K16" s="127">
        <f t="shared" si="0"/>
        <v>0.075</v>
      </c>
      <c r="L16" s="127">
        <f t="shared" si="0"/>
        <v>0.075</v>
      </c>
      <c r="M16" s="127">
        <f t="shared" si="0"/>
        <v>0.075</v>
      </c>
      <c r="N16" s="127">
        <f t="shared" si="0"/>
        <v>0.075</v>
      </c>
      <c r="O16" s="127">
        <f t="shared" si="0"/>
        <v>0.075</v>
      </c>
      <c r="P16" s="127">
        <f t="shared" si="0"/>
        <v>0.075</v>
      </c>
      <c r="Q16" s="127">
        <f t="shared" si="0"/>
        <v>0.075</v>
      </c>
      <c r="R16" s="127">
        <f t="shared" si="0"/>
        <v>0.075</v>
      </c>
      <c r="S16" s="127">
        <f t="shared" si="0"/>
        <v>0.075</v>
      </c>
      <c r="T16" s="127">
        <f t="shared" si="0"/>
        <v>0.075</v>
      </c>
      <c r="U16" s="127">
        <f t="shared" si="0"/>
        <v>0.075</v>
      </c>
      <c r="V16" s="127">
        <f t="shared" si="0"/>
        <v>0.075</v>
      </c>
      <c r="W16" s="128">
        <f t="shared" si="0"/>
        <v>0.075</v>
      </c>
    </row>
    <row r="17" spans="1:23" ht="12.75">
      <c r="A17" s="192"/>
      <c r="B17" s="120" t="s">
        <v>123</v>
      </c>
      <c r="C17" s="7"/>
      <c r="D17" s="129">
        <v>0</v>
      </c>
      <c r="E17" s="130">
        <f aca="true" t="shared" si="1" ref="E17:W17">E16-legal_c_wo</f>
        <v>-0.014999999999999986</v>
      </c>
      <c r="F17" s="130">
        <f t="shared" si="1"/>
        <v>-0.03</v>
      </c>
      <c r="G17" s="130">
        <f t="shared" si="1"/>
        <v>-0.045</v>
      </c>
      <c r="H17" s="130">
        <f t="shared" si="1"/>
        <v>-0.06</v>
      </c>
      <c r="I17" s="130">
        <f t="shared" si="1"/>
        <v>-0.075</v>
      </c>
      <c r="J17" s="130">
        <f t="shared" si="1"/>
        <v>-0.075</v>
      </c>
      <c r="K17" s="130">
        <f t="shared" si="1"/>
        <v>-0.075</v>
      </c>
      <c r="L17" s="130">
        <f t="shared" si="1"/>
        <v>-0.075</v>
      </c>
      <c r="M17" s="130">
        <f t="shared" si="1"/>
        <v>-0.075</v>
      </c>
      <c r="N17" s="130">
        <f t="shared" si="1"/>
        <v>-0.075</v>
      </c>
      <c r="O17" s="130">
        <f t="shared" si="1"/>
        <v>-0.075</v>
      </c>
      <c r="P17" s="130">
        <f t="shared" si="1"/>
        <v>-0.075</v>
      </c>
      <c r="Q17" s="130">
        <f t="shared" si="1"/>
        <v>-0.075</v>
      </c>
      <c r="R17" s="130">
        <f t="shared" si="1"/>
        <v>-0.075</v>
      </c>
      <c r="S17" s="130">
        <f t="shared" si="1"/>
        <v>-0.075</v>
      </c>
      <c r="T17" s="130">
        <f t="shared" si="1"/>
        <v>-0.075</v>
      </c>
      <c r="U17" s="130">
        <f t="shared" si="1"/>
        <v>-0.075</v>
      </c>
      <c r="V17" s="130">
        <f t="shared" si="1"/>
        <v>-0.075</v>
      </c>
      <c r="W17" s="131">
        <f t="shared" si="1"/>
        <v>-0.075</v>
      </c>
    </row>
    <row r="18" spans="1:4" ht="12.75">
      <c r="A18" s="192"/>
      <c r="D18" s="50"/>
    </row>
    <row r="19" ht="12.75">
      <c r="A19" s="192"/>
    </row>
    <row r="20" spans="1:23" s="6" customFormat="1" ht="12.75">
      <c r="A20" s="193"/>
      <c r="B20" s="106" t="s">
        <v>46</v>
      </c>
      <c r="C20" s="107"/>
      <c r="D20" s="107"/>
      <c r="E20" s="107"/>
      <c r="F20" s="107"/>
      <c r="G20" s="107"/>
      <c r="H20" s="107"/>
      <c r="I20" s="107"/>
      <c r="J20" s="107"/>
      <c r="K20" s="107"/>
      <c r="L20" s="107"/>
      <c r="M20" s="107"/>
      <c r="N20" s="107"/>
      <c r="O20" s="107"/>
      <c r="P20" s="107"/>
      <c r="Q20" s="107"/>
      <c r="R20" s="107"/>
      <c r="S20" s="107"/>
      <c r="T20" s="107"/>
      <c r="U20" s="107"/>
      <c r="V20" s="107"/>
      <c r="W20" s="108"/>
    </row>
    <row r="21" spans="1:23" s="6" customFormat="1" ht="12.75">
      <c r="A21" s="193"/>
      <c r="B21" s="109" t="s">
        <v>37</v>
      </c>
      <c r="C21" s="6">
        <v>0</v>
      </c>
      <c r="D21" s="6">
        <v>1</v>
      </c>
      <c r="E21" s="6">
        <v>2</v>
      </c>
      <c r="F21" s="6">
        <v>3</v>
      </c>
      <c r="G21" s="6">
        <v>4</v>
      </c>
      <c r="H21" s="6">
        <v>5</v>
      </c>
      <c r="I21" s="6">
        <v>6</v>
      </c>
      <c r="J21" s="6">
        <v>7</v>
      </c>
      <c r="K21" s="6">
        <v>8</v>
      </c>
      <c r="L21" s="6">
        <v>9</v>
      </c>
      <c r="M21" s="6">
        <v>10</v>
      </c>
      <c r="N21" s="6">
        <v>11</v>
      </c>
      <c r="O21" s="6">
        <v>12</v>
      </c>
      <c r="P21" s="6">
        <v>13</v>
      </c>
      <c r="Q21" s="6">
        <v>14</v>
      </c>
      <c r="R21" s="6">
        <v>15</v>
      </c>
      <c r="S21" s="6">
        <v>16</v>
      </c>
      <c r="T21" s="6">
        <v>17</v>
      </c>
      <c r="U21" s="6">
        <v>18</v>
      </c>
      <c r="V21" s="6">
        <v>19</v>
      </c>
      <c r="W21" s="134">
        <v>20</v>
      </c>
    </row>
    <row r="22" spans="1:23" s="6" customFormat="1" ht="12.75">
      <c r="A22" s="193"/>
      <c r="B22" s="109" t="s">
        <v>42</v>
      </c>
      <c r="C22" s="132">
        <v>350</v>
      </c>
      <c r="D22" s="6">
        <f>C22*(1+growth_rate)</f>
        <v>357</v>
      </c>
      <c r="E22" s="121">
        <f aca="true" t="shared" si="2" ref="E22:W22">D22*(1+growth_rate)</f>
        <v>364.14</v>
      </c>
      <c r="F22" s="121">
        <f t="shared" si="2"/>
        <v>371.4228</v>
      </c>
      <c r="G22" s="121">
        <f t="shared" si="2"/>
        <v>378.851256</v>
      </c>
      <c r="H22" s="121">
        <f t="shared" si="2"/>
        <v>386.42828112</v>
      </c>
      <c r="I22" s="121">
        <f t="shared" si="2"/>
        <v>394.15684674240003</v>
      </c>
      <c r="J22" s="121">
        <f t="shared" si="2"/>
        <v>402.039983677248</v>
      </c>
      <c r="K22" s="121">
        <f t="shared" si="2"/>
        <v>410.080783350793</v>
      </c>
      <c r="L22" s="121">
        <f t="shared" si="2"/>
        <v>418.28239901780887</v>
      </c>
      <c r="M22" s="121">
        <f t="shared" si="2"/>
        <v>426.64804699816506</v>
      </c>
      <c r="N22" s="121">
        <f t="shared" si="2"/>
        <v>435.18100793812835</v>
      </c>
      <c r="O22" s="121">
        <f t="shared" si="2"/>
        <v>443.88462809689094</v>
      </c>
      <c r="P22" s="121">
        <f t="shared" si="2"/>
        <v>452.76232065882874</v>
      </c>
      <c r="Q22" s="121">
        <f t="shared" si="2"/>
        <v>461.8175670720053</v>
      </c>
      <c r="R22" s="121">
        <f t="shared" si="2"/>
        <v>471.05391841344544</v>
      </c>
      <c r="S22" s="121">
        <f t="shared" si="2"/>
        <v>480.47499678171437</v>
      </c>
      <c r="T22" s="121">
        <f t="shared" si="2"/>
        <v>490.08449671734866</v>
      </c>
      <c r="U22" s="121">
        <f t="shared" si="2"/>
        <v>499.88618665169565</v>
      </c>
      <c r="V22" s="121">
        <f t="shared" si="2"/>
        <v>509.8839103847296</v>
      </c>
      <c r="W22" s="135">
        <f t="shared" si="2"/>
        <v>520.0815885924242</v>
      </c>
    </row>
    <row r="23" spans="1:23" s="6" customFormat="1" ht="12.75">
      <c r="A23" s="193"/>
      <c r="B23" s="109" t="s">
        <v>124</v>
      </c>
      <c r="C23" s="133">
        <f>C22*case_val</f>
        <v>10500000</v>
      </c>
      <c r="D23" s="111">
        <f aca="true" t="shared" si="3" ref="D23:W23">D22*case_val</f>
        <v>10710000</v>
      </c>
      <c r="E23" s="111">
        <f t="shared" si="3"/>
        <v>10924200</v>
      </c>
      <c r="F23" s="111">
        <f t="shared" si="3"/>
        <v>11142684</v>
      </c>
      <c r="G23" s="111">
        <f t="shared" si="3"/>
        <v>11365537.68</v>
      </c>
      <c r="H23" s="111">
        <f t="shared" si="3"/>
        <v>11592848.433600001</v>
      </c>
      <c r="I23" s="111">
        <f t="shared" si="3"/>
        <v>11824705.402272</v>
      </c>
      <c r="J23" s="111">
        <f t="shared" si="3"/>
        <v>12061199.510317441</v>
      </c>
      <c r="K23" s="111">
        <f t="shared" si="3"/>
        <v>12302423.50052379</v>
      </c>
      <c r="L23" s="111">
        <f t="shared" si="3"/>
        <v>12548471.970534267</v>
      </c>
      <c r="M23" s="111">
        <f t="shared" si="3"/>
        <v>12799441.409944952</v>
      </c>
      <c r="N23" s="111">
        <f t="shared" si="3"/>
        <v>13055430.23814385</v>
      </c>
      <c r="O23" s="111">
        <f t="shared" si="3"/>
        <v>13316538.842906728</v>
      </c>
      <c r="P23" s="111">
        <f t="shared" si="3"/>
        <v>13582869.619764863</v>
      </c>
      <c r="Q23" s="111">
        <f t="shared" si="3"/>
        <v>13854527.01216016</v>
      </c>
      <c r="R23" s="111">
        <f t="shared" si="3"/>
        <v>14131617.552403362</v>
      </c>
      <c r="S23" s="111">
        <f t="shared" si="3"/>
        <v>14414249.903451432</v>
      </c>
      <c r="T23" s="111">
        <f t="shared" si="3"/>
        <v>14702534.901520459</v>
      </c>
      <c r="U23" s="111">
        <f t="shared" si="3"/>
        <v>14996585.59955087</v>
      </c>
      <c r="V23" s="111">
        <f t="shared" si="3"/>
        <v>15296517.311541887</v>
      </c>
      <c r="W23" s="112">
        <f t="shared" si="3"/>
        <v>15602447.657772725</v>
      </c>
    </row>
    <row r="24" spans="1:23" s="6" customFormat="1" ht="12.75">
      <c r="A24" s="193"/>
      <c r="B24" s="120" t="s">
        <v>43</v>
      </c>
      <c r="C24" s="51"/>
      <c r="D24" s="53">
        <f>D23*legal_c_wo</f>
        <v>1606500</v>
      </c>
      <c r="E24" s="53">
        <f aca="true" t="shared" si="4" ref="E24:W24">E23*legal_c_wo</f>
        <v>1638630</v>
      </c>
      <c r="F24" s="53">
        <f t="shared" si="4"/>
        <v>1671402.5999999999</v>
      </c>
      <c r="G24" s="53">
        <f t="shared" si="4"/>
        <v>1704830.652</v>
      </c>
      <c r="H24" s="53">
        <f t="shared" si="4"/>
        <v>1738927.2650400002</v>
      </c>
      <c r="I24" s="53">
        <f t="shared" si="4"/>
        <v>1773705.8103408</v>
      </c>
      <c r="J24" s="53">
        <f t="shared" si="4"/>
        <v>1809179.926547616</v>
      </c>
      <c r="K24" s="53">
        <f t="shared" si="4"/>
        <v>1845363.5250785686</v>
      </c>
      <c r="L24" s="53">
        <f t="shared" si="4"/>
        <v>1882270.79558014</v>
      </c>
      <c r="M24" s="53">
        <f t="shared" si="4"/>
        <v>1919916.2114917426</v>
      </c>
      <c r="N24" s="53">
        <f t="shared" si="4"/>
        <v>1958314.5357215775</v>
      </c>
      <c r="O24" s="53">
        <f t="shared" si="4"/>
        <v>1997480.8264360093</v>
      </c>
      <c r="P24" s="53">
        <f t="shared" si="4"/>
        <v>2037430.4429647294</v>
      </c>
      <c r="Q24" s="53">
        <f t="shared" si="4"/>
        <v>2078179.051824024</v>
      </c>
      <c r="R24" s="53">
        <f t="shared" si="4"/>
        <v>2119742.632860504</v>
      </c>
      <c r="S24" s="53">
        <f t="shared" si="4"/>
        <v>2162137.4855177146</v>
      </c>
      <c r="T24" s="53">
        <f t="shared" si="4"/>
        <v>2205380.2352280687</v>
      </c>
      <c r="U24" s="53">
        <f t="shared" si="4"/>
        <v>2249487.8399326303</v>
      </c>
      <c r="V24" s="53">
        <f t="shared" si="4"/>
        <v>2294477.596731283</v>
      </c>
      <c r="W24" s="136">
        <f t="shared" si="4"/>
        <v>2340367.1486659087</v>
      </c>
    </row>
    <row r="25" ht="12.75">
      <c r="A25" s="192"/>
    </row>
    <row r="26" spans="1:23" ht="12.75">
      <c r="A26" s="192"/>
      <c r="B26" s="106" t="s">
        <v>166</v>
      </c>
      <c r="C26" s="107"/>
      <c r="D26" s="107"/>
      <c r="E26" s="107"/>
      <c r="F26" s="107"/>
      <c r="G26" s="107"/>
      <c r="H26" s="107"/>
      <c r="I26" s="107"/>
      <c r="J26" s="107"/>
      <c r="K26" s="107"/>
      <c r="L26" s="107"/>
      <c r="M26" s="107"/>
      <c r="N26" s="107"/>
      <c r="O26" s="107"/>
      <c r="P26" s="107"/>
      <c r="Q26" s="107"/>
      <c r="R26" s="107"/>
      <c r="S26" s="107"/>
      <c r="T26" s="107"/>
      <c r="U26" s="107"/>
      <c r="V26" s="107"/>
      <c r="W26" s="108"/>
    </row>
    <row r="27" spans="1:23" ht="12.75">
      <c r="A27" s="192"/>
      <c r="B27" s="109" t="s">
        <v>37</v>
      </c>
      <c r="C27" s="6">
        <v>0</v>
      </c>
      <c r="D27" s="6">
        <v>1</v>
      </c>
      <c r="E27" s="6">
        <v>2</v>
      </c>
      <c r="F27" s="6">
        <v>3</v>
      </c>
      <c r="G27" s="6">
        <v>4</v>
      </c>
      <c r="H27" s="6">
        <v>5</v>
      </c>
      <c r="I27" s="6">
        <v>6</v>
      </c>
      <c r="J27" s="6">
        <v>7</v>
      </c>
      <c r="K27" s="6">
        <v>8</v>
      </c>
      <c r="L27" s="6">
        <v>9</v>
      </c>
      <c r="M27" s="6">
        <v>10</v>
      </c>
      <c r="N27" s="6">
        <v>11</v>
      </c>
      <c r="O27" s="6">
        <v>12</v>
      </c>
      <c r="P27" s="6">
        <v>13</v>
      </c>
      <c r="Q27" s="6">
        <v>14</v>
      </c>
      <c r="R27" s="6">
        <v>15</v>
      </c>
      <c r="S27" s="6">
        <v>16</v>
      </c>
      <c r="T27" s="6">
        <v>17</v>
      </c>
      <c r="U27" s="6">
        <v>18</v>
      </c>
      <c r="V27" s="6">
        <v>19</v>
      </c>
      <c r="W27" s="134">
        <v>20</v>
      </c>
    </row>
    <row r="28" spans="1:24" ht="12.75">
      <c r="A28" s="192"/>
      <c r="B28" s="109" t="s">
        <v>42</v>
      </c>
      <c r="C28" s="6"/>
      <c r="D28" s="121">
        <f>D22</f>
        <v>357</v>
      </c>
      <c r="E28" s="121">
        <f aca="true" t="shared" si="5" ref="E28:W28">E22</f>
        <v>364.14</v>
      </c>
      <c r="F28" s="121">
        <f t="shared" si="5"/>
        <v>371.4228</v>
      </c>
      <c r="G28" s="121">
        <f t="shared" si="5"/>
        <v>378.851256</v>
      </c>
      <c r="H28" s="121">
        <f t="shared" si="5"/>
        <v>386.42828112</v>
      </c>
      <c r="I28" s="121">
        <f t="shared" si="5"/>
        <v>394.15684674240003</v>
      </c>
      <c r="J28" s="121">
        <f t="shared" si="5"/>
        <v>402.039983677248</v>
      </c>
      <c r="K28" s="121">
        <f t="shared" si="5"/>
        <v>410.080783350793</v>
      </c>
      <c r="L28" s="121">
        <f t="shared" si="5"/>
        <v>418.28239901780887</v>
      </c>
      <c r="M28" s="121">
        <f t="shared" si="5"/>
        <v>426.64804699816506</v>
      </c>
      <c r="N28" s="121">
        <f t="shared" si="5"/>
        <v>435.18100793812835</v>
      </c>
      <c r="O28" s="121">
        <f t="shared" si="5"/>
        <v>443.88462809689094</v>
      </c>
      <c r="P28" s="121">
        <f t="shared" si="5"/>
        <v>452.76232065882874</v>
      </c>
      <c r="Q28" s="121">
        <f t="shared" si="5"/>
        <v>461.8175670720053</v>
      </c>
      <c r="R28" s="121">
        <f t="shared" si="5"/>
        <v>471.05391841344544</v>
      </c>
      <c r="S28" s="121">
        <f t="shared" si="5"/>
        <v>480.47499678171437</v>
      </c>
      <c r="T28" s="121">
        <f t="shared" si="5"/>
        <v>490.08449671734866</v>
      </c>
      <c r="U28" s="121">
        <f t="shared" si="5"/>
        <v>499.88618665169565</v>
      </c>
      <c r="V28" s="121">
        <f t="shared" si="5"/>
        <v>509.8839103847296</v>
      </c>
      <c r="W28" s="135">
        <f t="shared" si="5"/>
        <v>520.0815885924242</v>
      </c>
      <c r="X28" s="49"/>
    </row>
    <row r="29" spans="1:23" ht="12.75">
      <c r="A29" s="192"/>
      <c r="B29" s="109" t="s">
        <v>124</v>
      </c>
      <c r="C29" s="6"/>
      <c r="D29" s="111">
        <f aca="true" t="shared" si="6" ref="D29:W29">D28*case_val</f>
        <v>10710000</v>
      </c>
      <c r="E29" s="111">
        <f t="shared" si="6"/>
        <v>10924200</v>
      </c>
      <c r="F29" s="111">
        <f t="shared" si="6"/>
        <v>11142684</v>
      </c>
      <c r="G29" s="111">
        <f t="shared" si="6"/>
        <v>11365537.68</v>
      </c>
      <c r="H29" s="111">
        <f>H28*case_val</f>
        <v>11592848.433600001</v>
      </c>
      <c r="I29" s="111">
        <f t="shared" si="6"/>
        <v>11824705.402272</v>
      </c>
      <c r="J29" s="111">
        <f t="shared" si="6"/>
        <v>12061199.510317441</v>
      </c>
      <c r="K29" s="111">
        <f t="shared" si="6"/>
        <v>12302423.50052379</v>
      </c>
      <c r="L29" s="111">
        <f t="shared" si="6"/>
        <v>12548471.970534267</v>
      </c>
      <c r="M29" s="111">
        <f t="shared" si="6"/>
        <v>12799441.409944952</v>
      </c>
      <c r="N29" s="111">
        <f t="shared" si="6"/>
        <v>13055430.23814385</v>
      </c>
      <c r="O29" s="111">
        <f t="shared" si="6"/>
        <v>13316538.842906728</v>
      </c>
      <c r="P29" s="111">
        <f t="shared" si="6"/>
        <v>13582869.619764863</v>
      </c>
      <c r="Q29" s="111">
        <f t="shared" si="6"/>
        <v>13854527.01216016</v>
      </c>
      <c r="R29" s="111">
        <f t="shared" si="6"/>
        <v>14131617.552403362</v>
      </c>
      <c r="S29" s="111">
        <f t="shared" si="6"/>
        <v>14414249.903451432</v>
      </c>
      <c r="T29" s="111">
        <f t="shared" si="6"/>
        <v>14702534.901520459</v>
      </c>
      <c r="U29" s="111">
        <f t="shared" si="6"/>
        <v>14996585.59955087</v>
      </c>
      <c r="V29" s="111">
        <f t="shared" si="6"/>
        <v>15296517.311541887</v>
      </c>
      <c r="W29" s="112">
        <f t="shared" si="6"/>
        <v>15602447.657772725</v>
      </c>
    </row>
    <row r="30" spans="1:23" ht="12.75">
      <c r="A30" s="192"/>
      <c r="B30" s="120" t="s">
        <v>43</v>
      </c>
      <c r="C30" s="7"/>
      <c r="D30" s="53">
        <f>D24</f>
        <v>1606500</v>
      </c>
      <c r="E30" s="53">
        <f>E29*E16</f>
        <v>1474767</v>
      </c>
      <c r="F30" s="53">
        <f aca="true" t="shared" si="7" ref="F30:W30">F29*legal_c_w</f>
        <v>835701.2999999999</v>
      </c>
      <c r="G30" s="53">
        <f t="shared" si="7"/>
        <v>852415.326</v>
      </c>
      <c r="H30" s="53">
        <f t="shared" si="7"/>
        <v>869463.6325200001</v>
      </c>
      <c r="I30" s="53">
        <f t="shared" si="7"/>
        <v>886852.9051704</v>
      </c>
      <c r="J30" s="53">
        <f t="shared" si="7"/>
        <v>904589.963273808</v>
      </c>
      <c r="K30" s="53">
        <f t="shared" si="7"/>
        <v>922681.7625392843</v>
      </c>
      <c r="L30" s="53">
        <f t="shared" si="7"/>
        <v>941135.39779007</v>
      </c>
      <c r="M30" s="53">
        <f t="shared" si="7"/>
        <v>959958.1057458713</v>
      </c>
      <c r="N30" s="53">
        <f t="shared" si="7"/>
        <v>979157.2678607887</v>
      </c>
      <c r="O30" s="53">
        <f t="shared" si="7"/>
        <v>998740.4132180046</v>
      </c>
      <c r="P30" s="53">
        <f t="shared" si="7"/>
        <v>1018715.2214823647</v>
      </c>
      <c r="Q30" s="53">
        <f t="shared" si="7"/>
        <v>1039089.525912012</v>
      </c>
      <c r="R30" s="53">
        <f t="shared" si="7"/>
        <v>1059871.316430252</v>
      </c>
      <c r="S30" s="53">
        <f t="shared" si="7"/>
        <v>1081068.7427588573</v>
      </c>
      <c r="T30" s="53">
        <f t="shared" si="7"/>
        <v>1102690.1176140343</v>
      </c>
      <c r="U30" s="53">
        <f t="shared" si="7"/>
        <v>1124743.9199663152</v>
      </c>
      <c r="V30" s="53">
        <f t="shared" si="7"/>
        <v>1147238.7983656414</v>
      </c>
      <c r="W30" s="136">
        <f t="shared" si="7"/>
        <v>1170183.5743329544</v>
      </c>
    </row>
    <row r="31" ht="12.75">
      <c r="A31" s="192"/>
    </row>
    <row r="32" spans="1:23" ht="12.75">
      <c r="A32" s="192"/>
      <c r="B32" s="106" t="s">
        <v>126</v>
      </c>
      <c r="C32" s="107"/>
      <c r="D32" s="137">
        <f>-(D30-D24)</f>
        <v>0</v>
      </c>
      <c r="E32" s="137">
        <f aca="true" t="shared" si="8" ref="E32:W32">-(E30-E24)</f>
        <v>163863</v>
      </c>
      <c r="F32" s="137">
        <f t="shared" si="8"/>
        <v>835701.2999999999</v>
      </c>
      <c r="G32" s="137">
        <f t="shared" si="8"/>
        <v>852415.326</v>
      </c>
      <c r="H32" s="137">
        <f t="shared" si="8"/>
        <v>869463.6325200001</v>
      </c>
      <c r="I32" s="137">
        <f t="shared" si="8"/>
        <v>886852.9051704</v>
      </c>
      <c r="J32" s="137">
        <f t="shared" si="8"/>
        <v>904589.963273808</v>
      </c>
      <c r="K32" s="137">
        <f t="shared" si="8"/>
        <v>922681.7625392843</v>
      </c>
      <c r="L32" s="137">
        <f t="shared" si="8"/>
        <v>941135.39779007</v>
      </c>
      <c r="M32" s="137">
        <f t="shared" si="8"/>
        <v>959958.1057458713</v>
      </c>
      <c r="N32" s="137">
        <f t="shared" si="8"/>
        <v>979157.2678607887</v>
      </c>
      <c r="O32" s="137">
        <f t="shared" si="8"/>
        <v>998740.4132180046</v>
      </c>
      <c r="P32" s="137">
        <f t="shared" si="8"/>
        <v>1018715.2214823647</v>
      </c>
      <c r="Q32" s="137">
        <f t="shared" si="8"/>
        <v>1039089.525912012</v>
      </c>
      <c r="R32" s="137">
        <f t="shared" si="8"/>
        <v>1059871.316430252</v>
      </c>
      <c r="S32" s="137">
        <f t="shared" si="8"/>
        <v>1081068.7427588573</v>
      </c>
      <c r="T32" s="137">
        <f t="shared" si="8"/>
        <v>1102690.1176140343</v>
      </c>
      <c r="U32" s="137">
        <f t="shared" si="8"/>
        <v>1124743.9199663152</v>
      </c>
      <c r="V32" s="137">
        <f t="shared" si="8"/>
        <v>1147238.7983656414</v>
      </c>
      <c r="W32" s="138">
        <f t="shared" si="8"/>
        <v>1170183.5743329544</v>
      </c>
    </row>
    <row r="33" spans="1:23" ht="12.75">
      <c r="A33" s="192"/>
      <c r="B33" s="139" t="s">
        <v>127</v>
      </c>
      <c r="C33" s="6"/>
      <c r="D33" s="140"/>
      <c r="E33" s="140"/>
      <c r="F33" s="140"/>
      <c r="G33" s="140"/>
      <c r="H33" s="140"/>
      <c r="I33" s="140"/>
      <c r="J33" s="140"/>
      <c r="K33" s="140"/>
      <c r="L33" s="140"/>
      <c r="M33" s="140"/>
      <c r="N33" s="140"/>
      <c r="O33" s="140"/>
      <c r="P33" s="140"/>
      <c r="Q33" s="140"/>
      <c r="R33" s="140"/>
      <c r="S33" s="140"/>
      <c r="T33" s="140"/>
      <c r="U33" s="140"/>
      <c r="V33" s="140"/>
      <c r="W33" s="141"/>
    </row>
    <row r="34" spans="1:23" ht="12.75">
      <c r="A34" s="192"/>
      <c r="B34" s="109" t="s">
        <v>44</v>
      </c>
      <c r="C34" s="6"/>
      <c r="D34" s="140">
        <v>600000</v>
      </c>
      <c r="E34" s="140">
        <v>775000</v>
      </c>
      <c r="F34" s="140">
        <v>925000</v>
      </c>
      <c r="G34" s="140">
        <v>315000</v>
      </c>
      <c r="H34" s="140">
        <v>185000</v>
      </c>
      <c r="I34" s="6"/>
      <c r="J34" s="6"/>
      <c r="K34" s="6"/>
      <c r="L34" s="6"/>
      <c r="M34" s="6"/>
      <c r="N34" s="6"/>
      <c r="O34" s="6"/>
      <c r="P34" s="6"/>
      <c r="Q34" s="6"/>
      <c r="R34" s="6"/>
      <c r="S34" s="6"/>
      <c r="T34" s="6"/>
      <c r="U34" s="6"/>
      <c r="V34" s="6"/>
      <c r="W34" s="134"/>
    </row>
    <row r="35" spans="1:23" ht="12.75">
      <c r="A35" s="192">
        <v>4</v>
      </c>
      <c r="B35" s="109" t="s">
        <v>45</v>
      </c>
      <c r="C35" s="6"/>
      <c r="D35" s="6"/>
      <c r="E35" s="142">
        <f>C11*10^6</f>
        <v>500000</v>
      </c>
      <c r="F35" s="140">
        <f>E35</f>
        <v>500000</v>
      </c>
      <c r="G35" s="140">
        <f aca="true" t="shared" si="9" ref="G35:W35">F35</f>
        <v>500000</v>
      </c>
      <c r="H35" s="140">
        <f t="shared" si="9"/>
        <v>500000</v>
      </c>
      <c r="I35" s="140">
        <f t="shared" si="9"/>
        <v>500000</v>
      </c>
      <c r="J35" s="140">
        <f t="shared" si="9"/>
        <v>500000</v>
      </c>
      <c r="K35" s="140">
        <f t="shared" si="9"/>
        <v>500000</v>
      </c>
      <c r="L35" s="140">
        <f t="shared" si="9"/>
        <v>500000</v>
      </c>
      <c r="M35" s="140">
        <f t="shared" si="9"/>
        <v>500000</v>
      </c>
      <c r="N35" s="140">
        <f t="shared" si="9"/>
        <v>500000</v>
      </c>
      <c r="O35" s="140">
        <f t="shared" si="9"/>
        <v>500000</v>
      </c>
      <c r="P35" s="140">
        <f t="shared" si="9"/>
        <v>500000</v>
      </c>
      <c r="Q35" s="140">
        <f t="shared" si="9"/>
        <v>500000</v>
      </c>
      <c r="R35" s="140">
        <f t="shared" si="9"/>
        <v>500000</v>
      </c>
      <c r="S35" s="140">
        <f t="shared" si="9"/>
        <v>500000</v>
      </c>
      <c r="T35" s="140">
        <f t="shared" si="9"/>
        <v>500000</v>
      </c>
      <c r="U35" s="140">
        <f t="shared" si="9"/>
        <v>500000</v>
      </c>
      <c r="V35" s="140">
        <f t="shared" si="9"/>
        <v>500000</v>
      </c>
      <c r="W35" s="141">
        <f t="shared" si="9"/>
        <v>500000</v>
      </c>
    </row>
    <row r="36" spans="1:23" ht="12.75">
      <c r="A36" s="192"/>
      <c r="B36" s="109" t="s">
        <v>39</v>
      </c>
      <c r="C36" s="6"/>
      <c r="D36" s="140">
        <f>D35+D34</f>
        <v>600000</v>
      </c>
      <c r="E36" s="140">
        <f>E35+E34</f>
        <v>1275000</v>
      </c>
      <c r="F36" s="140">
        <f aca="true" t="shared" si="10" ref="F36:W36">F35+F34</f>
        <v>1425000</v>
      </c>
      <c r="G36" s="140">
        <f t="shared" si="10"/>
        <v>815000</v>
      </c>
      <c r="H36" s="140">
        <f t="shared" si="10"/>
        <v>685000</v>
      </c>
      <c r="I36" s="140">
        <f t="shared" si="10"/>
        <v>500000</v>
      </c>
      <c r="J36" s="140">
        <f t="shared" si="10"/>
        <v>500000</v>
      </c>
      <c r="K36" s="140">
        <f t="shared" si="10"/>
        <v>500000</v>
      </c>
      <c r="L36" s="140">
        <f t="shared" si="10"/>
        <v>500000</v>
      </c>
      <c r="M36" s="140">
        <f t="shared" si="10"/>
        <v>500000</v>
      </c>
      <c r="N36" s="140">
        <f t="shared" si="10"/>
        <v>500000</v>
      </c>
      <c r="O36" s="140">
        <f t="shared" si="10"/>
        <v>500000</v>
      </c>
      <c r="P36" s="140">
        <f t="shared" si="10"/>
        <v>500000</v>
      </c>
      <c r="Q36" s="140">
        <f t="shared" si="10"/>
        <v>500000</v>
      </c>
      <c r="R36" s="140">
        <f t="shared" si="10"/>
        <v>500000</v>
      </c>
      <c r="S36" s="140">
        <f t="shared" si="10"/>
        <v>500000</v>
      </c>
      <c r="T36" s="140">
        <f t="shared" si="10"/>
        <v>500000</v>
      </c>
      <c r="U36" s="140">
        <f t="shared" si="10"/>
        <v>500000</v>
      </c>
      <c r="V36" s="140">
        <f t="shared" si="10"/>
        <v>500000</v>
      </c>
      <c r="W36" s="141">
        <f t="shared" si="10"/>
        <v>500000</v>
      </c>
    </row>
    <row r="37" spans="2:23" ht="12.75">
      <c r="B37" s="143" t="s">
        <v>128</v>
      </c>
      <c r="C37" s="7"/>
      <c r="D37" s="53">
        <f>D32-D36</f>
        <v>-600000</v>
      </c>
      <c r="E37" s="53">
        <f aca="true" t="shared" si="11" ref="E37:W37">E32-E36</f>
        <v>-1111137</v>
      </c>
      <c r="F37" s="53">
        <f t="shared" si="11"/>
        <v>-589298.7000000001</v>
      </c>
      <c r="G37" s="53">
        <f t="shared" si="11"/>
        <v>37415.326</v>
      </c>
      <c r="H37" s="53">
        <f t="shared" si="11"/>
        <v>184463.6325200001</v>
      </c>
      <c r="I37" s="53">
        <f t="shared" si="11"/>
        <v>386852.90517040004</v>
      </c>
      <c r="J37" s="53">
        <f t="shared" si="11"/>
        <v>404589.963273808</v>
      </c>
      <c r="K37" s="53">
        <f t="shared" si="11"/>
        <v>422681.7625392843</v>
      </c>
      <c r="L37" s="53">
        <f t="shared" si="11"/>
        <v>441135.39779007004</v>
      </c>
      <c r="M37" s="53">
        <f t="shared" si="11"/>
        <v>459958.1057458713</v>
      </c>
      <c r="N37" s="53">
        <f t="shared" si="11"/>
        <v>479157.26786078874</v>
      </c>
      <c r="O37" s="53">
        <f t="shared" si="11"/>
        <v>498740.4132180046</v>
      </c>
      <c r="P37" s="53">
        <f t="shared" si="11"/>
        <v>518715.2214823647</v>
      </c>
      <c r="Q37" s="53">
        <f t="shared" si="11"/>
        <v>539089.525912012</v>
      </c>
      <c r="R37" s="53">
        <f t="shared" si="11"/>
        <v>559871.316430252</v>
      </c>
      <c r="S37" s="53">
        <f t="shared" si="11"/>
        <v>581068.7427588573</v>
      </c>
      <c r="T37" s="53">
        <f t="shared" si="11"/>
        <v>602690.1176140343</v>
      </c>
      <c r="U37" s="53">
        <f t="shared" si="11"/>
        <v>624743.9199663152</v>
      </c>
      <c r="V37" s="53">
        <f t="shared" si="11"/>
        <v>647238.7983656414</v>
      </c>
      <c r="W37" s="136">
        <f t="shared" si="11"/>
        <v>670183.5743329544</v>
      </c>
    </row>
    <row r="39" spans="2:5" ht="12.75">
      <c r="B39" s="62" t="s">
        <v>0</v>
      </c>
      <c r="C39" s="94">
        <f>IRR(D37:W37,0.1)</f>
        <v>0.1295862984488314</v>
      </c>
      <c r="E39" s="48"/>
    </row>
    <row r="40" spans="2:3" ht="12.75">
      <c r="B40" s="144" t="s">
        <v>112</v>
      </c>
      <c r="C40" s="145">
        <f>NPV(0.092,D37:W37)</f>
        <v>727074.8952939094</v>
      </c>
    </row>
    <row r="41" spans="2:3" ht="12.75">
      <c r="B41" s="146" t="s">
        <v>129</v>
      </c>
      <c r="C41" s="147">
        <f>NPV(0.1,D37:W37)</f>
        <v>537789.9346326038</v>
      </c>
    </row>
    <row r="45" spans="2:3" ht="12.75">
      <c r="B45" s="195" t="s">
        <v>175</v>
      </c>
      <c r="C45" s="2" t="s">
        <v>176</v>
      </c>
    </row>
    <row r="46" spans="2:3" ht="12.75">
      <c r="B46" s="134">
        <v>1</v>
      </c>
      <c r="C46" s="2" t="s">
        <v>83</v>
      </c>
    </row>
    <row r="47" spans="2:3" ht="12.75">
      <c r="B47" s="134">
        <v>2</v>
      </c>
      <c r="C47" s="2" t="s">
        <v>178</v>
      </c>
    </row>
    <row r="48" spans="2:3" ht="12.75">
      <c r="B48" s="134">
        <v>3</v>
      </c>
      <c r="C48" s="2" t="s">
        <v>179</v>
      </c>
    </row>
    <row r="49" spans="2:3" ht="12.75">
      <c r="B49" s="134">
        <v>4</v>
      </c>
      <c r="C49" s="2" t="s">
        <v>180</v>
      </c>
    </row>
  </sheetData>
  <sheetProtection/>
  <mergeCells count="4">
    <mergeCell ref="A2:E2"/>
    <mergeCell ref="A3:B3"/>
    <mergeCell ref="A1:B1"/>
    <mergeCell ref="A4:B4"/>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6"/>
  <dimension ref="A1:AA101"/>
  <sheetViews>
    <sheetView zoomScale="80" zoomScaleNormal="80" zoomScalePageLayoutView="0" workbookViewId="0" topLeftCell="A1">
      <selection activeCell="H98" sqref="H98"/>
    </sheetView>
  </sheetViews>
  <sheetFormatPr defaultColWidth="9.140625" defaultRowHeight="12.75"/>
  <cols>
    <col min="1" max="1" width="6.28125" style="0" customWidth="1"/>
    <col min="2" max="2" width="50.7109375" style="0" customWidth="1"/>
    <col min="3" max="3" width="10.28125" style="0" customWidth="1"/>
    <col min="4" max="4" width="10.57421875" style="0" bestFit="1" customWidth="1"/>
  </cols>
  <sheetData>
    <row r="1" spans="1:8" s="68" customFormat="1" ht="12.75">
      <c r="A1" s="263"/>
      <c r="B1" s="263"/>
      <c r="H1" s="11"/>
    </row>
    <row r="2" spans="1:5" s="68" customFormat="1" ht="39" customHeight="1">
      <c r="A2" s="261" t="s">
        <v>111</v>
      </c>
      <c r="B2" s="261"/>
      <c r="C2" s="261"/>
      <c r="D2" s="261"/>
      <c r="E2" s="261"/>
    </row>
    <row r="3" spans="1:2" ht="12.75">
      <c r="A3" s="262" t="s">
        <v>130</v>
      </c>
      <c r="B3" s="262"/>
    </row>
    <row r="4" ht="15.75">
      <c r="B4" s="104"/>
    </row>
    <row r="5" spans="1:10" ht="12.75">
      <c r="A5" s="199" t="s">
        <v>174</v>
      </c>
      <c r="B5" s="123" t="s">
        <v>125</v>
      </c>
      <c r="C5" s="123" t="s">
        <v>113</v>
      </c>
      <c r="D5" s="191"/>
      <c r="E5" s="6"/>
      <c r="F5" s="6"/>
      <c r="G5" s="6"/>
      <c r="H5" s="6"/>
      <c r="I5" s="6"/>
      <c r="J5" s="6"/>
    </row>
    <row r="6" spans="1:10" ht="12.75">
      <c r="A6" s="134">
        <v>1</v>
      </c>
      <c r="B6" t="s">
        <v>158</v>
      </c>
      <c r="C6">
        <v>500</v>
      </c>
      <c r="D6" s="6"/>
      <c r="E6" s="6"/>
      <c r="F6" s="6"/>
      <c r="G6" s="6"/>
      <c r="H6" s="6"/>
      <c r="I6" s="6"/>
      <c r="J6" s="6"/>
    </row>
    <row r="7" spans="1:14" ht="12.75">
      <c r="A7" s="134">
        <v>2</v>
      </c>
      <c r="B7" t="s">
        <v>159</v>
      </c>
      <c r="C7" s="54">
        <f>100/15000</f>
        <v>0.006666666666666667</v>
      </c>
      <c r="D7" s="6"/>
      <c r="E7" s="6"/>
      <c r="F7" s="6"/>
      <c r="G7" s="6"/>
      <c r="H7" s="6"/>
      <c r="I7" s="6"/>
      <c r="J7" s="6"/>
      <c r="N7" s="46"/>
    </row>
    <row r="8" spans="1:14" ht="12.75">
      <c r="A8" s="134"/>
      <c r="B8" t="s">
        <v>160</v>
      </c>
      <c r="C8" s="54">
        <f>100/15000</f>
        <v>0.006666666666666667</v>
      </c>
      <c r="D8" s="6"/>
      <c r="E8" s="6"/>
      <c r="F8" s="6"/>
      <c r="G8" s="6"/>
      <c r="H8" s="6"/>
      <c r="I8" s="6"/>
      <c r="J8" s="6"/>
      <c r="N8" s="46"/>
    </row>
    <row r="9" spans="1:14" ht="12.75">
      <c r="A9" s="134"/>
      <c r="B9" t="s">
        <v>161</v>
      </c>
      <c r="C9" s="54">
        <f>100/15000</f>
        <v>0.006666666666666667</v>
      </c>
      <c r="D9" s="6"/>
      <c r="E9" s="6"/>
      <c r="F9" s="6"/>
      <c r="G9" s="6"/>
      <c r="H9" s="6"/>
      <c r="I9" s="6"/>
      <c r="J9" s="6"/>
      <c r="N9" s="46"/>
    </row>
    <row r="10" spans="1:10" ht="12.75">
      <c r="A10" s="134">
        <v>3</v>
      </c>
      <c r="B10" t="s">
        <v>47</v>
      </c>
      <c r="C10">
        <v>15000</v>
      </c>
      <c r="D10" s="6"/>
      <c r="E10" s="6"/>
      <c r="F10" s="6"/>
      <c r="G10" s="6"/>
      <c r="H10" s="6"/>
      <c r="I10" s="6"/>
      <c r="J10" s="6"/>
    </row>
    <row r="11" spans="1:15" ht="12.75">
      <c r="A11" s="134"/>
      <c r="B11" t="s">
        <v>48</v>
      </c>
      <c r="C11">
        <f>C10*C7</f>
        <v>100</v>
      </c>
      <c r="D11" s="6"/>
      <c r="E11" s="6"/>
      <c r="F11" s="6"/>
      <c r="G11" s="6"/>
      <c r="H11" s="6"/>
      <c r="I11" s="6"/>
      <c r="J11" s="6"/>
      <c r="N11" s="49"/>
      <c r="O11" s="49"/>
    </row>
    <row r="12" spans="1:10" ht="12.75">
      <c r="A12" s="134"/>
      <c r="B12" t="s">
        <v>49</v>
      </c>
      <c r="C12" s="178">
        <v>20000</v>
      </c>
      <c r="D12" s="6"/>
      <c r="E12" s="6"/>
      <c r="F12" s="6"/>
      <c r="G12" s="6"/>
      <c r="H12" s="6"/>
      <c r="I12" s="6"/>
      <c r="J12" s="6"/>
    </row>
    <row r="13" spans="1:10" ht="12.75">
      <c r="A13" s="134"/>
      <c r="B13" t="s">
        <v>50</v>
      </c>
      <c r="C13" s="152">
        <v>0.15</v>
      </c>
      <c r="D13" s="6"/>
      <c r="E13" s="6"/>
      <c r="F13" s="6"/>
      <c r="G13" s="6"/>
      <c r="H13" s="6"/>
      <c r="I13" s="6"/>
      <c r="J13" s="6"/>
    </row>
    <row r="14" spans="1:10" ht="12.75">
      <c r="A14" s="134"/>
      <c r="B14" t="s">
        <v>153</v>
      </c>
      <c r="C14" s="152">
        <v>0.16779999999999998</v>
      </c>
      <c r="D14" s="6"/>
      <c r="E14" s="6"/>
      <c r="F14" s="194"/>
      <c r="G14" s="6"/>
      <c r="H14" s="6"/>
      <c r="I14" s="6"/>
      <c r="J14" s="6"/>
    </row>
    <row r="15" spans="1:10" ht="12.75">
      <c r="A15" s="134">
        <v>4</v>
      </c>
      <c r="B15" t="s">
        <v>51</v>
      </c>
      <c r="C15" s="61">
        <f>C33</f>
        <v>0.011797619047619048</v>
      </c>
      <c r="D15" s="6"/>
      <c r="E15" s="6"/>
      <c r="F15" s="6"/>
      <c r="G15" s="6"/>
      <c r="H15" s="6"/>
      <c r="I15" s="6"/>
      <c r="J15" s="6"/>
    </row>
    <row r="16" spans="1:10" ht="12.75">
      <c r="A16" s="134">
        <v>4</v>
      </c>
      <c r="B16" t="s">
        <v>52</v>
      </c>
      <c r="C16" s="61">
        <f>D33</f>
        <v>0.008090137721088434</v>
      </c>
      <c r="D16" s="6"/>
      <c r="E16" s="6"/>
      <c r="F16" s="6"/>
      <c r="G16" s="6"/>
      <c r="H16" s="6"/>
      <c r="I16" s="6"/>
      <c r="J16" s="6"/>
    </row>
    <row r="17" spans="1:10" ht="12.75">
      <c r="A17" s="134">
        <v>4</v>
      </c>
      <c r="B17" t="s">
        <v>53</v>
      </c>
      <c r="C17" s="61">
        <f>E33</f>
        <v>0.010130954047619047</v>
      </c>
      <c r="D17" s="6"/>
      <c r="E17" s="6"/>
      <c r="F17" s="6"/>
      <c r="G17" s="6"/>
      <c r="H17" s="6"/>
      <c r="I17" s="6"/>
      <c r="J17" s="6"/>
    </row>
    <row r="18" spans="1:10" ht="12.75">
      <c r="A18" s="134">
        <v>2</v>
      </c>
      <c r="B18" t="s">
        <v>54</v>
      </c>
      <c r="C18" s="60">
        <v>0.084</v>
      </c>
      <c r="D18" s="6"/>
      <c r="E18" s="6"/>
      <c r="F18" s="6"/>
      <c r="G18" s="6"/>
      <c r="H18" s="6"/>
      <c r="I18" s="6"/>
      <c r="J18" s="6"/>
    </row>
    <row r="19" spans="1:10" ht="12.75">
      <c r="A19" s="134">
        <v>5</v>
      </c>
      <c r="B19" s="6" t="s">
        <v>55</v>
      </c>
      <c r="C19" s="151">
        <f>3000/7/20000</f>
        <v>0.02142857142857143</v>
      </c>
      <c r="D19" s="6"/>
      <c r="E19" s="6"/>
      <c r="F19" s="6"/>
      <c r="G19" s="6"/>
      <c r="H19" s="6"/>
      <c r="I19" s="6"/>
      <c r="J19" s="6"/>
    </row>
    <row r="20" spans="1:10" ht="12.75">
      <c r="A20" s="134"/>
      <c r="B20" s="153" t="s">
        <v>154</v>
      </c>
      <c r="C20" s="154">
        <f>'ERR &amp; Sensitivity Analysis'!G14</f>
        <v>0.666666</v>
      </c>
      <c r="D20" s="6"/>
      <c r="E20" s="6"/>
      <c r="F20" s="6"/>
      <c r="G20" s="6"/>
      <c r="H20" s="6"/>
      <c r="I20" s="6"/>
      <c r="J20" s="6"/>
    </row>
    <row r="21" spans="1:10" ht="12.75">
      <c r="A21" s="134"/>
      <c r="B21" s="153" t="s">
        <v>162</v>
      </c>
      <c r="C21" s="170">
        <f>'ERR &amp; Sensitivity Analysis'!G15</f>
        <v>55000</v>
      </c>
      <c r="D21" s="6"/>
      <c r="E21" s="6"/>
      <c r="F21" s="6"/>
      <c r="G21" s="6"/>
      <c r="H21" s="6"/>
      <c r="I21" s="6"/>
      <c r="J21" s="6"/>
    </row>
    <row r="22" spans="1:22" ht="12.75">
      <c r="A22" s="134"/>
      <c r="B22" s="168" t="s">
        <v>152</v>
      </c>
      <c r="C22" s="169">
        <v>0</v>
      </c>
      <c r="D22" s="140"/>
      <c r="E22" s="140"/>
      <c r="F22" s="140"/>
      <c r="G22" s="140"/>
      <c r="H22" s="140"/>
      <c r="I22" s="140"/>
      <c r="J22" s="140"/>
      <c r="K22" s="48"/>
      <c r="L22" s="48"/>
      <c r="M22" s="48"/>
      <c r="N22" s="48"/>
      <c r="O22" s="48"/>
      <c r="P22" s="48"/>
      <c r="Q22" s="48"/>
      <c r="R22" s="48"/>
      <c r="S22" s="48"/>
      <c r="T22" s="48"/>
      <c r="U22" s="48"/>
      <c r="V22" s="48"/>
    </row>
    <row r="24" spans="2:5" ht="12.75">
      <c r="B24" s="124" t="s">
        <v>134</v>
      </c>
      <c r="C24" s="7"/>
      <c r="D24" s="7"/>
      <c r="E24" s="7"/>
    </row>
    <row r="25" spans="2:5" ht="25.5">
      <c r="B25" s="56" t="s">
        <v>137</v>
      </c>
      <c r="C25" s="148" t="s">
        <v>46</v>
      </c>
      <c r="D25" s="148" t="s">
        <v>135</v>
      </c>
      <c r="E25" s="148" t="s">
        <v>136</v>
      </c>
    </row>
    <row r="26" spans="2:5" ht="12.75">
      <c r="B26" t="s">
        <v>138</v>
      </c>
      <c r="C26">
        <v>20</v>
      </c>
      <c r="D26">
        <v>20</v>
      </c>
      <c r="E26">
        <v>20</v>
      </c>
    </row>
    <row r="27" spans="2:5" ht="12.75">
      <c r="B27" t="s">
        <v>139</v>
      </c>
      <c r="C27">
        <v>50</v>
      </c>
      <c r="D27">
        <v>50</v>
      </c>
      <c r="E27">
        <v>50</v>
      </c>
    </row>
    <row r="28" spans="2:5" ht="12.75">
      <c r="B28" t="s">
        <v>140</v>
      </c>
      <c r="C28" s="49">
        <f>10*2/3+75/3</f>
        <v>31.666666666666668</v>
      </c>
      <c r="D28" s="49">
        <f>10*2/3+75/3</f>
        <v>31.666666666666668</v>
      </c>
      <c r="E28" s="49">
        <f>10*2/3+75/3</f>
        <v>31.666666666666668</v>
      </c>
    </row>
    <row r="29" spans="2:5" ht="12.75">
      <c r="B29" t="s">
        <v>141</v>
      </c>
      <c r="C29">
        <v>1200</v>
      </c>
      <c r="D29" s="49">
        <f>C29*(400/525)</f>
        <v>914.2857142857142</v>
      </c>
      <c r="E29">
        <f>C29</f>
        <v>1200</v>
      </c>
    </row>
    <row r="30" spans="2:5" ht="12.75">
      <c r="B30" t="s">
        <v>142</v>
      </c>
      <c r="C30">
        <v>350</v>
      </c>
      <c r="D30" s="49">
        <f>C30*(1-C20)</f>
        <v>116.66690000000001</v>
      </c>
      <c r="E30" s="49">
        <f>D30</f>
        <v>116.66690000000001</v>
      </c>
    </row>
    <row r="31" spans="2:5" ht="12.75">
      <c r="B31" t="s">
        <v>1</v>
      </c>
      <c r="C31" s="49">
        <f>SUM(C26:C30)</f>
        <v>1651.6666666666667</v>
      </c>
      <c r="D31" s="49">
        <f>SUM(D26:D30)</f>
        <v>1132.619280952381</v>
      </c>
      <c r="E31" s="49">
        <f>SUM(E26:E30)</f>
        <v>1418.3335666666667</v>
      </c>
    </row>
    <row r="32" spans="2:5" ht="12.75">
      <c r="B32" t="s">
        <v>143</v>
      </c>
      <c r="C32" s="49">
        <f>C31/7</f>
        <v>235.95238095238096</v>
      </c>
      <c r="D32" s="49">
        <f>D31/7</f>
        <v>161.8027544217687</v>
      </c>
      <c r="E32" s="49">
        <f>E31/7</f>
        <v>202.61908095238095</v>
      </c>
    </row>
    <row r="33" spans="2:5" ht="12.75">
      <c r="B33" s="7" t="s">
        <v>144</v>
      </c>
      <c r="C33" s="130">
        <f>C32/20000</f>
        <v>0.011797619047619048</v>
      </c>
      <c r="D33" s="130">
        <f>D32/20000</f>
        <v>0.008090137721088434</v>
      </c>
      <c r="E33" s="130">
        <f>E32/20000</f>
        <v>0.010130954047619047</v>
      </c>
    </row>
    <row r="36" spans="2:22" ht="12.75">
      <c r="B36" s="106" t="s">
        <v>46</v>
      </c>
      <c r="C36" s="107"/>
      <c r="D36" s="107"/>
      <c r="E36" s="107"/>
      <c r="F36" s="107"/>
      <c r="G36" s="107"/>
      <c r="H36" s="107"/>
      <c r="I36" s="107"/>
      <c r="J36" s="107"/>
      <c r="K36" s="107"/>
      <c r="L36" s="107"/>
      <c r="M36" s="107"/>
      <c r="N36" s="107"/>
      <c r="O36" s="107"/>
      <c r="P36" s="107"/>
      <c r="Q36" s="107"/>
      <c r="R36" s="107"/>
      <c r="S36" s="107"/>
      <c r="T36" s="107"/>
      <c r="U36" s="107"/>
      <c r="V36" s="108"/>
    </row>
    <row r="37" spans="2:22" ht="12.75">
      <c r="B37" s="114" t="s">
        <v>37</v>
      </c>
      <c r="C37" s="115">
        <v>1</v>
      </c>
      <c r="D37" s="115">
        <v>2</v>
      </c>
      <c r="E37" s="115">
        <v>3</v>
      </c>
      <c r="F37" s="115">
        <v>4</v>
      </c>
      <c r="G37" s="115">
        <v>5</v>
      </c>
      <c r="H37" s="115">
        <v>6</v>
      </c>
      <c r="I37" s="115">
        <v>7</v>
      </c>
      <c r="J37" s="115">
        <v>8</v>
      </c>
      <c r="K37" s="115">
        <v>9</v>
      </c>
      <c r="L37" s="115">
        <v>10</v>
      </c>
      <c r="M37" s="115">
        <v>11</v>
      </c>
      <c r="N37" s="115">
        <v>12</v>
      </c>
      <c r="O37" s="115">
        <v>13</v>
      </c>
      <c r="P37" s="115">
        <v>14</v>
      </c>
      <c r="Q37" s="115">
        <v>15</v>
      </c>
      <c r="R37" s="115">
        <v>16</v>
      </c>
      <c r="S37" s="115">
        <v>17</v>
      </c>
      <c r="T37" s="115">
        <v>18</v>
      </c>
      <c r="U37" s="115">
        <v>19</v>
      </c>
      <c r="V37" s="116">
        <v>20</v>
      </c>
    </row>
    <row r="38" spans="2:22" ht="12.75">
      <c r="B38" s="109" t="s">
        <v>57</v>
      </c>
      <c r="C38" s="6">
        <f aca="true" t="shared" si="0" ref="C38:V38">in_flow_wo</f>
        <v>500</v>
      </c>
      <c r="D38" s="6">
        <f t="shared" si="0"/>
        <v>500</v>
      </c>
      <c r="E38" s="6">
        <f t="shared" si="0"/>
        <v>500</v>
      </c>
      <c r="F38" s="6">
        <f t="shared" si="0"/>
        <v>500</v>
      </c>
      <c r="G38" s="6">
        <f t="shared" si="0"/>
        <v>500</v>
      </c>
      <c r="H38" s="6">
        <f t="shared" si="0"/>
        <v>500</v>
      </c>
      <c r="I38" s="6">
        <f t="shared" si="0"/>
        <v>500</v>
      </c>
      <c r="J38" s="6">
        <f t="shared" si="0"/>
        <v>500</v>
      </c>
      <c r="K38" s="6">
        <f t="shared" si="0"/>
        <v>500</v>
      </c>
      <c r="L38" s="6">
        <f t="shared" si="0"/>
        <v>500</v>
      </c>
      <c r="M38" s="6">
        <f t="shared" si="0"/>
        <v>500</v>
      </c>
      <c r="N38" s="6">
        <f t="shared" si="0"/>
        <v>500</v>
      </c>
      <c r="O38" s="6">
        <f t="shared" si="0"/>
        <v>500</v>
      </c>
      <c r="P38" s="6">
        <f t="shared" si="0"/>
        <v>500</v>
      </c>
      <c r="Q38" s="6">
        <f t="shared" si="0"/>
        <v>500</v>
      </c>
      <c r="R38" s="6">
        <f t="shared" si="0"/>
        <v>500</v>
      </c>
      <c r="S38" s="6">
        <f t="shared" si="0"/>
        <v>500</v>
      </c>
      <c r="T38" s="6">
        <f t="shared" si="0"/>
        <v>500</v>
      </c>
      <c r="U38" s="6">
        <f t="shared" si="0"/>
        <v>500</v>
      </c>
      <c r="V38" s="134">
        <f t="shared" si="0"/>
        <v>500</v>
      </c>
    </row>
    <row r="39" spans="2:22" ht="12.75">
      <c r="B39" s="109" t="s">
        <v>58</v>
      </c>
      <c r="C39" s="6">
        <f>C10+C38</f>
        <v>15500</v>
      </c>
      <c r="D39" s="6">
        <f>C39+C38</f>
        <v>16000</v>
      </c>
      <c r="E39" s="6">
        <f aca="true" t="shared" si="1" ref="E39:V39">D39+D38</f>
        <v>16500</v>
      </c>
      <c r="F39" s="6">
        <f t="shared" si="1"/>
        <v>17000</v>
      </c>
      <c r="G39" s="6">
        <f t="shared" si="1"/>
        <v>17500</v>
      </c>
      <c r="H39" s="6">
        <f t="shared" si="1"/>
        <v>18000</v>
      </c>
      <c r="I39" s="6">
        <f t="shared" si="1"/>
        <v>18500</v>
      </c>
      <c r="J39" s="6">
        <f t="shared" si="1"/>
        <v>19000</v>
      </c>
      <c r="K39" s="6">
        <f t="shared" si="1"/>
        <v>19500</v>
      </c>
      <c r="L39" s="6">
        <f t="shared" si="1"/>
        <v>20000</v>
      </c>
      <c r="M39" s="6">
        <f t="shared" si="1"/>
        <v>20500</v>
      </c>
      <c r="N39" s="6">
        <f t="shared" si="1"/>
        <v>21000</v>
      </c>
      <c r="O39" s="6">
        <f t="shared" si="1"/>
        <v>21500</v>
      </c>
      <c r="P39" s="6">
        <f t="shared" si="1"/>
        <v>22000</v>
      </c>
      <c r="Q39" s="6">
        <f t="shared" si="1"/>
        <v>22500</v>
      </c>
      <c r="R39" s="6">
        <f t="shared" si="1"/>
        <v>23000</v>
      </c>
      <c r="S39" s="6">
        <f t="shared" si="1"/>
        <v>23500</v>
      </c>
      <c r="T39" s="6">
        <f t="shared" si="1"/>
        <v>24000</v>
      </c>
      <c r="U39" s="6">
        <f t="shared" si="1"/>
        <v>24500</v>
      </c>
      <c r="V39" s="134">
        <f t="shared" si="1"/>
        <v>25000</v>
      </c>
    </row>
    <row r="40" spans="2:22" ht="12.75">
      <c r="B40" s="109" t="s">
        <v>59</v>
      </c>
      <c r="C40" s="121">
        <f aca="true" t="shared" si="2" ref="C40:V40">C39*mortgage_ratio</f>
        <v>103.33333333333334</v>
      </c>
      <c r="D40" s="121">
        <f t="shared" si="2"/>
        <v>106.66666666666667</v>
      </c>
      <c r="E40" s="121">
        <f t="shared" si="2"/>
        <v>110</v>
      </c>
      <c r="F40" s="121">
        <f t="shared" si="2"/>
        <v>113.33333333333334</v>
      </c>
      <c r="G40" s="121">
        <f t="shared" si="2"/>
        <v>116.66666666666667</v>
      </c>
      <c r="H40" s="121">
        <f t="shared" si="2"/>
        <v>120.00000000000001</v>
      </c>
      <c r="I40" s="121">
        <f t="shared" si="2"/>
        <v>123.33333333333334</v>
      </c>
      <c r="J40" s="121">
        <f t="shared" si="2"/>
        <v>126.66666666666667</v>
      </c>
      <c r="K40" s="121">
        <f t="shared" si="2"/>
        <v>130</v>
      </c>
      <c r="L40" s="121">
        <f t="shared" si="2"/>
        <v>133.33333333333334</v>
      </c>
      <c r="M40" s="121">
        <f t="shared" si="2"/>
        <v>136.66666666666669</v>
      </c>
      <c r="N40" s="121">
        <f t="shared" si="2"/>
        <v>140</v>
      </c>
      <c r="O40" s="121">
        <f t="shared" si="2"/>
        <v>143.33333333333334</v>
      </c>
      <c r="P40" s="121">
        <f t="shared" si="2"/>
        <v>146.66666666666669</v>
      </c>
      <c r="Q40" s="121">
        <f t="shared" si="2"/>
        <v>150</v>
      </c>
      <c r="R40" s="121">
        <f t="shared" si="2"/>
        <v>153.33333333333334</v>
      </c>
      <c r="S40" s="121">
        <f t="shared" si="2"/>
        <v>156.66666666666669</v>
      </c>
      <c r="T40" s="121">
        <f t="shared" si="2"/>
        <v>160</v>
      </c>
      <c r="U40" s="121">
        <f t="shared" si="2"/>
        <v>163.33333333333334</v>
      </c>
      <c r="V40" s="135">
        <f t="shared" si="2"/>
        <v>166.66666666666669</v>
      </c>
    </row>
    <row r="41" spans="2:24" ht="12.75">
      <c r="B41" s="109" t="s">
        <v>60</v>
      </c>
      <c r="C41" s="121">
        <v>160</v>
      </c>
      <c r="D41" s="121">
        <v>160</v>
      </c>
      <c r="E41" s="121">
        <v>160</v>
      </c>
      <c r="F41" s="121">
        <v>160</v>
      </c>
      <c r="G41" s="121">
        <v>160</v>
      </c>
      <c r="H41" s="121">
        <v>170</v>
      </c>
      <c r="I41" s="121">
        <v>170</v>
      </c>
      <c r="J41" s="121">
        <v>170</v>
      </c>
      <c r="K41" s="121">
        <v>180</v>
      </c>
      <c r="L41" s="121">
        <v>180</v>
      </c>
      <c r="M41" s="121">
        <v>180</v>
      </c>
      <c r="N41" s="121">
        <v>180</v>
      </c>
      <c r="O41" s="121">
        <v>190</v>
      </c>
      <c r="P41" s="121">
        <v>190</v>
      </c>
      <c r="Q41" s="121">
        <v>190</v>
      </c>
      <c r="R41" s="121">
        <v>190</v>
      </c>
      <c r="S41" s="121">
        <v>190</v>
      </c>
      <c r="T41" s="121">
        <v>200</v>
      </c>
      <c r="U41" s="121">
        <v>200</v>
      </c>
      <c r="V41" s="135">
        <v>200</v>
      </c>
      <c r="X41" s="2" t="s">
        <v>167</v>
      </c>
    </row>
    <row r="42" spans="2:22" ht="12.75">
      <c r="B42" s="109" t="s">
        <v>61</v>
      </c>
      <c r="C42" s="111">
        <f aca="true" t="shared" si="3" ref="C42:V42">C41*parce_val</f>
        <v>3200000</v>
      </c>
      <c r="D42" s="111">
        <f t="shared" si="3"/>
        <v>3200000</v>
      </c>
      <c r="E42" s="111">
        <f t="shared" si="3"/>
        <v>3200000</v>
      </c>
      <c r="F42" s="111">
        <f t="shared" si="3"/>
        <v>3200000</v>
      </c>
      <c r="G42" s="111">
        <f t="shared" si="3"/>
        <v>3200000</v>
      </c>
      <c r="H42" s="111">
        <f t="shared" si="3"/>
        <v>3400000</v>
      </c>
      <c r="I42" s="111">
        <f t="shared" si="3"/>
        <v>3400000</v>
      </c>
      <c r="J42" s="111">
        <f t="shared" si="3"/>
        <v>3400000</v>
      </c>
      <c r="K42" s="111">
        <f t="shared" si="3"/>
        <v>3600000</v>
      </c>
      <c r="L42" s="111">
        <f t="shared" si="3"/>
        <v>3600000</v>
      </c>
      <c r="M42" s="111">
        <f t="shared" si="3"/>
        <v>3600000</v>
      </c>
      <c r="N42" s="111">
        <f t="shared" si="3"/>
        <v>3600000</v>
      </c>
      <c r="O42" s="111">
        <f t="shared" si="3"/>
        <v>3800000</v>
      </c>
      <c r="P42" s="111">
        <f t="shared" si="3"/>
        <v>3800000</v>
      </c>
      <c r="Q42" s="111">
        <f t="shared" si="3"/>
        <v>3800000</v>
      </c>
      <c r="R42" s="111">
        <f t="shared" si="3"/>
        <v>3800000</v>
      </c>
      <c r="S42" s="111">
        <f t="shared" si="3"/>
        <v>3800000</v>
      </c>
      <c r="T42" s="111">
        <f t="shared" si="3"/>
        <v>4000000</v>
      </c>
      <c r="U42" s="111">
        <f t="shared" si="3"/>
        <v>4000000</v>
      </c>
      <c r="V42" s="112">
        <f t="shared" si="3"/>
        <v>4000000</v>
      </c>
    </row>
    <row r="43" spans="2:22" ht="12.75">
      <c r="B43" s="109" t="s">
        <v>145</v>
      </c>
      <c r="C43" s="111">
        <f aca="true" t="shared" si="4" ref="C43:V43">C42*equity_debt</f>
        <v>480000</v>
      </c>
      <c r="D43" s="111">
        <f t="shared" si="4"/>
        <v>480000</v>
      </c>
      <c r="E43" s="111">
        <f t="shared" si="4"/>
        <v>480000</v>
      </c>
      <c r="F43" s="111">
        <f t="shared" si="4"/>
        <v>480000</v>
      </c>
      <c r="G43" s="111">
        <f t="shared" si="4"/>
        <v>480000</v>
      </c>
      <c r="H43" s="111">
        <f t="shared" si="4"/>
        <v>510000</v>
      </c>
      <c r="I43" s="111">
        <f t="shared" si="4"/>
        <v>510000</v>
      </c>
      <c r="J43" s="111">
        <f t="shared" si="4"/>
        <v>510000</v>
      </c>
      <c r="K43" s="111">
        <f t="shared" si="4"/>
        <v>540000</v>
      </c>
      <c r="L43" s="111">
        <f t="shared" si="4"/>
        <v>540000</v>
      </c>
      <c r="M43" s="111">
        <f t="shared" si="4"/>
        <v>540000</v>
      </c>
      <c r="N43" s="111">
        <f t="shared" si="4"/>
        <v>540000</v>
      </c>
      <c r="O43" s="111">
        <f t="shared" si="4"/>
        <v>570000</v>
      </c>
      <c r="P43" s="111">
        <f t="shared" si="4"/>
        <v>570000</v>
      </c>
      <c r="Q43" s="111">
        <f t="shared" si="4"/>
        <v>570000</v>
      </c>
      <c r="R43" s="111">
        <f t="shared" si="4"/>
        <v>570000</v>
      </c>
      <c r="S43" s="111">
        <f t="shared" si="4"/>
        <v>570000</v>
      </c>
      <c r="T43" s="111">
        <f t="shared" si="4"/>
        <v>600000</v>
      </c>
      <c r="U43" s="111">
        <f t="shared" si="4"/>
        <v>600000</v>
      </c>
      <c r="V43" s="112">
        <f t="shared" si="4"/>
        <v>600000</v>
      </c>
    </row>
    <row r="44" spans="2:22" ht="12.75">
      <c r="B44" s="109" t="s">
        <v>63</v>
      </c>
      <c r="C44" s="111">
        <f aca="true" t="shared" si="5" ref="C44:V44">C42+C43</f>
        <v>3680000</v>
      </c>
      <c r="D44" s="111">
        <f t="shared" si="5"/>
        <v>3680000</v>
      </c>
      <c r="E44" s="111">
        <f t="shared" si="5"/>
        <v>3680000</v>
      </c>
      <c r="F44" s="111">
        <f t="shared" si="5"/>
        <v>3680000</v>
      </c>
      <c r="G44" s="111">
        <f t="shared" si="5"/>
        <v>3680000</v>
      </c>
      <c r="H44" s="111">
        <f t="shared" si="5"/>
        <v>3910000</v>
      </c>
      <c r="I44" s="111">
        <f t="shared" si="5"/>
        <v>3910000</v>
      </c>
      <c r="J44" s="111">
        <f t="shared" si="5"/>
        <v>3910000</v>
      </c>
      <c r="K44" s="111">
        <f t="shared" si="5"/>
        <v>4140000</v>
      </c>
      <c r="L44" s="111">
        <f t="shared" si="5"/>
        <v>4140000</v>
      </c>
      <c r="M44" s="111">
        <f t="shared" si="5"/>
        <v>4140000</v>
      </c>
      <c r="N44" s="111">
        <f t="shared" si="5"/>
        <v>4140000</v>
      </c>
      <c r="O44" s="111">
        <f t="shared" si="5"/>
        <v>4370000</v>
      </c>
      <c r="P44" s="111">
        <f t="shared" si="5"/>
        <v>4370000</v>
      </c>
      <c r="Q44" s="111">
        <f t="shared" si="5"/>
        <v>4370000</v>
      </c>
      <c r="R44" s="111">
        <f t="shared" si="5"/>
        <v>4370000</v>
      </c>
      <c r="S44" s="111">
        <f t="shared" si="5"/>
        <v>4370000</v>
      </c>
      <c r="T44" s="111">
        <f t="shared" si="5"/>
        <v>4600000</v>
      </c>
      <c r="U44" s="111">
        <f t="shared" si="5"/>
        <v>4600000</v>
      </c>
      <c r="V44" s="112">
        <f t="shared" si="5"/>
        <v>4600000</v>
      </c>
    </row>
    <row r="45" spans="2:22" ht="12.75">
      <c r="B45" s="109" t="s">
        <v>146</v>
      </c>
      <c r="C45" s="111">
        <f>mort_parc_start*parce_val*(1+equity_debt)+C44</f>
        <v>5980000</v>
      </c>
      <c r="D45" s="111">
        <f>C45+D44</f>
        <v>9660000</v>
      </c>
      <c r="E45" s="111">
        <f aca="true" t="shared" si="6" ref="E45:V45">D45+E44</f>
        <v>13340000</v>
      </c>
      <c r="F45" s="111">
        <f t="shared" si="6"/>
        <v>17020000</v>
      </c>
      <c r="G45" s="111">
        <f t="shared" si="6"/>
        <v>20700000</v>
      </c>
      <c r="H45" s="111">
        <f t="shared" si="6"/>
        <v>24610000</v>
      </c>
      <c r="I45" s="111">
        <f t="shared" si="6"/>
        <v>28520000</v>
      </c>
      <c r="J45" s="111">
        <f t="shared" si="6"/>
        <v>32430000</v>
      </c>
      <c r="K45" s="111">
        <f t="shared" si="6"/>
        <v>36570000</v>
      </c>
      <c r="L45" s="111">
        <f t="shared" si="6"/>
        <v>40710000</v>
      </c>
      <c r="M45" s="111">
        <f t="shared" si="6"/>
        <v>44850000</v>
      </c>
      <c r="N45" s="111">
        <f t="shared" si="6"/>
        <v>48990000</v>
      </c>
      <c r="O45" s="111">
        <f t="shared" si="6"/>
        <v>53360000</v>
      </c>
      <c r="P45" s="111">
        <f t="shared" si="6"/>
        <v>57730000</v>
      </c>
      <c r="Q45" s="111">
        <f t="shared" si="6"/>
        <v>62100000</v>
      </c>
      <c r="R45" s="111">
        <f t="shared" si="6"/>
        <v>66470000</v>
      </c>
      <c r="S45" s="111">
        <f t="shared" si="6"/>
        <v>70840000</v>
      </c>
      <c r="T45" s="111">
        <f t="shared" si="6"/>
        <v>75440000</v>
      </c>
      <c r="U45" s="111">
        <f t="shared" si="6"/>
        <v>80040000</v>
      </c>
      <c r="V45" s="112">
        <f t="shared" si="6"/>
        <v>84640000</v>
      </c>
    </row>
    <row r="46" spans="2:22" ht="12.75">
      <c r="B46" s="109" t="s">
        <v>65</v>
      </c>
      <c r="C46" s="140">
        <f>parce_val*mort_parc_start*(1+equity_debt)*inv_return</f>
        <v>385939.99999999994</v>
      </c>
      <c r="D46" s="140">
        <f>C45*inv_return</f>
        <v>1003443.9999999999</v>
      </c>
      <c r="E46" s="140">
        <f aca="true" t="shared" si="7" ref="E46:V46">D45*inv_return</f>
        <v>1620947.9999999998</v>
      </c>
      <c r="F46" s="140">
        <f t="shared" si="7"/>
        <v>2238451.9999999995</v>
      </c>
      <c r="G46" s="140">
        <f t="shared" si="7"/>
        <v>2855955.9999999995</v>
      </c>
      <c r="H46" s="140">
        <f t="shared" si="7"/>
        <v>3473459.9999999995</v>
      </c>
      <c r="I46" s="140">
        <f t="shared" si="7"/>
        <v>4129557.9999999995</v>
      </c>
      <c r="J46" s="140">
        <f t="shared" si="7"/>
        <v>4785655.999999999</v>
      </c>
      <c r="K46" s="140">
        <f t="shared" si="7"/>
        <v>5441753.999999999</v>
      </c>
      <c r="L46" s="140">
        <f t="shared" si="7"/>
        <v>6136445.999999999</v>
      </c>
      <c r="M46" s="140">
        <f t="shared" si="7"/>
        <v>6831137.999999999</v>
      </c>
      <c r="N46" s="140">
        <f t="shared" si="7"/>
        <v>7525829.999999999</v>
      </c>
      <c r="O46" s="140">
        <f t="shared" si="7"/>
        <v>8220521.999999999</v>
      </c>
      <c r="P46" s="140">
        <f t="shared" si="7"/>
        <v>8953807.999999998</v>
      </c>
      <c r="Q46" s="140">
        <f t="shared" si="7"/>
        <v>9687093.999999998</v>
      </c>
      <c r="R46" s="140">
        <f t="shared" si="7"/>
        <v>10420379.999999998</v>
      </c>
      <c r="S46" s="140">
        <f t="shared" si="7"/>
        <v>11153665.999999998</v>
      </c>
      <c r="T46" s="140">
        <f t="shared" si="7"/>
        <v>11886951.999999998</v>
      </c>
      <c r="U46" s="140">
        <f t="shared" si="7"/>
        <v>12658831.999999998</v>
      </c>
      <c r="V46" s="141">
        <f t="shared" si="7"/>
        <v>13430711.999999998</v>
      </c>
    </row>
    <row r="47" spans="2:22" ht="12.75">
      <c r="B47" s="109"/>
      <c r="C47" s="121"/>
      <c r="D47" s="140"/>
      <c r="E47" s="140"/>
      <c r="F47" s="140"/>
      <c r="G47" s="140"/>
      <c r="H47" s="140"/>
      <c r="I47" s="140"/>
      <c r="J47" s="140"/>
      <c r="K47" s="140"/>
      <c r="L47" s="140"/>
      <c r="M47" s="140"/>
      <c r="N47" s="140"/>
      <c r="O47" s="140"/>
      <c r="P47" s="140"/>
      <c r="Q47" s="140"/>
      <c r="R47" s="140"/>
      <c r="S47" s="140"/>
      <c r="T47" s="140"/>
      <c r="U47" s="140"/>
      <c r="V47" s="141"/>
    </row>
    <row r="48" spans="2:22" ht="12.75">
      <c r="B48" s="117" t="s">
        <v>66</v>
      </c>
      <c r="C48" s="137"/>
      <c r="D48" s="137"/>
      <c r="E48" s="137"/>
      <c r="F48" s="137"/>
      <c r="G48" s="137"/>
      <c r="H48" s="137"/>
      <c r="I48" s="137"/>
      <c r="J48" s="137"/>
      <c r="K48" s="137"/>
      <c r="L48" s="137"/>
      <c r="M48" s="137"/>
      <c r="N48" s="137"/>
      <c r="O48" s="137"/>
      <c r="P48" s="137"/>
      <c r="Q48" s="137"/>
      <c r="R48" s="137"/>
      <c r="S48" s="137"/>
      <c r="T48" s="137"/>
      <c r="U48" s="137"/>
      <c r="V48" s="138"/>
    </row>
    <row r="49" spans="2:22" ht="12.75">
      <c r="B49" s="109" t="s">
        <v>67</v>
      </c>
      <c r="C49" s="140">
        <f aca="true" t="shared" si="8" ref="C49:V49">C38*parce_val*regst_c_wo</f>
        <v>117976.19047619049</v>
      </c>
      <c r="D49" s="140">
        <f t="shared" si="8"/>
        <v>117976.19047619049</v>
      </c>
      <c r="E49" s="140">
        <f t="shared" si="8"/>
        <v>117976.19047619049</v>
      </c>
      <c r="F49" s="140">
        <f t="shared" si="8"/>
        <v>117976.19047619049</v>
      </c>
      <c r="G49" s="140">
        <f t="shared" si="8"/>
        <v>117976.19047619049</v>
      </c>
      <c r="H49" s="140">
        <f t="shared" si="8"/>
        <v>117976.19047619049</v>
      </c>
      <c r="I49" s="140">
        <f t="shared" si="8"/>
        <v>117976.19047619049</v>
      </c>
      <c r="J49" s="140">
        <f t="shared" si="8"/>
        <v>117976.19047619049</v>
      </c>
      <c r="K49" s="140">
        <f t="shared" si="8"/>
        <v>117976.19047619049</v>
      </c>
      <c r="L49" s="140">
        <f t="shared" si="8"/>
        <v>117976.19047619049</v>
      </c>
      <c r="M49" s="140">
        <f t="shared" si="8"/>
        <v>117976.19047619049</v>
      </c>
      <c r="N49" s="140">
        <f t="shared" si="8"/>
        <v>117976.19047619049</v>
      </c>
      <c r="O49" s="140">
        <f t="shared" si="8"/>
        <v>117976.19047619049</v>
      </c>
      <c r="P49" s="140">
        <f t="shared" si="8"/>
        <v>117976.19047619049</v>
      </c>
      <c r="Q49" s="140">
        <f t="shared" si="8"/>
        <v>117976.19047619049</v>
      </c>
      <c r="R49" s="140">
        <f t="shared" si="8"/>
        <v>117976.19047619049</v>
      </c>
      <c r="S49" s="140">
        <f t="shared" si="8"/>
        <v>117976.19047619049</v>
      </c>
      <c r="T49" s="140">
        <f t="shared" si="8"/>
        <v>117976.19047619049</v>
      </c>
      <c r="U49" s="140">
        <f t="shared" si="8"/>
        <v>117976.19047619049</v>
      </c>
      <c r="V49" s="141">
        <f t="shared" si="8"/>
        <v>117976.19047619049</v>
      </c>
    </row>
    <row r="50" spans="2:22" ht="12.75">
      <c r="B50" s="109" t="s">
        <v>68</v>
      </c>
      <c r="C50" s="140">
        <f aca="true" t="shared" si="9" ref="C50:V50">C42*trans_mort_c</f>
        <v>68571.42857142857</v>
      </c>
      <c r="D50" s="140">
        <f t="shared" si="9"/>
        <v>68571.42857142857</v>
      </c>
      <c r="E50" s="140">
        <f t="shared" si="9"/>
        <v>68571.42857142857</v>
      </c>
      <c r="F50" s="140">
        <f t="shared" si="9"/>
        <v>68571.42857142857</v>
      </c>
      <c r="G50" s="140">
        <f t="shared" si="9"/>
        <v>68571.42857142857</v>
      </c>
      <c r="H50" s="140">
        <f t="shared" si="9"/>
        <v>72857.14285714286</v>
      </c>
      <c r="I50" s="140">
        <f t="shared" si="9"/>
        <v>72857.14285714286</v>
      </c>
      <c r="J50" s="140">
        <f t="shared" si="9"/>
        <v>72857.14285714286</v>
      </c>
      <c r="K50" s="140">
        <f t="shared" si="9"/>
        <v>77142.85714285714</v>
      </c>
      <c r="L50" s="140">
        <f t="shared" si="9"/>
        <v>77142.85714285714</v>
      </c>
      <c r="M50" s="140">
        <f t="shared" si="9"/>
        <v>77142.85714285714</v>
      </c>
      <c r="N50" s="140">
        <f t="shared" si="9"/>
        <v>77142.85714285714</v>
      </c>
      <c r="O50" s="140">
        <f t="shared" si="9"/>
        <v>81428.57142857143</v>
      </c>
      <c r="P50" s="140">
        <f t="shared" si="9"/>
        <v>81428.57142857143</v>
      </c>
      <c r="Q50" s="140">
        <f t="shared" si="9"/>
        <v>81428.57142857143</v>
      </c>
      <c r="R50" s="140">
        <f t="shared" si="9"/>
        <v>81428.57142857143</v>
      </c>
      <c r="S50" s="140">
        <f t="shared" si="9"/>
        <v>81428.57142857143</v>
      </c>
      <c r="T50" s="140">
        <f t="shared" si="9"/>
        <v>85714.28571428571</v>
      </c>
      <c r="U50" s="140">
        <f t="shared" si="9"/>
        <v>85714.28571428571</v>
      </c>
      <c r="V50" s="141">
        <f t="shared" si="9"/>
        <v>85714.28571428571</v>
      </c>
    </row>
    <row r="51" spans="2:22" ht="12.75">
      <c r="B51" s="109" t="s">
        <v>69</v>
      </c>
      <c r="C51" s="140">
        <f aca="true" t="shared" si="10" ref="C51:V51">C40*parce_val*trans_mort_c</f>
        <v>44285.71428571429</v>
      </c>
      <c r="D51" s="140">
        <f t="shared" si="10"/>
        <v>45714.28571428572</v>
      </c>
      <c r="E51" s="140">
        <f t="shared" si="10"/>
        <v>47142.857142857145</v>
      </c>
      <c r="F51" s="140">
        <f t="shared" si="10"/>
        <v>48571.42857142858</v>
      </c>
      <c r="G51" s="140">
        <f t="shared" si="10"/>
        <v>50000.00000000001</v>
      </c>
      <c r="H51" s="140">
        <f t="shared" si="10"/>
        <v>51428.57142857144</v>
      </c>
      <c r="I51" s="140">
        <f t="shared" si="10"/>
        <v>52857.14285714286</v>
      </c>
      <c r="J51" s="140">
        <f t="shared" si="10"/>
        <v>54285.71428571429</v>
      </c>
      <c r="K51" s="140">
        <f t="shared" si="10"/>
        <v>55714.28571428572</v>
      </c>
      <c r="L51" s="140">
        <f t="shared" si="10"/>
        <v>57142.85714285715</v>
      </c>
      <c r="M51" s="140">
        <f t="shared" si="10"/>
        <v>58571.42857142857</v>
      </c>
      <c r="N51" s="140">
        <f t="shared" si="10"/>
        <v>60000</v>
      </c>
      <c r="O51" s="140">
        <f t="shared" si="10"/>
        <v>61428.571428571435</v>
      </c>
      <c r="P51" s="140">
        <f t="shared" si="10"/>
        <v>62857.14285714286</v>
      </c>
      <c r="Q51" s="140">
        <f t="shared" si="10"/>
        <v>64285.71428571429</v>
      </c>
      <c r="R51" s="140">
        <f t="shared" si="10"/>
        <v>65714.28571428572</v>
      </c>
      <c r="S51" s="140">
        <f t="shared" si="10"/>
        <v>67142.85714285714</v>
      </c>
      <c r="T51" s="140">
        <f t="shared" si="10"/>
        <v>68571.42857142857</v>
      </c>
      <c r="U51" s="140">
        <f t="shared" si="10"/>
        <v>70000.00000000001</v>
      </c>
      <c r="V51" s="141">
        <f t="shared" si="10"/>
        <v>71428.57142857143</v>
      </c>
    </row>
    <row r="52" spans="2:22" ht="12.75">
      <c r="B52" s="122" t="s">
        <v>147</v>
      </c>
      <c r="C52" s="149">
        <f aca="true" t="shared" si="11" ref="C52:V52">SUM(C49:C51)</f>
        <v>230833.33333333334</v>
      </c>
      <c r="D52" s="149">
        <f t="shared" si="11"/>
        <v>232261.90476190476</v>
      </c>
      <c r="E52" s="149">
        <f t="shared" si="11"/>
        <v>233690.4761904762</v>
      </c>
      <c r="F52" s="149">
        <f t="shared" si="11"/>
        <v>235119.04761904763</v>
      </c>
      <c r="G52" s="149">
        <f t="shared" si="11"/>
        <v>236547.61904761905</v>
      </c>
      <c r="H52" s="149">
        <f t="shared" si="11"/>
        <v>242261.9047619048</v>
      </c>
      <c r="I52" s="149">
        <f t="shared" si="11"/>
        <v>243690.4761904762</v>
      </c>
      <c r="J52" s="149">
        <f t="shared" si="11"/>
        <v>245119.04761904763</v>
      </c>
      <c r="K52" s="149">
        <f t="shared" si="11"/>
        <v>250833.33333333334</v>
      </c>
      <c r="L52" s="149">
        <f t="shared" si="11"/>
        <v>252261.9047619048</v>
      </c>
      <c r="M52" s="149">
        <f t="shared" si="11"/>
        <v>253690.4761904762</v>
      </c>
      <c r="N52" s="149">
        <f t="shared" si="11"/>
        <v>255119.04761904763</v>
      </c>
      <c r="O52" s="149">
        <f t="shared" si="11"/>
        <v>260833.33333333337</v>
      </c>
      <c r="P52" s="149">
        <f t="shared" si="11"/>
        <v>262261.9047619048</v>
      </c>
      <c r="Q52" s="149">
        <f t="shared" si="11"/>
        <v>263690.4761904762</v>
      </c>
      <c r="R52" s="149">
        <f t="shared" si="11"/>
        <v>265119.04761904763</v>
      </c>
      <c r="S52" s="149">
        <f t="shared" si="11"/>
        <v>266547.61904761905</v>
      </c>
      <c r="T52" s="149">
        <f t="shared" si="11"/>
        <v>272261.9047619048</v>
      </c>
      <c r="U52" s="149">
        <f t="shared" si="11"/>
        <v>273690.4761904762</v>
      </c>
      <c r="V52" s="150">
        <f t="shared" si="11"/>
        <v>275119.04761904763</v>
      </c>
    </row>
    <row r="53" spans="3:22" ht="12.75">
      <c r="C53" s="48"/>
      <c r="D53" s="48"/>
      <c r="E53" s="48"/>
      <c r="F53" s="48"/>
      <c r="G53" s="48"/>
      <c r="H53" s="48"/>
      <c r="I53" s="48"/>
      <c r="J53" s="48"/>
      <c r="K53" s="48"/>
      <c r="L53" s="48"/>
      <c r="M53" s="48"/>
      <c r="N53" s="48"/>
      <c r="O53" s="48"/>
      <c r="P53" s="48"/>
      <c r="Q53" s="48"/>
      <c r="R53" s="48"/>
      <c r="S53" s="48"/>
      <c r="T53" s="48"/>
      <c r="U53" s="48"/>
      <c r="V53" s="48"/>
    </row>
    <row r="54" spans="3:22" ht="12.75">
      <c r="C54" s="48"/>
      <c r="D54" s="48"/>
      <c r="E54" s="48"/>
      <c r="F54" s="48"/>
      <c r="G54" s="48"/>
      <c r="H54" s="48"/>
      <c r="I54" s="48"/>
      <c r="J54" s="48"/>
      <c r="K54" s="48"/>
      <c r="L54" s="48"/>
      <c r="M54" s="48"/>
      <c r="N54" s="48"/>
      <c r="O54" s="48"/>
      <c r="P54" s="48"/>
      <c r="Q54" s="48"/>
      <c r="R54" s="48"/>
      <c r="S54" s="48"/>
      <c r="T54" s="48"/>
      <c r="U54" s="48"/>
      <c r="V54" s="48"/>
    </row>
    <row r="55" spans="2:22" ht="12.75">
      <c r="B55" s="106" t="s">
        <v>166</v>
      </c>
      <c r="C55" s="107"/>
      <c r="D55" s="107"/>
      <c r="E55" s="107"/>
      <c r="F55" s="107"/>
      <c r="G55" s="107"/>
      <c r="H55" s="107"/>
      <c r="I55" s="107"/>
      <c r="J55" s="107"/>
      <c r="K55" s="107"/>
      <c r="L55" s="107"/>
      <c r="M55" s="107"/>
      <c r="N55" s="107"/>
      <c r="O55" s="107"/>
      <c r="P55" s="107"/>
      <c r="Q55" s="107"/>
      <c r="R55" s="107"/>
      <c r="S55" s="107"/>
      <c r="T55" s="107"/>
      <c r="U55" s="107"/>
      <c r="V55" s="108"/>
    </row>
    <row r="56" spans="2:22" ht="12.75">
      <c r="B56" s="114" t="s">
        <v>37</v>
      </c>
      <c r="C56" s="115">
        <v>1</v>
      </c>
      <c r="D56" s="115">
        <v>2</v>
      </c>
      <c r="E56" s="115">
        <v>3</v>
      </c>
      <c r="F56" s="115">
        <v>4</v>
      </c>
      <c r="G56" s="115">
        <v>5</v>
      </c>
      <c r="H56" s="115">
        <v>6</v>
      </c>
      <c r="I56" s="115">
        <v>7</v>
      </c>
      <c r="J56" s="115">
        <v>8</v>
      </c>
      <c r="K56" s="115">
        <v>9</v>
      </c>
      <c r="L56" s="115">
        <v>10</v>
      </c>
      <c r="M56" s="115">
        <v>11</v>
      </c>
      <c r="N56" s="115">
        <v>12</v>
      </c>
      <c r="O56" s="115">
        <v>13</v>
      </c>
      <c r="P56" s="115">
        <v>14</v>
      </c>
      <c r="Q56" s="115">
        <v>15</v>
      </c>
      <c r="R56" s="115">
        <v>16</v>
      </c>
      <c r="S56" s="115">
        <v>17</v>
      </c>
      <c r="T56" s="115">
        <v>18</v>
      </c>
      <c r="U56" s="115">
        <v>19</v>
      </c>
      <c r="V56" s="116">
        <v>20</v>
      </c>
    </row>
    <row r="57" spans="2:22" ht="12.75">
      <c r="B57" s="109" t="s">
        <v>70</v>
      </c>
      <c r="C57" s="6"/>
      <c r="D57" s="171">
        <f>17000/55000*$C$21</f>
        <v>17000</v>
      </c>
      <c r="E57" s="171">
        <f>15000/55000*$C$21</f>
        <v>14999.999999999998</v>
      </c>
      <c r="F57" s="171">
        <f>15000/55000*$C$21</f>
        <v>14999.999999999998</v>
      </c>
      <c r="G57" s="171">
        <f>8000/55000*$C$21</f>
        <v>8000</v>
      </c>
      <c r="H57" s="6"/>
      <c r="I57" s="6"/>
      <c r="J57" s="6"/>
      <c r="K57" s="6"/>
      <c r="L57" s="6"/>
      <c r="M57" s="6"/>
      <c r="N57" s="6"/>
      <c r="O57" s="6"/>
      <c r="P57" s="6"/>
      <c r="Q57" s="6"/>
      <c r="R57" s="6"/>
      <c r="S57" s="6"/>
      <c r="T57" s="6"/>
      <c r="U57" s="6"/>
      <c r="V57" s="134"/>
    </row>
    <row r="58" spans="2:22" ht="12.75">
      <c r="B58" s="109" t="s">
        <v>57</v>
      </c>
      <c r="C58" s="6">
        <f aca="true" t="shared" si="12" ref="C58:V58">C38+C57</f>
        <v>500</v>
      </c>
      <c r="D58" s="6">
        <f t="shared" si="12"/>
        <v>17500</v>
      </c>
      <c r="E58" s="6">
        <f t="shared" si="12"/>
        <v>15499.999999999998</v>
      </c>
      <c r="F58" s="6">
        <f t="shared" si="12"/>
        <v>15499.999999999998</v>
      </c>
      <c r="G58" s="6">
        <f t="shared" si="12"/>
        <v>8500</v>
      </c>
      <c r="H58" s="6">
        <f t="shared" si="12"/>
        <v>500</v>
      </c>
      <c r="I58" s="6">
        <f t="shared" si="12"/>
        <v>500</v>
      </c>
      <c r="J58" s="6">
        <f t="shared" si="12"/>
        <v>500</v>
      </c>
      <c r="K58" s="6">
        <f t="shared" si="12"/>
        <v>500</v>
      </c>
      <c r="L58" s="6">
        <f t="shared" si="12"/>
        <v>500</v>
      </c>
      <c r="M58" s="6">
        <f t="shared" si="12"/>
        <v>500</v>
      </c>
      <c r="N58" s="6">
        <f t="shared" si="12"/>
        <v>500</v>
      </c>
      <c r="O58" s="6">
        <f t="shared" si="12"/>
        <v>500</v>
      </c>
      <c r="P58" s="6">
        <f t="shared" si="12"/>
        <v>500</v>
      </c>
      <c r="Q58" s="6">
        <f t="shared" si="12"/>
        <v>500</v>
      </c>
      <c r="R58" s="6">
        <f t="shared" si="12"/>
        <v>500</v>
      </c>
      <c r="S58" s="6">
        <f t="shared" si="12"/>
        <v>500</v>
      </c>
      <c r="T58" s="6">
        <f t="shared" si="12"/>
        <v>500</v>
      </c>
      <c r="U58" s="6">
        <f t="shared" si="12"/>
        <v>500</v>
      </c>
      <c r="V58" s="134">
        <f t="shared" si="12"/>
        <v>500</v>
      </c>
    </row>
    <row r="59" spans="2:22" ht="12.75">
      <c r="B59" s="109" t="s">
        <v>58</v>
      </c>
      <c r="C59" s="121">
        <f>C10+C58</f>
        <v>15500</v>
      </c>
      <c r="D59" s="121">
        <f>C59+C58</f>
        <v>16000</v>
      </c>
      <c r="E59" s="121">
        <f aca="true" t="shared" si="13" ref="E59:V59">D59+D58</f>
        <v>33500</v>
      </c>
      <c r="F59" s="121">
        <f t="shared" si="13"/>
        <v>49000</v>
      </c>
      <c r="G59" s="121">
        <f t="shared" si="13"/>
        <v>64500</v>
      </c>
      <c r="H59" s="121">
        <f t="shared" si="13"/>
        <v>73000</v>
      </c>
      <c r="I59" s="121">
        <f t="shared" si="13"/>
        <v>73500</v>
      </c>
      <c r="J59" s="121">
        <f t="shared" si="13"/>
        <v>74000</v>
      </c>
      <c r="K59" s="121">
        <f t="shared" si="13"/>
        <v>74500</v>
      </c>
      <c r="L59" s="121">
        <f t="shared" si="13"/>
        <v>75000</v>
      </c>
      <c r="M59" s="121">
        <f t="shared" si="13"/>
        <v>75500</v>
      </c>
      <c r="N59" s="121">
        <f t="shared" si="13"/>
        <v>76000</v>
      </c>
      <c r="O59" s="121">
        <f t="shared" si="13"/>
        <v>76500</v>
      </c>
      <c r="P59" s="121">
        <f t="shared" si="13"/>
        <v>77000</v>
      </c>
      <c r="Q59" s="121">
        <f t="shared" si="13"/>
        <v>77500</v>
      </c>
      <c r="R59" s="121">
        <f t="shared" si="13"/>
        <v>78000</v>
      </c>
      <c r="S59" s="121">
        <f t="shared" si="13"/>
        <v>78500</v>
      </c>
      <c r="T59" s="121">
        <f t="shared" si="13"/>
        <v>79000</v>
      </c>
      <c r="U59" s="121">
        <f t="shared" si="13"/>
        <v>79500</v>
      </c>
      <c r="V59" s="135">
        <f t="shared" si="13"/>
        <v>80000</v>
      </c>
    </row>
    <row r="60" spans="2:24" ht="12.75">
      <c r="B60" s="109" t="s">
        <v>59</v>
      </c>
      <c r="C60" s="121">
        <f aca="true" t="shared" si="14" ref="C60:V60">C59*trans_ratio_w</f>
        <v>103.33333333333334</v>
      </c>
      <c r="D60" s="121">
        <f t="shared" si="14"/>
        <v>106.66666666666667</v>
      </c>
      <c r="E60" s="121">
        <f t="shared" si="14"/>
        <v>223.33333333333334</v>
      </c>
      <c r="F60" s="121">
        <f t="shared" si="14"/>
        <v>326.6666666666667</v>
      </c>
      <c r="G60" s="121">
        <f t="shared" si="14"/>
        <v>430</v>
      </c>
      <c r="H60" s="121">
        <f t="shared" si="14"/>
        <v>486.6666666666667</v>
      </c>
      <c r="I60" s="121">
        <f t="shared" si="14"/>
        <v>490.00000000000006</v>
      </c>
      <c r="J60" s="121">
        <f t="shared" si="14"/>
        <v>493.33333333333337</v>
      </c>
      <c r="K60" s="121">
        <f t="shared" si="14"/>
        <v>496.6666666666667</v>
      </c>
      <c r="L60" s="121">
        <f t="shared" si="14"/>
        <v>500.00000000000006</v>
      </c>
      <c r="M60" s="121">
        <f t="shared" si="14"/>
        <v>503.33333333333337</v>
      </c>
      <c r="N60" s="121">
        <f t="shared" si="14"/>
        <v>506.6666666666667</v>
      </c>
      <c r="O60" s="121">
        <f t="shared" si="14"/>
        <v>510.00000000000006</v>
      </c>
      <c r="P60" s="121">
        <f t="shared" si="14"/>
        <v>513.3333333333334</v>
      </c>
      <c r="Q60" s="121">
        <f t="shared" si="14"/>
        <v>516.6666666666667</v>
      </c>
      <c r="R60" s="121">
        <f t="shared" si="14"/>
        <v>520</v>
      </c>
      <c r="S60" s="121">
        <f t="shared" si="14"/>
        <v>523.3333333333334</v>
      </c>
      <c r="T60" s="121">
        <f t="shared" si="14"/>
        <v>526.6666666666667</v>
      </c>
      <c r="U60" s="121">
        <f t="shared" si="14"/>
        <v>530</v>
      </c>
      <c r="V60" s="135">
        <f t="shared" si="14"/>
        <v>533.3333333333334</v>
      </c>
      <c r="X60" s="49">
        <f>SUM(C41:V41)-SUM(C61:V61)</f>
        <v>-4270</v>
      </c>
    </row>
    <row r="61" spans="2:27" ht="12.75">
      <c r="B61" s="109" t="s">
        <v>60</v>
      </c>
      <c r="C61" s="121">
        <v>160</v>
      </c>
      <c r="D61" s="121">
        <v>160</v>
      </c>
      <c r="E61" s="121">
        <v>160</v>
      </c>
      <c r="F61" s="121">
        <v>160</v>
      </c>
      <c r="G61" s="121">
        <v>170</v>
      </c>
      <c r="H61" s="121">
        <f aca="true" t="shared" si="15" ref="H61:V61">E59*mortgage_ratio*(1-$C22)</f>
        <v>223.33333333333334</v>
      </c>
      <c r="I61" s="121">
        <f t="shared" si="15"/>
        <v>326.6666666666667</v>
      </c>
      <c r="J61" s="121">
        <f t="shared" si="15"/>
        <v>430</v>
      </c>
      <c r="K61" s="121">
        <f t="shared" si="15"/>
        <v>486.6666666666667</v>
      </c>
      <c r="L61" s="121">
        <f t="shared" si="15"/>
        <v>490.00000000000006</v>
      </c>
      <c r="M61" s="121">
        <f t="shared" si="15"/>
        <v>493.33333333333337</v>
      </c>
      <c r="N61" s="121">
        <f t="shared" si="15"/>
        <v>496.6666666666667</v>
      </c>
      <c r="O61" s="121">
        <f t="shared" si="15"/>
        <v>500.00000000000006</v>
      </c>
      <c r="P61" s="121">
        <f t="shared" si="15"/>
        <v>503.33333333333337</v>
      </c>
      <c r="Q61" s="121">
        <f t="shared" si="15"/>
        <v>506.6666666666667</v>
      </c>
      <c r="R61" s="121">
        <f t="shared" si="15"/>
        <v>510.00000000000006</v>
      </c>
      <c r="S61" s="121">
        <f t="shared" si="15"/>
        <v>513.3333333333334</v>
      </c>
      <c r="T61" s="121">
        <f t="shared" si="15"/>
        <v>516.6666666666667</v>
      </c>
      <c r="U61" s="121">
        <f t="shared" si="15"/>
        <v>520</v>
      </c>
      <c r="V61" s="121">
        <f t="shared" si="15"/>
        <v>523.3333333333334</v>
      </c>
      <c r="W61" s="121">
        <f>T59*mortgage_ratio</f>
        <v>526.6666666666667</v>
      </c>
      <c r="X61" s="121">
        <f>U59*mortgage_ratio</f>
        <v>530</v>
      </c>
      <c r="Y61" s="121">
        <f>V59*mortgage_ratio*(1-$C22)</f>
        <v>533.3333333333334</v>
      </c>
      <c r="AA61" s="49"/>
    </row>
    <row r="62" spans="2:22" ht="12.75">
      <c r="B62" s="109" t="s">
        <v>61</v>
      </c>
      <c r="C62" s="111">
        <f>C61*parce_val</f>
        <v>3200000</v>
      </c>
      <c r="D62" s="111">
        <f>D61*parce_val</f>
        <v>3200000</v>
      </c>
      <c r="E62" s="111">
        <f aca="true" t="shared" si="16" ref="E62:V62">H61*parce_val</f>
        <v>4466666.666666667</v>
      </c>
      <c r="F62" s="111">
        <f t="shared" si="16"/>
        <v>6533333.333333334</v>
      </c>
      <c r="G62" s="111">
        <f t="shared" si="16"/>
        <v>8600000</v>
      </c>
      <c r="H62" s="111">
        <f t="shared" si="16"/>
        <v>9733333.333333334</v>
      </c>
      <c r="I62" s="111">
        <f t="shared" si="16"/>
        <v>9800000.000000002</v>
      </c>
      <c r="J62" s="111">
        <f t="shared" si="16"/>
        <v>9866666.666666668</v>
      </c>
      <c r="K62" s="111">
        <f t="shared" si="16"/>
        <v>9933333.333333334</v>
      </c>
      <c r="L62" s="111">
        <f t="shared" si="16"/>
        <v>10000000.000000002</v>
      </c>
      <c r="M62" s="111">
        <f t="shared" si="16"/>
        <v>10066666.666666668</v>
      </c>
      <c r="N62" s="111">
        <f t="shared" si="16"/>
        <v>10133333.333333334</v>
      </c>
      <c r="O62" s="111">
        <f t="shared" si="16"/>
        <v>10200000.000000002</v>
      </c>
      <c r="P62" s="111">
        <f t="shared" si="16"/>
        <v>10266666.666666668</v>
      </c>
      <c r="Q62" s="111">
        <f t="shared" si="16"/>
        <v>10333333.333333334</v>
      </c>
      <c r="R62" s="111">
        <f t="shared" si="16"/>
        <v>10400000</v>
      </c>
      <c r="S62" s="111">
        <f t="shared" si="16"/>
        <v>10466666.666666668</v>
      </c>
      <c r="T62" s="111">
        <f t="shared" si="16"/>
        <v>10533333.333333334</v>
      </c>
      <c r="U62" s="111">
        <f t="shared" si="16"/>
        <v>10600000</v>
      </c>
      <c r="V62" s="112">
        <f t="shared" si="16"/>
        <v>10666666.666666668</v>
      </c>
    </row>
    <row r="63" spans="2:22" ht="12.75">
      <c r="B63" s="109" t="s">
        <v>62</v>
      </c>
      <c r="C63" s="111">
        <f aca="true" t="shared" si="17" ref="C63:V63">C62*equity_debt</f>
        <v>480000</v>
      </c>
      <c r="D63" s="111">
        <f t="shared" si="17"/>
        <v>480000</v>
      </c>
      <c r="E63" s="111">
        <f t="shared" si="17"/>
        <v>670000</v>
      </c>
      <c r="F63" s="111">
        <f t="shared" si="17"/>
        <v>980000</v>
      </c>
      <c r="G63" s="111">
        <f t="shared" si="17"/>
        <v>1290000</v>
      </c>
      <c r="H63" s="111">
        <f t="shared" si="17"/>
        <v>1460000</v>
      </c>
      <c r="I63" s="111">
        <f t="shared" si="17"/>
        <v>1470000.0000000002</v>
      </c>
      <c r="J63" s="111">
        <f t="shared" si="17"/>
        <v>1480000.0000000002</v>
      </c>
      <c r="K63" s="111">
        <f t="shared" si="17"/>
        <v>1490000</v>
      </c>
      <c r="L63" s="111">
        <f t="shared" si="17"/>
        <v>1500000.0000000002</v>
      </c>
      <c r="M63" s="111">
        <f t="shared" si="17"/>
        <v>1510000.0000000002</v>
      </c>
      <c r="N63" s="111">
        <f t="shared" si="17"/>
        <v>1520000</v>
      </c>
      <c r="O63" s="111">
        <f t="shared" si="17"/>
        <v>1530000.0000000002</v>
      </c>
      <c r="P63" s="111">
        <f t="shared" si="17"/>
        <v>1540000.0000000002</v>
      </c>
      <c r="Q63" s="111">
        <f t="shared" si="17"/>
        <v>1550000</v>
      </c>
      <c r="R63" s="111">
        <f t="shared" si="17"/>
        <v>1560000</v>
      </c>
      <c r="S63" s="111">
        <f t="shared" si="17"/>
        <v>1570000.0000000002</v>
      </c>
      <c r="T63" s="111">
        <f t="shared" si="17"/>
        <v>1580000</v>
      </c>
      <c r="U63" s="111">
        <f t="shared" si="17"/>
        <v>1590000</v>
      </c>
      <c r="V63" s="112">
        <f t="shared" si="17"/>
        <v>1600000.0000000002</v>
      </c>
    </row>
    <row r="64" spans="2:22" ht="12.75">
      <c r="B64" s="109" t="s">
        <v>63</v>
      </c>
      <c r="C64" s="111">
        <f aca="true" t="shared" si="18" ref="C64:V64">C62+C63</f>
        <v>3680000</v>
      </c>
      <c r="D64" s="111">
        <f t="shared" si="18"/>
        <v>3680000</v>
      </c>
      <c r="E64" s="111">
        <f t="shared" si="18"/>
        <v>5136666.666666667</v>
      </c>
      <c r="F64" s="111">
        <f t="shared" si="18"/>
        <v>7513333.333333334</v>
      </c>
      <c r="G64" s="111">
        <f t="shared" si="18"/>
        <v>9890000</v>
      </c>
      <c r="H64" s="111">
        <f t="shared" si="18"/>
        <v>11193333.333333334</v>
      </c>
      <c r="I64" s="111">
        <f t="shared" si="18"/>
        <v>11270000.000000002</v>
      </c>
      <c r="J64" s="111">
        <f t="shared" si="18"/>
        <v>11346666.666666668</v>
      </c>
      <c r="K64" s="111">
        <f t="shared" si="18"/>
        <v>11423333.333333334</v>
      </c>
      <c r="L64" s="111">
        <f t="shared" si="18"/>
        <v>11500000.000000002</v>
      </c>
      <c r="M64" s="111">
        <f t="shared" si="18"/>
        <v>11576666.666666668</v>
      </c>
      <c r="N64" s="111">
        <f t="shared" si="18"/>
        <v>11653333.333333334</v>
      </c>
      <c r="O64" s="111">
        <f t="shared" si="18"/>
        <v>11730000.000000002</v>
      </c>
      <c r="P64" s="111">
        <f t="shared" si="18"/>
        <v>11806666.666666668</v>
      </c>
      <c r="Q64" s="111">
        <f t="shared" si="18"/>
        <v>11883333.333333334</v>
      </c>
      <c r="R64" s="111">
        <f t="shared" si="18"/>
        <v>11960000</v>
      </c>
      <c r="S64" s="111">
        <f t="shared" si="18"/>
        <v>12036666.666666668</v>
      </c>
      <c r="T64" s="111">
        <f t="shared" si="18"/>
        <v>12113333.333333334</v>
      </c>
      <c r="U64" s="111">
        <f t="shared" si="18"/>
        <v>12190000</v>
      </c>
      <c r="V64" s="112">
        <f t="shared" si="18"/>
        <v>12266666.666666668</v>
      </c>
    </row>
    <row r="65" spans="2:22" ht="12.75">
      <c r="B65" s="109" t="s">
        <v>64</v>
      </c>
      <c r="C65" s="140">
        <f>mort_parc_start*parce_val*(1+equity_debt)+C64</f>
        <v>5980000</v>
      </c>
      <c r="D65" s="140">
        <f>C65+D64</f>
        <v>9660000</v>
      </c>
      <c r="E65" s="140">
        <f aca="true" t="shared" si="19" ref="E65:V65">D65+E64</f>
        <v>14796666.666666668</v>
      </c>
      <c r="F65" s="140">
        <f t="shared" si="19"/>
        <v>22310000</v>
      </c>
      <c r="G65" s="140">
        <f t="shared" si="19"/>
        <v>32200000</v>
      </c>
      <c r="H65" s="140">
        <f t="shared" si="19"/>
        <v>43393333.333333336</v>
      </c>
      <c r="I65" s="140">
        <f t="shared" si="19"/>
        <v>54663333.333333336</v>
      </c>
      <c r="J65" s="140">
        <f t="shared" si="19"/>
        <v>66010000</v>
      </c>
      <c r="K65" s="140">
        <f t="shared" si="19"/>
        <v>77433333.33333333</v>
      </c>
      <c r="L65" s="140">
        <f t="shared" si="19"/>
        <v>88933333.33333333</v>
      </c>
      <c r="M65" s="140">
        <f t="shared" si="19"/>
        <v>100510000</v>
      </c>
      <c r="N65" s="140">
        <f t="shared" si="19"/>
        <v>112163333.33333333</v>
      </c>
      <c r="O65" s="140">
        <f t="shared" si="19"/>
        <v>123893333.33333333</v>
      </c>
      <c r="P65" s="140">
        <f t="shared" si="19"/>
        <v>135700000</v>
      </c>
      <c r="Q65" s="140">
        <f t="shared" si="19"/>
        <v>147583333.33333334</v>
      </c>
      <c r="R65" s="140">
        <f t="shared" si="19"/>
        <v>159543333.33333334</v>
      </c>
      <c r="S65" s="140">
        <f t="shared" si="19"/>
        <v>171580000</v>
      </c>
      <c r="T65" s="140">
        <f t="shared" si="19"/>
        <v>183693333.33333334</v>
      </c>
      <c r="U65" s="140">
        <f t="shared" si="19"/>
        <v>195883333.33333334</v>
      </c>
      <c r="V65" s="141">
        <f t="shared" si="19"/>
        <v>208150000</v>
      </c>
    </row>
    <row r="66" spans="2:22" ht="12.75">
      <c r="B66" s="109" t="s">
        <v>65</v>
      </c>
      <c r="C66" s="121">
        <f>parce_val*mort_parc_start*(1+equity_debt)*inv_return</f>
        <v>385939.99999999994</v>
      </c>
      <c r="D66" s="140">
        <f>C65*inv_return</f>
        <v>1003443.9999999999</v>
      </c>
      <c r="E66" s="140">
        <f aca="true" t="shared" si="20" ref="E66:V66">D65*inv_return</f>
        <v>1620947.9999999998</v>
      </c>
      <c r="F66" s="140">
        <f t="shared" si="20"/>
        <v>2482880.6666666665</v>
      </c>
      <c r="G66" s="140">
        <f t="shared" si="20"/>
        <v>3743617.9999999995</v>
      </c>
      <c r="H66" s="140">
        <f t="shared" si="20"/>
        <v>5403159.999999999</v>
      </c>
      <c r="I66" s="140">
        <f t="shared" si="20"/>
        <v>7281401.333333333</v>
      </c>
      <c r="J66" s="140">
        <f t="shared" si="20"/>
        <v>9172507.333333332</v>
      </c>
      <c r="K66" s="140">
        <f t="shared" si="20"/>
        <v>11076477.999999998</v>
      </c>
      <c r="L66" s="140">
        <f t="shared" si="20"/>
        <v>12993313.33333333</v>
      </c>
      <c r="M66" s="140">
        <f t="shared" si="20"/>
        <v>14923013.33333333</v>
      </c>
      <c r="N66" s="140">
        <f t="shared" si="20"/>
        <v>16865577.999999996</v>
      </c>
      <c r="O66" s="140">
        <f t="shared" si="20"/>
        <v>18821007.33333333</v>
      </c>
      <c r="P66" s="140">
        <f t="shared" si="20"/>
        <v>20789301.33333333</v>
      </c>
      <c r="Q66" s="140">
        <f t="shared" si="20"/>
        <v>22770459.999999996</v>
      </c>
      <c r="R66" s="140">
        <f t="shared" si="20"/>
        <v>24764483.333333332</v>
      </c>
      <c r="S66" s="140">
        <f t="shared" si="20"/>
        <v>26771371.333333332</v>
      </c>
      <c r="T66" s="140">
        <f t="shared" si="20"/>
        <v>28791123.999999996</v>
      </c>
      <c r="U66" s="140">
        <f t="shared" si="20"/>
        <v>30823741.333333332</v>
      </c>
      <c r="V66" s="141">
        <f t="shared" si="20"/>
        <v>32869223.333333332</v>
      </c>
    </row>
    <row r="67" spans="2:22" ht="12.75">
      <c r="B67" s="117"/>
      <c r="C67" s="137"/>
      <c r="D67" s="137"/>
      <c r="E67" s="137"/>
      <c r="F67" s="137"/>
      <c r="G67" s="137"/>
      <c r="H67" s="137"/>
      <c r="I67" s="137"/>
      <c r="J67" s="137"/>
      <c r="K67" s="137"/>
      <c r="L67" s="137"/>
      <c r="M67" s="137"/>
      <c r="N67" s="137"/>
      <c r="O67" s="137"/>
      <c r="P67" s="137"/>
      <c r="Q67" s="137"/>
      <c r="R67" s="137"/>
      <c r="S67" s="137"/>
      <c r="T67" s="137"/>
      <c r="U67" s="137"/>
      <c r="V67" s="138"/>
    </row>
    <row r="68" spans="2:22" ht="12.75">
      <c r="B68" s="109" t="s">
        <v>66</v>
      </c>
      <c r="C68" s="140"/>
      <c r="D68" s="140"/>
      <c r="E68" s="140"/>
      <c r="F68" s="140"/>
      <c r="G68" s="140"/>
      <c r="H68" s="140"/>
      <c r="I68" s="140"/>
      <c r="J68" s="140"/>
      <c r="K68" s="140"/>
      <c r="L68" s="140"/>
      <c r="M68" s="140"/>
      <c r="N68" s="140"/>
      <c r="O68" s="140"/>
      <c r="P68" s="140"/>
      <c r="Q68" s="140"/>
      <c r="R68" s="140"/>
      <c r="S68" s="140"/>
      <c r="T68" s="140"/>
      <c r="U68" s="140"/>
      <c r="V68" s="141"/>
    </row>
    <row r="69" spans="2:22" ht="12.75">
      <c r="B69" s="109" t="s">
        <v>67</v>
      </c>
      <c r="C69" s="140">
        <f>C58*parce_val*regst_c_wo</f>
        <v>117976.19047619049</v>
      </c>
      <c r="D69" s="140">
        <f>D58*parce_val*regis_c_w_d</f>
        <v>2831548.202380952</v>
      </c>
      <c r="E69" s="140">
        <f>E58*parce_val*regis_c_w_d</f>
        <v>2507942.693537414</v>
      </c>
      <c r="F69" s="140">
        <f>F58*parce_val*regis_c_w_d</f>
        <v>2507942.693537414</v>
      </c>
      <c r="G69" s="140">
        <f>G58*parce_val*regis_c_w_d</f>
        <v>1375323.4125850338</v>
      </c>
      <c r="H69" s="140">
        <f aca="true" t="shared" si="21" ref="H69:V69">H58*parce_val*regis_c_w_a</f>
        <v>101309.54047619046</v>
      </c>
      <c r="I69" s="140">
        <f t="shared" si="21"/>
        <v>101309.54047619046</v>
      </c>
      <c r="J69" s="140">
        <f t="shared" si="21"/>
        <v>101309.54047619046</v>
      </c>
      <c r="K69" s="140">
        <f t="shared" si="21"/>
        <v>101309.54047619046</v>
      </c>
      <c r="L69" s="140">
        <f t="shared" si="21"/>
        <v>101309.54047619046</v>
      </c>
      <c r="M69" s="140">
        <f t="shared" si="21"/>
        <v>101309.54047619046</v>
      </c>
      <c r="N69" s="140">
        <f t="shared" si="21"/>
        <v>101309.54047619046</v>
      </c>
      <c r="O69" s="140">
        <f t="shared" si="21"/>
        <v>101309.54047619046</v>
      </c>
      <c r="P69" s="140">
        <f t="shared" si="21"/>
        <v>101309.54047619046</v>
      </c>
      <c r="Q69" s="140">
        <f t="shared" si="21"/>
        <v>101309.54047619046</v>
      </c>
      <c r="R69" s="140">
        <f t="shared" si="21"/>
        <v>101309.54047619046</v>
      </c>
      <c r="S69" s="140">
        <f t="shared" si="21"/>
        <v>101309.54047619046</v>
      </c>
      <c r="T69" s="140">
        <f t="shared" si="21"/>
        <v>101309.54047619046</v>
      </c>
      <c r="U69" s="140">
        <f t="shared" si="21"/>
        <v>101309.54047619046</v>
      </c>
      <c r="V69" s="141">
        <f t="shared" si="21"/>
        <v>101309.54047619046</v>
      </c>
    </row>
    <row r="70" spans="2:22" ht="12.75">
      <c r="B70" s="109" t="s">
        <v>68</v>
      </c>
      <c r="C70" s="140">
        <f aca="true" t="shared" si="22" ref="C70:V70">C62*trans_mort_c</f>
        <v>68571.42857142857</v>
      </c>
      <c r="D70" s="140">
        <f t="shared" si="22"/>
        <v>68571.42857142857</v>
      </c>
      <c r="E70" s="140">
        <f t="shared" si="22"/>
        <v>95714.28571428572</v>
      </c>
      <c r="F70" s="140">
        <f t="shared" si="22"/>
        <v>140000.00000000003</v>
      </c>
      <c r="G70" s="140">
        <f t="shared" si="22"/>
        <v>184285.7142857143</v>
      </c>
      <c r="H70" s="140">
        <f t="shared" si="22"/>
        <v>208571.42857142858</v>
      </c>
      <c r="I70" s="140">
        <f t="shared" si="22"/>
        <v>210000.00000000003</v>
      </c>
      <c r="J70" s="140">
        <f t="shared" si="22"/>
        <v>211428.57142857145</v>
      </c>
      <c r="K70" s="140">
        <f t="shared" si="22"/>
        <v>212857.14285714287</v>
      </c>
      <c r="L70" s="140">
        <f t="shared" si="22"/>
        <v>214285.71428571432</v>
      </c>
      <c r="M70" s="140">
        <f t="shared" si="22"/>
        <v>215714.28571428574</v>
      </c>
      <c r="N70" s="140">
        <f t="shared" si="22"/>
        <v>217142.85714285716</v>
      </c>
      <c r="O70" s="140">
        <f t="shared" si="22"/>
        <v>218571.4285714286</v>
      </c>
      <c r="P70" s="140">
        <f t="shared" si="22"/>
        <v>220000.00000000003</v>
      </c>
      <c r="Q70" s="140">
        <f t="shared" si="22"/>
        <v>221428.57142857145</v>
      </c>
      <c r="R70" s="140">
        <f t="shared" si="22"/>
        <v>222857.14285714287</v>
      </c>
      <c r="S70" s="140">
        <f t="shared" si="22"/>
        <v>224285.71428571432</v>
      </c>
      <c r="T70" s="140">
        <f t="shared" si="22"/>
        <v>225714.28571428574</v>
      </c>
      <c r="U70" s="140">
        <f t="shared" si="22"/>
        <v>227142.85714285716</v>
      </c>
      <c r="V70" s="141">
        <f t="shared" si="22"/>
        <v>228571.4285714286</v>
      </c>
    </row>
    <row r="71" spans="2:22" ht="12.75">
      <c r="B71" s="113" t="s">
        <v>69</v>
      </c>
      <c r="C71" s="53">
        <f aca="true" t="shared" si="23" ref="C71:V71">C60*parce_val*trans_mort_c</f>
        <v>44285.71428571429</v>
      </c>
      <c r="D71" s="53">
        <f t="shared" si="23"/>
        <v>45714.28571428572</v>
      </c>
      <c r="E71" s="53">
        <f t="shared" si="23"/>
        <v>95714.28571428572</v>
      </c>
      <c r="F71" s="53">
        <f t="shared" si="23"/>
        <v>140000.00000000003</v>
      </c>
      <c r="G71" s="53">
        <f t="shared" si="23"/>
        <v>184285.7142857143</v>
      </c>
      <c r="H71" s="53">
        <f t="shared" si="23"/>
        <v>208571.42857142858</v>
      </c>
      <c r="I71" s="53">
        <f t="shared" si="23"/>
        <v>210000.00000000003</v>
      </c>
      <c r="J71" s="53">
        <f t="shared" si="23"/>
        <v>211428.57142857145</v>
      </c>
      <c r="K71" s="53">
        <f t="shared" si="23"/>
        <v>212857.14285714287</v>
      </c>
      <c r="L71" s="53">
        <f t="shared" si="23"/>
        <v>214285.71428571432</v>
      </c>
      <c r="M71" s="53">
        <f t="shared" si="23"/>
        <v>215714.28571428574</v>
      </c>
      <c r="N71" s="53">
        <f t="shared" si="23"/>
        <v>217142.85714285716</v>
      </c>
      <c r="O71" s="53">
        <f t="shared" si="23"/>
        <v>218571.4285714286</v>
      </c>
      <c r="P71" s="53">
        <f t="shared" si="23"/>
        <v>220000.00000000003</v>
      </c>
      <c r="Q71" s="53">
        <f t="shared" si="23"/>
        <v>221428.57142857145</v>
      </c>
      <c r="R71" s="53">
        <f t="shared" si="23"/>
        <v>222857.14285714287</v>
      </c>
      <c r="S71" s="53">
        <f t="shared" si="23"/>
        <v>224285.71428571432</v>
      </c>
      <c r="T71" s="53">
        <f t="shared" si="23"/>
        <v>225714.28571428574</v>
      </c>
      <c r="U71" s="53">
        <f t="shared" si="23"/>
        <v>227142.85714285716</v>
      </c>
      <c r="V71" s="136">
        <f t="shared" si="23"/>
        <v>228571.4285714286</v>
      </c>
    </row>
    <row r="72" spans="2:22" ht="12.75">
      <c r="B72" s="122" t="s">
        <v>147</v>
      </c>
      <c r="C72" s="115">
        <f aca="true" t="shared" si="24" ref="C72:V72">SUM(C69:C71)</f>
        <v>230833.33333333334</v>
      </c>
      <c r="D72" s="115">
        <f t="shared" si="24"/>
        <v>2945833.9166666665</v>
      </c>
      <c r="E72" s="115">
        <f t="shared" si="24"/>
        <v>2699371.264965986</v>
      </c>
      <c r="F72" s="115">
        <f t="shared" si="24"/>
        <v>2787942.693537414</v>
      </c>
      <c r="G72" s="115">
        <f t="shared" si="24"/>
        <v>1743894.8411564624</v>
      </c>
      <c r="H72" s="115">
        <f t="shared" si="24"/>
        <v>518452.3976190476</v>
      </c>
      <c r="I72" s="115">
        <f t="shared" si="24"/>
        <v>521309.5404761905</v>
      </c>
      <c r="J72" s="115">
        <f t="shared" si="24"/>
        <v>524166.68333333335</v>
      </c>
      <c r="K72" s="115">
        <f t="shared" si="24"/>
        <v>527023.8261904762</v>
      </c>
      <c r="L72" s="115">
        <f t="shared" si="24"/>
        <v>529880.969047619</v>
      </c>
      <c r="M72" s="115">
        <f t="shared" si="24"/>
        <v>532738.111904762</v>
      </c>
      <c r="N72" s="115">
        <f t="shared" si="24"/>
        <v>535595.2547619047</v>
      </c>
      <c r="O72" s="115">
        <f t="shared" si="24"/>
        <v>538452.3976190477</v>
      </c>
      <c r="P72" s="115">
        <f t="shared" si="24"/>
        <v>541309.5404761905</v>
      </c>
      <c r="Q72" s="115">
        <f t="shared" si="24"/>
        <v>544166.6833333333</v>
      </c>
      <c r="R72" s="115">
        <f t="shared" si="24"/>
        <v>547023.8261904762</v>
      </c>
      <c r="S72" s="115">
        <f t="shared" si="24"/>
        <v>549880.969047619</v>
      </c>
      <c r="T72" s="115">
        <f t="shared" si="24"/>
        <v>552738.111904762</v>
      </c>
      <c r="U72" s="115">
        <f t="shared" si="24"/>
        <v>555595.2547619047</v>
      </c>
      <c r="V72" s="116">
        <f t="shared" si="24"/>
        <v>558452.3976190477</v>
      </c>
    </row>
    <row r="73" spans="3:22" ht="12.75">
      <c r="C73" s="48"/>
      <c r="D73" s="48"/>
      <c r="E73" s="48"/>
      <c r="F73" s="48"/>
      <c r="G73" s="48"/>
      <c r="H73" s="48"/>
      <c r="I73" s="48"/>
      <c r="J73" s="48"/>
      <c r="K73" s="48"/>
      <c r="L73" s="48"/>
      <c r="M73" s="48"/>
      <c r="N73" s="48"/>
      <c r="O73" s="48"/>
      <c r="P73" s="48"/>
      <c r="Q73" s="48"/>
      <c r="R73" s="48"/>
      <c r="S73" s="48"/>
      <c r="T73" s="48"/>
      <c r="U73" s="48"/>
      <c r="V73" s="48"/>
    </row>
    <row r="75" spans="2:22" ht="12.75">
      <c r="B75" s="106" t="s">
        <v>71</v>
      </c>
      <c r="C75" s="107"/>
      <c r="D75" s="107"/>
      <c r="E75" s="107"/>
      <c r="F75" s="107"/>
      <c r="G75" s="107"/>
      <c r="H75" s="107"/>
      <c r="I75" s="107"/>
      <c r="J75" s="107"/>
      <c r="K75" s="107"/>
      <c r="L75" s="107"/>
      <c r="M75" s="107"/>
      <c r="N75" s="107"/>
      <c r="O75" s="107"/>
      <c r="P75" s="107"/>
      <c r="Q75" s="107"/>
      <c r="R75" s="107"/>
      <c r="S75" s="107"/>
      <c r="T75" s="107"/>
      <c r="U75" s="107"/>
      <c r="V75" s="108"/>
    </row>
    <row r="76" spans="2:22" ht="12.75">
      <c r="B76" s="120" t="s">
        <v>37</v>
      </c>
      <c r="C76" s="7">
        <v>1</v>
      </c>
      <c r="D76" s="7">
        <v>2</v>
      </c>
      <c r="E76" s="7">
        <v>3</v>
      </c>
      <c r="F76" s="7">
        <v>4</v>
      </c>
      <c r="G76" s="7">
        <v>5</v>
      </c>
      <c r="H76" s="7">
        <v>6</v>
      </c>
      <c r="I76" s="7">
        <v>7</v>
      </c>
      <c r="J76" s="7">
        <v>8</v>
      </c>
      <c r="K76" s="7">
        <v>9</v>
      </c>
      <c r="L76" s="7">
        <v>10</v>
      </c>
      <c r="M76" s="7">
        <v>11</v>
      </c>
      <c r="N76" s="7">
        <v>12</v>
      </c>
      <c r="O76" s="7">
        <v>13</v>
      </c>
      <c r="P76" s="7">
        <v>14</v>
      </c>
      <c r="Q76" s="7">
        <v>15</v>
      </c>
      <c r="R76" s="7">
        <v>16</v>
      </c>
      <c r="S76" s="7">
        <v>17</v>
      </c>
      <c r="T76" s="7">
        <v>18</v>
      </c>
      <c r="U76" s="7">
        <v>19</v>
      </c>
      <c r="V76" s="110">
        <v>20</v>
      </c>
    </row>
    <row r="77" spans="2:22" ht="12.75">
      <c r="B77" s="109" t="s">
        <v>72</v>
      </c>
      <c r="C77" s="140">
        <f aca="true" t="shared" si="25" ref="C77:V77">C66-C46</f>
        <v>0</v>
      </c>
      <c r="D77" s="140">
        <f t="shared" si="25"/>
        <v>0</v>
      </c>
      <c r="E77" s="140">
        <f t="shared" si="25"/>
        <v>0</v>
      </c>
      <c r="F77" s="140">
        <f t="shared" si="25"/>
        <v>244428.66666666698</v>
      </c>
      <c r="G77" s="140">
        <f t="shared" si="25"/>
        <v>887662</v>
      </c>
      <c r="H77" s="140">
        <f t="shared" si="25"/>
        <v>1929699.9999999995</v>
      </c>
      <c r="I77" s="140">
        <f t="shared" si="25"/>
        <v>3151843.3333333335</v>
      </c>
      <c r="J77" s="140">
        <f t="shared" si="25"/>
        <v>4386851.333333333</v>
      </c>
      <c r="K77" s="140">
        <f t="shared" si="25"/>
        <v>5634723.999999999</v>
      </c>
      <c r="L77" s="140">
        <f t="shared" si="25"/>
        <v>6856867.333333331</v>
      </c>
      <c r="M77" s="140">
        <f t="shared" si="25"/>
        <v>8091875.333333331</v>
      </c>
      <c r="N77" s="140">
        <f t="shared" si="25"/>
        <v>9339747.999999996</v>
      </c>
      <c r="O77" s="140">
        <f t="shared" si="25"/>
        <v>10600485.333333328</v>
      </c>
      <c r="P77" s="140">
        <f t="shared" si="25"/>
        <v>11835493.33333333</v>
      </c>
      <c r="Q77" s="140">
        <f t="shared" si="25"/>
        <v>13083365.999999998</v>
      </c>
      <c r="R77" s="140">
        <f t="shared" si="25"/>
        <v>14344103.333333334</v>
      </c>
      <c r="S77" s="140">
        <f t="shared" si="25"/>
        <v>15617705.333333334</v>
      </c>
      <c r="T77" s="140">
        <f t="shared" si="25"/>
        <v>16904172</v>
      </c>
      <c r="U77" s="140">
        <f t="shared" si="25"/>
        <v>18164909.333333336</v>
      </c>
      <c r="V77" s="141">
        <f t="shared" si="25"/>
        <v>19438511.333333336</v>
      </c>
    </row>
    <row r="78" spans="1:22" ht="12.75">
      <c r="A78">
        <v>6</v>
      </c>
      <c r="B78" s="139" t="s">
        <v>40</v>
      </c>
      <c r="C78" s="140">
        <f aca="true" t="shared" si="26" ref="C78:V78">C77*1.3</f>
        <v>0</v>
      </c>
      <c r="D78" s="140">
        <f t="shared" si="26"/>
        <v>0</v>
      </c>
      <c r="E78" s="140">
        <f t="shared" si="26"/>
        <v>0</v>
      </c>
      <c r="F78" s="140">
        <f t="shared" si="26"/>
        <v>317757.26666666707</v>
      </c>
      <c r="G78" s="140">
        <f t="shared" si="26"/>
        <v>1153960.6</v>
      </c>
      <c r="H78" s="140">
        <f t="shared" si="26"/>
        <v>2508609.9999999995</v>
      </c>
      <c r="I78" s="140">
        <f t="shared" si="26"/>
        <v>4097396.3333333335</v>
      </c>
      <c r="J78" s="140">
        <f t="shared" si="26"/>
        <v>5702906.733333333</v>
      </c>
      <c r="K78" s="140">
        <f t="shared" si="26"/>
        <v>7325141.199999999</v>
      </c>
      <c r="L78" s="140">
        <f t="shared" si="26"/>
        <v>8913927.533333331</v>
      </c>
      <c r="M78" s="140">
        <f t="shared" si="26"/>
        <v>10519437.933333332</v>
      </c>
      <c r="N78" s="140">
        <f t="shared" si="26"/>
        <v>12141672.399999995</v>
      </c>
      <c r="O78" s="140">
        <f t="shared" si="26"/>
        <v>13780630.933333328</v>
      </c>
      <c r="P78" s="140">
        <f t="shared" si="26"/>
        <v>15386141.33333333</v>
      </c>
      <c r="Q78" s="140">
        <f t="shared" si="26"/>
        <v>17008375.799999997</v>
      </c>
      <c r="R78" s="140">
        <f t="shared" si="26"/>
        <v>18647334.333333336</v>
      </c>
      <c r="S78" s="140">
        <f t="shared" si="26"/>
        <v>20303016.933333334</v>
      </c>
      <c r="T78" s="140">
        <f t="shared" si="26"/>
        <v>21975423.6</v>
      </c>
      <c r="U78" s="140">
        <f t="shared" si="26"/>
        <v>23614382.133333337</v>
      </c>
      <c r="V78" s="141">
        <f t="shared" si="26"/>
        <v>25270064.733333338</v>
      </c>
    </row>
    <row r="79" spans="2:22" ht="12.75">
      <c r="B79" s="109"/>
      <c r="C79" s="6"/>
      <c r="D79" s="6"/>
      <c r="E79" s="6"/>
      <c r="F79" s="6"/>
      <c r="G79" s="6"/>
      <c r="H79" s="6"/>
      <c r="I79" s="6"/>
      <c r="J79" s="6"/>
      <c r="K79" s="6"/>
      <c r="L79" s="6"/>
      <c r="M79" s="6"/>
      <c r="N79" s="6"/>
      <c r="O79" s="6"/>
      <c r="P79" s="6"/>
      <c r="Q79" s="6"/>
      <c r="R79" s="6"/>
      <c r="S79" s="6"/>
      <c r="T79" s="6"/>
      <c r="U79" s="6"/>
      <c r="V79" s="134"/>
    </row>
    <row r="80" spans="2:22" ht="12.75">
      <c r="B80" s="143" t="s">
        <v>149</v>
      </c>
      <c r="C80" s="7"/>
      <c r="D80" s="7"/>
      <c r="E80" s="7"/>
      <c r="F80" s="7"/>
      <c r="G80" s="7"/>
      <c r="H80" s="7"/>
      <c r="I80" s="7"/>
      <c r="J80" s="7"/>
      <c r="K80" s="7"/>
      <c r="L80" s="7"/>
      <c r="M80" s="7"/>
      <c r="N80" s="7"/>
      <c r="O80" s="7"/>
      <c r="P80" s="7"/>
      <c r="Q80" s="7"/>
      <c r="R80" s="7"/>
      <c r="S80" s="7"/>
      <c r="T80" s="7"/>
      <c r="U80" s="7"/>
      <c r="V80" s="110"/>
    </row>
    <row r="81" spans="2:22" ht="12.75">
      <c r="B81" s="117" t="s">
        <v>148</v>
      </c>
      <c r="C81" s="118">
        <v>2703316.29</v>
      </c>
      <c r="D81" s="118">
        <v>6760347.64</v>
      </c>
      <c r="E81" s="118">
        <v>5154525.005</v>
      </c>
      <c r="F81" s="118">
        <v>3588178.97</v>
      </c>
      <c r="G81" s="118">
        <v>1887983.67</v>
      </c>
      <c r="H81" s="118">
        <v>0</v>
      </c>
      <c r="I81" s="118">
        <v>0</v>
      </c>
      <c r="J81" s="118">
        <v>0</v>
      </c>
      <c r="K81" s="118">
        <v>0</v>
      </c>
      <c r="L81" s="118">
        <v>0</v>
      </c>
      <c r="M81" s="118">
        <v>0</v>
      </c>
      <c r="N81" s="118">
        <v>0</v>
      </c>
      <c r="O81" s="118">
        <v>0</v>
      </c>
      <c r="P81" s="118">
        <v>0</v>
      </c>
      <c r="Q81" s="118">
        <v>0</v>
      </c>
      <c r="R81" s="118">
        <v>0</v>
      </c>
      <c r="S81" s="118">
        <v>0</v>
      </c>
      <c r="T81" s="118">
        <v>0</v>
      </c>
      <c r="U81" s="118">
        <v>0</v>
      </c>
      <c r="V81" s="119">
        <v>0</v>
      </c>
    </row>
    <row r="82" spans="2:22" ht="12.75">
      <c r="B82" s="109" t="s">
        <v>73</v>
      </c>
      <c r="C82" s="111">
        <f>C81*0.1</f>
        <v>270331.629</v>
      </c>
      <c r="D82" s="111">
        <f>D81*0.1</f>
        <v>676034.764</v>
      </c>
      <c r="E82" s="111">
        <f>E81*0.1</f>
        <v>515452.5005</v>
      </c>
      <c r="F82" s="111">
        <f>F81*0.1</f>
        <v>358817.89700000006</v>
      </c>
      <c r="G82" s="111">
        <f>G81*0.1</f>
        <v>188798.367</v>
      </c>
      <c r="H82" s="111">
        <v>0</v>
      </c>
      <c r="I82" s="111">
        <v>0</v>
      </c>
      <c r="J82" s="111">
        <v>0</v>
      </c>
      <c r="K82" s="111">
        <v>0</v>
      </c>
      <c r="L82" s="111">
        <v>0</v>
      </c>
      <c r="M82" s="111">
        <v>0</v>
      </c>
      <c r="N82" s="111">
        <v>0</v>
      </c>
      <c r="O82" s="111">
        <v>0</v>
      </c>
      <c r="P82" s="111">
        <v>0</v>
      </c>
      <c r="Q82" s="111">
        <v>0</v>
      </c>
      <c r="R82" s="111">
        <v>0</v>
      </c>
      <c r="S82" s="111">
        <v>0</v>
      </c>
      <c r="T82" s="111">
        <v>0</v>
      </c>
      <c r="U82" s="111">
        <v>0</v>
      </c>
      <c r="V82" s="112">
        <v>0</v>
      </c>
    </row>
    <row r="83" spans="2:22" ht="12.75">
      <c r="B83" s="139" t="s">
        <v>38</v>
      </c>
      <c r="C83" s="111">
        <f aca="true" t="shared" si="27" ref="C83:H83">SUM(C81:C82)</f>
        <v>2973647.919</v>
      </c>
      <c r="D83" s="111">
        <f t="shared" si="27"/>
        <v>7436382.403999999</v>
      </c>
      <c r="E83" s="111">
        <f t="shared" si="27"/>
        <v>5669977.5055</v>
      </c>
      <c r="F83" s="111">
        <f t="shared" si="27"/>
        <v>3946996.867</v>
      </c>
      <c r="G83" s="111">
        <f t="shared" si="27"/>
        <v>2076782.037</v>
      </c>
      <c r="H83" s="111">
        <f t="shared" si="27"/>
        <v>0</v>
      </c>
      <c r="I83" s="111">
        <f aca="true" t="shared" si="28" ref="I83:V83">SUM(I81:I82)</f>
        <v>0</v>
      </c>
      <c r="J83" s="111">
        <f t="shared" si="28"/>
        <v>0</v>
      </c>
      <c r="K83" s="111">
        <f t="shared" si="28"/>
        <v>0</v>
      </c>
      <c r="L83" s="111">
        <f t="shared" si="28"/>
        <v>0</v>
      </c>
      <c r="M83" s="111">
        <f t="shared" si="28"/>
        <v>0</v>
      </c>
      <c r="N83" s="111">
        <f t="shared" si="28"/>
        <v>0</v>
      </c>
      <c r="O83" s="111">
        <f t="shared" si="28"/>
        <v>0</v>
      </c>
      <c r="P83" s="111">
        <f t="shared" si="28"/>
        <v>0</v>
      </c>
      <c r="Q83" s="111">
        <f t="shared" si="28"/>
        <v>0</v>
      </c>
      <c r="R83" s="111">
        <f t="shared" si="28"/>
        <v>0</v>
      </c>
      <c r="S83" s="111">
        <f t="shared" si="28"/>
        <v>0</v>
      </c>
      <c r="T83" s="111">
        <f t="shared" si="28"/>
        <v>0</v>
      </c>
      <c r="U83" s="111">
        <f t="shared" si="28"/>
        <v>0</v>
      </c>
      <c r="V83" s="112">
        <f t="shared" si="28"/>
        <v>0</v>
      </c>
    </row>
    <row r="84" spans="2:22" ht="12.75">
      <c r="B84" s="109" t="s">
        <v>74</v>
      </c>
      <c r="C84" s="111">
        <f aca="true" t="shared" si="29" ref="C84:V84">C72-C52</f>
        <v>0</v>
      </c>
      <c r="D84" s="111">
        <f t="shared" si="29"/>
        <v>2713572.0119047617</v>
      </c>
      <c r="E84" s="111">
        <f t="shared" si="29"/>
        <v>2465680.7887755097</v>
      </c>
      <c r="F84" s="111">
        <f t="shared" si="29"/>
        <v>2552823.6459183665</v>
      </c>
      <c r="G84" s="111">
        <f t="shared" si="29"/>
        <v>1507347.2221088433</v>
      </c>
      <c r="H84" s="111">
        <f t="shared" si="29"/>
        <v>276190.4928571428</v>
      </c>
      <c r="I84" s="111">
        <f t="shared" si="29"/>
        <v>277619.0642857143</v>
      </c>
      <c r="J84" s="111">
        <f t="shared" si="29"/>
        <v>279047.6357142857</v>
      </c>
      <c r="K84" s="111">
        <f t="shared" si="29"/>
        <v>276190.4928571428</v>
      </c>
      <c r="L84" s="111">
        <f t="shared" si="29"/>
        <v>277619.06428571424</v>
      </c>
      <c r="M84" s="111">
        <f t="shared" si="29"/>
        <v>279047.6357142858</v>
      </c>
      <c r="N84" s="111">
        <f t="shared" si="29"/>
        <v>280476.2071428571</v>
      </c>
      <c r="O84" s="111">
        <f t="shared" si="29"/>
        <v>277619.0642857143</v>
      </c>
      <c r="P84" s="111">
        <f t="shared" si="29"/>
        <v>279047.6357142857</v>
      </c>
      <c r="Q84" s="111">
        <f t="shared" si="29"/>
        <v>280476.20714285714</v>
      </c>
      <c r="R84" s="111">
        <f t="shared" si="29"/>
        <v>281904.77857142856</v>
      </c>
      <c r="S84" s="111">
        <f t="shared" si="29"/>
        <v>283333.35</v>
      </c>
      <c r="T84" s="111">
        <f t="shared" si="29"/>
        <v>280476.2071428572</v>
      </c>
      <c r="U84" s="111">
        <f t="shared" si="29"/>
        <v>281904.7785714285</v>
      </c>
      <c r="V84" s="112">
        <f t="shared" si="29"/>
        <v>283333.35000000003</v>
      </c>
    </row>
    <row r="85" spans="2:22" ht="12.75">
      <c r="B85" s="109" t="s">
        <v>150</v>
      </c>
      <c r="C85" s="6">
        <v>0</v>
      </c>
      <c r="D85" s="140">
        <v>1000000</v>
      </c>
      <c r="E85" s="140">
        <v>1000000</v>
      </c>
      <c r="F85" s="140">
        <v>1000000</v>
      </c>
      <c r="G85" s="140">
        <v>1000000</v>
      </c>
      <c r="H85" s="140">
        <v>1000000</v>
      </c>
      <c r="I85" s="140">
        <v>1000001</v>
      </c>
      <c r="J85" s="140">
        <v>1000002</v>
      </c>
      <c r="K85" s="140">
        <v>1000003</v>
      </c>
      <c r="L85" s="140">
        <v>1000004</v>
      </c>
      <c r="M85" s="140">
        <v>1000005</v>
      </c>
      <c r="N85" s="140">
        <v>1000006</v>
      </c>
      <c r="O85" s="140">
        <v>1000007</v>
      </c>
      <c r="P85" s="140">
        <v>1000008</v>
      </c>
      <c r="Q85" s="140">
        <v>1000009</v>
      </c>
      <c r="R85" s="140">
        <v>1000010</v>
      </c>
      <c r="S85" s="140">
        <v>1000011</v>
      </c>
      <c r="T85" s="140">
        <v>1000012</v>
      </c>
      <c r="U85" s="140">
        <v>1000013</v>
      </c>
      <c r="V85" s="141">
        <v>1000014</v>
      </c>
    </row>
    <row r="86" spans="2:22" ht="12.75">
      <c r="B86" s="139" t="s">
        <v>39</v>
      </c>
      <c r="C86" s="111">
        <f aca="true" t="shared" si="30" ref="C86:V86">SUM(C83:C85)</f>
        <v>2973647.919</v>
      </c>
      <c r="D86" s="111">
        <f t="shared" si="30"/>
        <v>11149954.41590476</v>
      </c>
      <c r="E86" s="111">
        <f t="shared" si="30"/>
        <v>9135658.29427551</v>
      </c>
      <c r="F86" s="111">
        <f t="shared" si="30"/>
        <v>7499820.512918366</v>
      </c>
      <c r="G86" s="111">
        <f t="shared" si="30"/>
        <v>4584129.259108843</v>
      </c>
      <c r="H86" s="111">
        <f t="shared" si="30"/>
        <v>1276190.4928571428</v>
      </c>
      <c r="I86" s="111">
        <f t="shared" si="30"/>
        <v>1277620.0642857142</v>
      </c>
      <c r="J86" s="111">
        <f t="shared" si="30"/>
        <v>1279049.6357142858</v>
      </c>
      <c r="K86" s="111">
        <f t="shared" si="30"/>
        <v>1276193.4928571428</v>
      </c>
      <c r="L86" s="111">
        <f t="shared" si="30"/>
        <v>1277623.0642857142</v>
      </c>
      <c r="M86" s="111">
        <f t="shared" si="30"/>
        <v>1279052.6357142858</v>
      </c>
      <c r="N86" s="111">
        <f t="shared" si="30"/>
        <v>1280482.2071428571</v>
      </c>
      <c r="O86" s="111">
        <f t="shared" si="30"/>
        <v>1277626.0642857142</v>
      </c>
      <c r="P86" s="111">
        <f t="shared" si="30"/>
        <v>1279055.6357142858</v>
      </c>
      <c r="Q86" s="111">
        <f t="shared" si="30"/>
        <v>1280485.2071428571</v>
      </c>
      <c r="R86" s="111">
        <f t="shared" si="30"/>
        <v>1281914.7785714285</v>
      </c>
      <c r="S86" s="111">
        <f t="shared" si="30"/>
        <v>1283344.35</v>
      </c>
      <c r="T86" s="111">
        <f t="shared" si="30"/>
        <v>1280488.2071428571</v>
      </c>
      <c r="U86" s="111">
        <f t="shared" si="30"/>
        <v>1281917.7785714285</v>
      </c>
      <c r="V86" s="112">
        <f t="shared" si="30"/>
        <v>1283347.35</v>
      </c>
    </row>
    <row r="87" spans="2:22" ht="12.75">
      <c r="B87" s="139"/>
      <c r="C87" s="6"/>
      <c r="D87" s="6"/>
      <c r="E87" s="6"/>
      <c r="F87" s="6"/>
      <c r="G87" s="6"/>
      <c r="H87" s="6"/>
      <c r="I87" s="6"/>
      <c r="J87" s="6"/>
      <c r="K87" s="6"/>
      <c r="L87" s="6"/>
      <c r="M87" s="6"/>
      <c r="N87" s="6"/>
      <c r="O87" s="6"/>
      <c r="P87" s="6"/>
      <c r="Q87" s="6"/>
      <c r="R87" s="6"/>
      <c r="S87" s="6"/>
      <c r="T87" s="6"/>
      <c r="U87" s="6"/>
      <c r="V87" s="134"/>
    </row>
    <row r="88" spans="2:22" ht="12.75">
      <c r="B88" s="143" t="s">
        <v>151</v>
      </c>
      <c r="C88" s="53">
        <f>C78-C86</f>
        <v>-2973647.919</v>
      </c>
      <c r="D88" s="53">
        <f aca="true" t="shared" si="31" ref="D88:V88">D78-D83-D85-D84</f>
        <v>-11149954.41590476</v>
      </c>
      <c r="E88" s="53">
        <f t="shared" si="31"/>
        <v>-9135658.29427551</v>
      </c>
      <c r="F88" s="53">
        <f t="shared" si="31"/>
        <v>-7182063.2462516995</v>
      </c>
      <c r="G88" s="53">
        <f t="shared" si="31"/>
        <v>-3430168.659108843</v>
      </c>
      <c r="H88" s="53">
        <f t="shared" si="31"/>
        <v>1232419.5071428567</v>
      </c>
      <c r="I88" s="53">
        <f t="shared" si="31"/>
        <v>2819776.2690476193</v>
      </c>
      <c r="J88" s="53">
        <f t="shared" si="31"/>
        <v>4423857.097619047</v>
      </c>
      <c r="K88" s="53">
        <f t="shared" si="31"/>
        <v>6048947.707142856</v>
      </c>
      <c r="L88" s="53">
        <f t="shared" si="31"/>
        <v>7636304.469047617</v>
      </c>
      <c r="M88" s="53">
        <f t="shared" si="31"/>
        <v>9240385.297619047</v>
      </c>
      <c r="N88" s="53">
        <f t="shared" si="31"/>
        <v>10861190.192857137</v>
      </c>
      <c r="O88" s="53">
        <f t="shared" si="31"/>
        <v>12503004.869047614</v>
      </c>
      <c r="P88" s="53">
        <f t="shared" si="31"/>
        <v>14107085.697619045</v>
      </c>
      <c r="Q88" s="53">
        <f t="shared" si="31"/>
        <v>15727890.59285714</v>
      </c>
      <c r="R88" s="53">
        <f t="shared" si="31"/>
        <v>17365419.55476191</v>
      </c>
      <c r="S88" s="53">
        <f t="shared" si="31"/>
        <v>19019672.583333332</v>
      </c>
      <c r="T88" s="53">
        <f t="shared" si="31"/>
        <v>20694935.392857146</v>
      </c>
      <c r="U88" s="53">
        <f t="shared" si="31"/>
        <v>22332464.35476191</v>
      </c>
      <c r="V88" s="136">
        <f t="shared" si="31"/>
        <v>23986717.383333337</v>
      </c>
    </row>
    <row r="90" spans="2:3" ht="12.75">
      <c r="B90" s="62" t="s">
        <v>0</v>
      </c>
      <c r="C90" s="94">
        <f>IRR(C88:V88,0.1)</f>
        <v>0.15962057003883645</v>
      </c>
    </row>
    <row r="91" spans="2:3" ht="12.75">
      <c r="B91" s="144" t="s">
        <v>75</v>
      </c>
      <c r="C91" s="145">
        <f>NPV(0.092,C88:V88)</f>
        <v>24652511.537596982</v>
      </c>
    </row>
    <row r="92" spans="2:3" ht="12.75">
      <c r="B92" s="146" t="s">
        <v>76</v>
      </c>
      <c r="C92" s="147">
        <f>NPV(0.1,C88:V88)</f>
        <v>20181060.829066772</v>
      </c>
    </row>
    <row r="93" ht="12.75">
      <c r="C93" s="48"/>
    </row>
    <row r="94" spans="3:4" ht="12.75">
      <c r="C94" s="47"/>
      <c r="D94" s="47"/>
    </row>
    <row r="95" spans="2:3" ht="12.75">
      <c r="B95" s="195" t="s">
        <v>174</v>
      </c>
      <c r="C95" s="57" t="s">
        <v>176</v>
      </c>
    </row>
    <row r="96" spans="2:3" ht="12.75">
      <c r="B96" s="134">
        <v>1</v>
      </c>
      <c r="C96" t="s">
        <v>131</v>
      </c>
    </row>
    <row r="97" spans="2:3" ht="12.75">
      <c r="B97" s="134">
        <v>2</v>
      </c>
      <c r="C97" t="s">
        <v>132</v>
      </c>
    </row>
    <row r="98" spans="2:3" ht="12.75">
      <c r="B98" s="134">
        <v>3</v>
      </c>
      <c r="C98" t="s">
        <v>133</v>
      </c>
    </row>
    <row r="99" spans="2:3" ht="12.75">
      <c r="B99" s="134">
        <v>4</v>
      </c>
      <c r="C99" t="s">
        <v>82</v>
      </c>
    </row>
    <row r="100" spans="2:3" ht="12.75">
      <c r="B100" s="134">
        <v>5</v>
      </c>
      <c r="C100" s="6" t="s">
        <v>56</v>
      </c>
    </row>
    <row r="101" spans="2:3" ht="12.75">
      <c r="B101" s="134">
        <v>6</v>
      </c>
      <c r="C101" t="s">
        <v>181</v>
      </c>
    </row>
  </sheetData>
  <sheetProtection/>
  <mergeCells count="3">
    <mergeCell ref="A2:E2"/>
    <mergeCell ref="A3:B3"/>
    <mergeCell ref="A1:B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Lesotho I: Private Sector Development Project</dc:title>
  <dc:subject/>
  <dc:creator>Millennium Challenge Corporation</dc:creator>
  <cp:keywords/>
  <dc:description/>
  <cp:lastModifiedBy>Block, Marissa L (DPE/EE-EA/PSC)</cp:lastModifiedBy>
  <cp:lastPrinted>2008-02-21T21:54:55Z</cp:lastPrinted>
  <dcterms:created xsi:type="dcterms:W3CDTF">2006-08-01T18:28:36Z</dcterms:created>
  <dcterms:modified xsi:type="dcterms:W3CDTF">2016-07-05T13:05:49Z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