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85" windowWidth="15480" windowHeight="6030" firstSheet="4" activeTab="4"/>
  </bookViews>
  <sheets>
    <sheet name="Socecon" sheetId="1" state="hidden" r:id="rId1"/>
    <sheet name="Wcon" sheetId="2" state="hidden" r:id="rId2"/>
    <sheet name="BA" sheetId="3" state="hidden" r:id="rId3"/>
    <sheet name="PSFront" sheetId="4" state="hidden" r:id="rId4"/>
    <sheet name="User's Guide" sheetId="5" r:id="rId5"/>
    <sheet name="Activity Description" sheetId="6" r:id="rId6"/>
    <sheet name="ERR &amp; Sensitivity Analysis" sheetId="7" r:id="rId7"/>
    <sheet name="Combined Cost-Benefit" sheetId="8" r:id="rId8"/>
    <sheet name="CBA" sheetId="9" state="hidden" r:id="rId9"/>
    <sheet name="CBA_BD" sheetId="10" state="hidden" r:id="rId10"/>
    <sheet name="CBA_BD_Rescaled" sheetId="11" r:id="rId11"/>
    <sheet name="BA_Rescaled" sheetId="12" state="hidden" r:id="rId12"/>
    <sheet name="Heli" sheetId="13" r:id="rId13"/>
    <sheet name="Prod_BD" sheetId="14" state="hidden" r:id="rId14"/>
    <sheet name="Hsehold" sheetId="15" r:id="rId15"/>
    <sheet name="PSFront_Rescaled" sheetId="16" state="hidden" r:id="rId16"/>
  </sheets>
  <externalReferences>
    <externalReference r:id="rId19"/>
  </externalReferences>
  <definedNames>
    <definedName name="Benefits_variation">'CBA_BD_Rescaled'!$B$70</definedName>
    <definedName name="capcost_var">'CBA_BD_Rescaled'!$B$69</definedName>
    <definedName name="Disi_Base_Cost">'Prod_BD'!$B$122</definedName>
    <definedName name="Disi_share">'Prod_BD'!$B$123</definedName>
    <definedName name="exrate">'CBA_BD_Rescaled'!$C$59</definedName>
    <definedName name="extraction_real_cost_increase">'Prod_BD'!$B$119</definedName>
    <definedName name="hh_size" localSheetId="11">'BA_Rescaled'!$C$7</definedName>
    <definedName name="hh_size">'BA'!$C$7</definedName>
    <definedName name="participant_to_beneficiary_conversion">'[1]Assumption &amp; Data'!$B$46</definedName>
    <definedName name="PPP_conversion_2005" localSheetId="10">'CBA_BD_Rescaled'!$C$58</definedName>
    <definedName name="PPP_conversion_2005">'CBA_BD'!$C$44</definedName>
    <definedName name="_xlnm.Print_Area" localSheetId="3">'PSFront'!$A$1:$I$46</definedName>
    <definedName name="_xlnm.Print_Area" localSheetId="15">'PSFront_Rescaled'!$A$1:$I$46</definedName>
    <definedName name="ScaleFactor">'CBA_BD_Rescaled'!$B$14</definedName>
  </definedNames>
  <calcPr fullCalcOnLoad="1"/>
</workbook>
</file>

<file path=xl/comments10.xml><?xml version="1.0" encoding="utf-8"?>
<comments xmlns="http://schemas.openxmlformats.org/spreadsheetml/2006/main">
  <authors>
    <author>Lestikow, Gregory S (DPE/EE/-EA)</author>
  </authors>
  <commentList>
    <comment ref="C23" authorId="0">
      <text>
        <r>
          <rPr>
            <sz val="8"/>
            <rFont val="Tahoma"/>
            <family val="2"/>
          </rPr>
          <t>Note:
Excluding construction management, household infrastructure and compact management costs</t>
        </r>
      </text>
    </comment>
    <comment ref="A31" authorId="0">
      <text>
        <r>
          <rPr>
            <sz val="8"/>
            <rFont val="Tahoma"/>
            <family val="2"/>
          </rPr>
          <t>Note:
(domestic water). Not possible to make calculations for non-domestic consumers.
Also, adjusted by 24% to allign with revised population estimates.</t>
        </r>
      </text>
    </comment>
    <comment ref="A32" authorId="0">
      <text>
        <r>
          <rPr>
            <sz val="8"/>
            <rFont val="Tahoma"/>
            <family val="2"/>
          </rPr>
          <t>Note:
Adjusted to correspond with common population estimates.</t>
        </r>
      </text>
    </comment>
  </commentList>
</comments>
</file>

<file path=xl/comments11.xml><?xml version="1.0" encoding="utf-8"?>
<comments xmlns="http://schemas.openxmlformats.org/spreadsheetml/2006/main">
  <authors>
    <author>Lestikow, Gregory S (DPE/EE/-EA)</author>
  </authors>
  <commentList>
    <comment ref="A34" authorId="0">
      <text>
        <r>
          <rPr>
            <sz val="8"/>
            <rFont val="Tahoma"/>
            <family val="2"/>
          </rPr>
          <t>Note:
(domestic water). Not possible to make calculations for non-domestic consumers.</t>
        </r>
      </text>
    </comment>
    <comment ref="E40" authorId="0">
      <text>
        <r>
          <rPr>
            <sz val="8"/>
            <rFont val="Tahoma"/>
            <family val="2"/>
          </rPr>
          <t>Note:
Price contingencies exclueded in compact management and administration costs</t>
        </r>
      </text>
    </comment>
    <comment ref="C48" authorId="0">
      <text>
        <r>
          <rPr>
            <sz val="8"/>
            <rFont val="Tahoma"/>
            <family val="2"/>
          </rPr>
          <t>Note:
total applied contingencies are 40%; 25% physical and engineering; 15% price.</t>
        </r>
      </text>
    </comment>
  </commentList>
</comments>
</file>

<file path=xl/comments12.xml><?xml version="1.0" encoding="utf-8"?>
<comments xmlns="http://schemas.openxmlformats.org/spreadsheetml/2006/main">
  <authors>
    <author>Lestikow, Gregory S (DPE/EE/-EA)</author>
  </authors>
  <commentList>
    <comment ref="A17" authorId="0">
      <text>
        <r>
          <rPr>
            <sz val="8"/>
            <rFont val="Tahoma"/>
            <family val="2"/>
          </rPr>
          <t>Note:
Reconciled with projections used in P2/P3</t>
        </r>
      </text>
    </comment>
    <comment ref="A20" authorId="0">
      <text>
        <r>
          <rPr>
            <sz val="8"/>
            <rFont val="Tahoma"/>
            <family val="2"/>
          </rPr>
          <t>Note:
Source: O'Dwyer engineers.</t>
        </r>
      </text>
    </comment>
    <comment ref="A51" authorId="0">
      <text>
        <r>
          <rPr>
            <sz val="8"/>
            <rFont val="Tahoma"/>
            <family val="2"/>
          </rPr>
          <t>Note:
Reconciled with projections used with P2/P3.</t>
        </r>
      </text>
    </comment>
  </commentList>
</comments>
</file>

<file path=xl/comments14.xml><?xml version="1.0" encoding="utf-8"?>
<comments xmlns="http://schemas.openxmlformats.org/spreadsheetml/2006/main">
  <authors>
    <author>Lestikow, Gregory S (DPE/EE/-EA)</author>
  </authors>
  <commentList>
    <comment ref="B13" authorId="0">
      <text>
        <r>
          <rPr>
            <sz val="8"/>
            <rFont val="Tahoma"/>
            <family val="2"/>
          </rPr>
          <t>Note:
These are actually 2008 estimates used by MO'L (NOD)</t>
        </r>
      </text>
    </comment>
    <comment ref="C13" authorId="0">
      <text>
        <r>
          <rPr>
            <sz val="8"/>
            <rFont val="Tahoma"/>
            <family val="2"/>
          </rPr>
          <t>Note:
Input, based on system losses and population level.</t>
        </r>
      </text>
    </comment>
    <comment ref="C18" authorId="0">
      <text>
        <r>
          <rPr>
            <sz val="8"/>
            <rFont val="Tahoma"/>
            <family val="2"/>
          </rPr>
          <t xml:space="preserve">Note:
Consumption after losses for population in 2011; based on revised population series acrross all investments.
</t>
        </r>
      </text>
    </comment>
    <comment ref="D18" authorId="0">
      <text>
        <r>
          <rPr>
            <sz val="8"/>
            <rFont val="Tahoma"/>
            <family val="2"/>
          </rPr>
          <t xml:space="preserve">Note:
Increasing at population growth rate
</t>
        </r>
      </text>
    </comment>
    <comment ref="C118" authorId="0">
      <text>
        <r>
          <rPr>
            <sz val="8"/>
            <rFont val="Tahoma"/>
            <family val="2"/>
          </rPr>
          <t>Note:
After current tariff increase.</t>
        </r>
      </text>
    </comment>
    <comment ref="F118" authorId="0">
      <text>
        <r>
          <rPr>
            <sz val="8"/>
            <rFont val="Tahoma"/>
            <family val="2"/>
          </rPr>
          <t xml:space="preserve">Note:
Implementation of at least 20% increase in tariffs post Disi; no further real increases assumed in base case.
</t>
        </r>
      </text>
    </comment>
    <comment ref="F122" authorId="0">
      <text>
        <r>
          <rPr>
            <sz val="8"/>
            <rFont val="Tahoma"/>
            <family val="2"/>
          </rPr>
          <t>Note:
Assumes that extraction costs for Disi are not increaseing over time.</t>
        </r>
      </text>
    </comment>
  </commentList>
</comments>
</file>

<file path=xl/comments15.xml><?xml version="1.0" encoding="utf-8"?>
<comments xmlns="http://schemas.openxmlformats.org/spreadsheetml/2006/main">
  <authors>
    <author>Lestikow, Gregory S (DPE/EE/-EA)</author>
  </authors>
  <commentList>
    <comment ref="B10" authorId="0">
      <text>
        <r>
          <rPr>
            <sz val="8"/>
            <rFont val="Tahoma"/>
            <family val="2"/>
          </rPr>
          <t>Note:
Note that this is based on a 2008 estimate and is less than the population figures used by MWH by about 24%.</t>
        </r>
      </text>
    </comment>
  </commentList>
</comments>
</file>

<file path=xl/comments2.xml><?xml version="1.0" encoding="utf-8"?>
<comments xmlns="http://schemas.openxmlformats.org/spreadsheetml/2006/main">
  <authors>
    <author>Lestikow, Gregory S (DPE/EE/-EA)</author>
  </authors>
  <commentList>
    <comment ref="E136" authorId="0">
      <text>
        <r>
          <rPr>
            <sz val="8"/>
            <rFont val="Tahoma"/>
            <family val="2"/>
          </rPr>
          <t>Note:
to halve savings as originally estimated by NOD enter 31% and 
28% in cell E138; have no idea why M O'Leary has values based from 2008.</t>
        </r>
      </text>
    </comment>
    <comment ref="E138" authorId="0">
      <text>
        <r>
          <rPr>
            <sz val="8"/>
            <rFont val="Tahoma"/>
            <family val="2"/>
          </rPr>
          <t>Note:
to halve savings as originally estimated by NOD enter 28% and 
31% in cell E136; have no idea why M O'Leary has values based from 2008.</t>
        </r>
      </text>
    </comment>
  </commentList>
</comments>
</file>

<file path=xl/comments3.xml><?xml version="1.0" encoding="utf-8"?>
<comments xmlns="http://schemas.openxmlformats.org/spreadsheetml/2006/main">
  <authors>
    <author>Lestikow, Gregory S (DPE/EE/-EA)</author>
  </authors>
  <commentList>
    <comment ref="A18" authorId="0">
      <text>
        <r>
          <rPr>
            <sz val="8"/>
            <rFont val="Tahoma"/>
            <family val="2"/>
          </rPr>
          <t>Note:
Source: O'Dwyer engineers.</t>
        </r>
      </text>
    </comment>
  </commentList>
</comments>
</file>

<file path=xl/comments8.xml><?xml version="1.0" encoding="utf-8"?>
<comments xmlns="http://schemas.openxmlformats.org/spreadsheetml/2006/main">
  <authors>
    <author>Lestikow, Gregory S (DPE/EE/-EA)</author>
  </authors>
  <commentList>
    <comment ref="A9" authorId="0">
      <text>
        <r>
          <rPr>
            <sz val="8"/>
            <rFont val="Tahoma"/>
            <family val="2"/>
          </rPr>
          <t>Note:
(domestic water). Not possible to make calculations for non-domestic consumers.</t>
        </r>
      </text>
    </comment>
  </commentList>
</comments>
</file>

<file path=xl/sharedStrings.xml><?xml version="1.0" encoding="utf-8"?>
<sst xmlns="http://schemas.openxmlformats.org/spreadsheetml/2006/main" count="2940" uniqueCount="809">
  <si>
    <t>For the sake of the calculations it is assumed that the whole Zarqa</t>
  </si>
  <si>
    <t>water system is being rehabilitated and restructured. The key factors</t>
  </si>
  <si>
    <t xml:space="preserve">between the "without project" and "with project" scenarii is the </t>
  </si>
  <si>
    <t>Average cost per m3 of water produced (internal plus imports)</t>
  </si>
  <si>
    <t>Step 3</t>
  </si>
  <si>
    <t>account population growth and "without project" and "with project" scenarios.</t>
  </si>
  <si>
    <t>The following additional assumptions are made:</t>
  </si>
  <si>
    <t>With project</t>
  </si>
  <si>
    <t>Water imports</t>
  </si>
  <si>
    <t>Disability Adjusted Life Years (DALY)</t>
  </si>
  <si>
    <t xml:space="preserve">Avoided health-related costs </t>
  </si>
  <si>
    <t>per household</t>
  </si>
  <si>
    <t>(JOD)</t>
  </si>
  <si>
    <t>Income per capita</t>
  </si>
  <si>
    <t>per day (JOD)</t>
  </si>
  <si>
    <t>per day ($)</t>
  </si>
  <si>
    <t>per capita (JOD)</t>
  </si>
  <si>
    <t>Annual income</t>
  </si>
  <si>
    <t>Mean nr</t>
  </si>
  <si>
    <t>Monthly income</t>
  </si>
  <si>
    <t xml:space="preserve">&lt; 2 </t>
  </si>
  <si>
    <t>Between 2-4</t>
  </si>
  <si>
    <t>&gt; 4</t>
  </si>
  <si>
    <t>% of households</t>
  </si>
  <si>
    <t>Water</t>
  </si>
  <si>
    <t>(m3)</t>
  </si>
  <si>
    <t>Total</t>
  </si>
  <si>
    <t>&lt;$2</t>
  </si>
  <si>
    <t>$2-$4</t>
  </si>
  <si>
    <t>&gt;$4</t>
  </si>
  <si>
    <t>Tanker water</t>
  </si>
  <si>
    <t>Soc</t>
  </si>
  <si>
    <t>cat</t>
  </si>
  <si>
    <t>econ</t>
  </si>
  <si>
    <t>Price/ m3</t>
  </si>
  <si>
    <t>Network water</t>
  </si>
  <si>
    <t>Low income group</t>
  </si>
  <si>
    <t>Income Groups 2006 (JOD per annum)</t>
  </si>
  <si>
    <t>Midde income group</t>
  </si>
  <si>
    <t>High income group</t>
  </si>
  <si>
    <t>&gt;14000</t>
  </si>
  <si>
    <t>(cumulative)</t>
  </si>
  <si>
    <t>(HEIS 06)</t>
  </si>
  <si>
    <t>lcd</t>
  </si>
  <si>
    <t>(average)</t>
  </si>
  <si>
    <t>consumption</t>
  </si>
  <si>
    <t>/socio-econ</t>
  </si>
  <si>
    <t xml:space="preserve">cat </t>
  </si>
  <si>
    <t>Annual water</t>
  </si>
  <si>
    <t>without project</t>
  </si>
  <si>
    <t>with project</t>
  </si>
  <si>
    <t>hse incr</t>
  </si>
  <si>
    <t>current pop</t>
  </si>
  <si>
    <t>target pop</t>
  </si>
  <si>
    <t>incr water</t>
  </si>
  <si>
    <t>current water demand</t>
  </si>
  <si>
    <t>network</t>
  </si>
  <si>
    <t>BASELINE</t>
  </si>
  <si>
    <t>baseline pop</t>
  </si>
  <si>
    <t>pop growth:</t>
  </si>
  <si>
    <t>Step 1</t>
  </si>
  <si>
    <t>(for details of the analysis see worksheet "Socecon")</t>
  </si>
  <si>
    <t>Price of tanker water (JOD/m3) (conservative)</t>
  </si>
  <si>
    <t>Table 2 Supplies of water to targeted households: network, bottled and tanker water (without project)</t>
  </si>
  <si>
    <t>(GFA Aug 2008:107)</t>
  </si>
  <si>
    <t xml:space="preserve">     lcd</t>
  </si>
  <si>
    <t>nr hse</t>
  </si>
  <si>
    <t>water prices/ m3</t>
  </si>
  <si>
    <t>water revenue / hse</t>
  </si>
  <si>
    <t xml:space="preserve">        m3/hse/a</t>
  </si>
  <si>
    <t xml:space="preserve">       water revenue </t>
  </si>
  <si>
    <t xml:space="preserve">       nr hse</t>
  </si>
  <si>
    <t xml:space="preserve">                    Year</t>
  </si>
  <si>
    <t>network water (m3)</t>
  </si>
  <si>
    <t>m3/hse/a</t>
  </si>
  <si>
    <t>water revenue</t>
  </si>
  <si>
    <t>water revenue/hse</t>
  </si>
  <si>
    <t>Average annual tanker water consumption per household (m3/hse/a)</t>
  </si>
  <si>
    <t>water demand (m3)</t>
  </si>
  <si>
    <t>Savings from switching from tanker water to network water</t>
  </si>
  <si>
    <t xml:space="preserve"> Year</t>
  </si>
  <si>
    <t>Without project</t>
  </si>
  <si>
    <t>Total network water consumed</t>
  </si>
  <si>
    <t>Total tanker water consumed</t>
  </si>
  <si>
    <t>Health benefits for those consuming &lt; 50 lcd</t>
  </si>
  <si>
    <t>Flushing of network</t>
  </si>
  <si>
    <t>Authorised consumption</t>
  </si>
  <si>
    <t>Billed metered consumption (billing system, tankers, exports)</t>
  </si>
  <si>
    <t>Unbilled metered consumption (free water in arid areas)</t>
  </si>
  <si>
    <t>Water production</t>
  </si>
  <si>
    <t>Internal water sources (wells and springs)</t>
  </si>
  <si>
    <t xml:space="preserve">Water imports </t>
  </si>
  <si>
    <t>Water production costs</t>
  </si>
  <si>
    <t>Salaries and wages (minus Sewerage Directorate &amp; Irrigation Division)</t>
  </si>
  <si>
    <t>Spare parts and maintenance (Water Directorate &amp; Desert Wells)</t>
  </si>
  <si>
    <t>Vehicle expenses (Water Directorate/ water tankers/ desert wells)</t>
  </si>
  <si>
    <t>General and Admin Expenses devoted to water-related staff &amp; activities</t>
  </si>
  <si>
    <t>Fuel expenses (minus Sewarage Directory but plus 81% of Admin Dir)</t>
  </si>
  <si>
    <t>wage bill (JOD 2,156,313)</t>
  </si>
  <si>
    <t xml:space="preserve">**Water related salaries &amp; wages as percentage of total salary and </t>
  </si>
  <si>
    <t>Electricity expenses (Water Directorate total minus water treatement)</t>
  </si>
  <si>
    <t>(authorised consumption)</t>
  </si>
  <si>
    <t>This analysis is based on WAJ 2009, Zarqa Water Administration Profit and Loss Statement for 2008</t>
  </si>
  <si>
    <t>Step 4</t>
  </si>
  <si>
    <t>Year</t>
  </si>
  <si>
    <t>(Year 3)</t>
  </si>
  <si>
    <t>Quantity of water involved</t>
  </si>
  <si>
    <t>Nr households</t>
  </si>
  <si>
    <t xml:space="preserve">Step 4 consists in assessing annual models of water consumption over the 20 years of the life of the project (2010-2029) taking into </t>
  </si>
  <si>
    <t>Step 2 is to assess the structure of water distribution across the three socio-economic groups outlined in the TOR</t>
  </si>
  <si>
    <t>Adjustments at the income boundaries</t>
  </si>
  <si>
    <t xml:space="preserve">Step 1 ascertains the percentage of households that belong to the key socio-economic groupings of the TOR, namely, &lt;$ 2, $2 - $4, and &gt;$4.  </t>
  </si>
  <si>
    <t>Step 5 consists of  an analysis of production costs in order to ascertain costs per m3 of water produced and water delivered to consumers</t>
  </si>
  <si>
    <t>Step 6</t>
  </si>
  <si>
    <t>Step 6 ascertains what happens production costs (with project) given</t>
  </si>
  <si>
    <t>Table 6 Cost benefit analysis summary</t>
  </si>
  <si>
    <t>"without project" and "with project" tables for each of the 20 years of the</t>
  </si>
  <si>
    <t xml:space="preserve">The data generated by these 40 tables is fed into the more traditional </t>
  </si>
  <si>
    <t>worksheets "hsehold", "prod" and "CBA".</t>
  </si>
  <si>
    <t>Given the variety of variables it was thought necessary to devote separate</t>
  </si>
  <si>
    <t>Table 4 feeds off the worksheet "Wcon" electronically.</t>
  </si>
  <si>
    <t>The analysis only includes costs relating to the provision of network water both for residents</t>
  </si>
  <si>
    <t xml:space="preserve">and non-residents. Hence it excludes costs relating to the sewerage directorate, and waste </t>
  </si>
  <si>
    <t>by data from the work of the engineers.</t>
  </si>
  <si>
    <t>water treatment. The figures for cost reduction "with project" are provisional and will be updated</t>
  </si>
  <si>
    <t>The ultimate goal of the analysis is to ascertain savings in the production &amp; delivery of</t>
  </si>
  <si>
    <t>The analysis in this worksheet is conducted for the Zarqa Governorate as a whole, since the data</t>
  </si>
  <si>
    <t xml:space="preserve">that the reduction in water leakage "with project" is applicable to the whole governorate. </t>
  </si>
  <si>
    <t>network water "with project" for the whole governorate (see cell b 80 below).</t>
  </si>
  <si>
    <t>revenue</t>
  </si>
  <si>
    <t>(total)</t>
  </si>
  <si>
    <t xml:space="preserve">Water </t>
  </si>
  <si>
    <t>expenditure</t>
  </si>
  <si>
    <t>per HH</t>
  </si>
  <si>
    <t>Nr HH</t>
  </si>
  <si>
    <t>Shop water</t>
  </si>
  <si>
    <t>PPP exchange rate</t>
  </si>
  <si>
    <t>US$ 1= .38 JOD</t>
  </si>
  <si>
    <t>&lt;1664</t>
  </si>
  <si>
    <t>Between 1664-3329</t>
  </si>
  <si>
    <t>&gt;3329</t>
  </si>
  <si>
    <t xml:space="preserve">                            &lt;  </t>
  </si>
  <si>
    <t xml:space="preserve">                              &lt;</t>
  </si>
  <si>
    <t>Network, shop &amp; tanker water</t>
  </si>
  <si>
    <r>
      <t>Deficit (m</t>
    </r>
    <r>
      <rPr>
        <b/>
        <sz val="10"/>
        <rFont val="Calibri"/>
        <family val="2"/>
      </rPr>
      <t>³</t>
    </r>
    <r>
      <rPr>
        <b/>
        <sz val="10"/>
        <rFont val="Arial"/>
        <family val="2"/>
      </rPr>
      <t>)</t>
    </r>
  </si>
  <si>
    <t xml:space="preserve">                  lcd</t>
  </si>
  <si>
    <t>m³/HH / annum</t>
  </si>
  <si>
    <t>Table 1: Supplies of water to households in Zarqa Governorate: network, shop and tanker water (based on 2008 billing data)</t>
  </si>
  <si>
    <t>Table 3: Supplies of water to targeted households: network, shop and tanker water</t>
  </si>
  <si>
    <t>Supplies of water to targeted households: network, shop and tanker water</t>
  </si>
  <si>
    <t>Shop &amp; tanker water</t>
  </si>
  <si>
    <t>Source: HEIS 2006, Department of Statistics</t>
  </si>
  <si>
    <t>Annual population growth rate:</t>
  </si>
  <si>
    <t xml:space="preserve">life of the project. However, the 40 tables feed off variables that are identified at  </t>
  </si>
  <si>
    <t xml:space="preserve">the top of the worksheet, such as the size of population, population growth years, </t>
  </si>
  <si>
    <t>quanities of water used, water prices etc. These can be changed at the top</t>
  </si>
  <si>
    <t>of the worksheet, and the changes will be fed electronically and automatically</t>
  </si>
  <si>
    <t>Total shop water consumed</t>
  </si>
  <si>
    <t>Savings from switching from shop water to network water</t>
  </si>
  <si>
    <t>Total savings from switching from shop and tanker water</t>
  </si>
  <si>
    <t>&lt;50lcd</t>
  </si>
  <si>
    <t>50lcd-</t>
  </si>
  <si>
    <t>65lcd</t>
  </si>
  <si>
    <t>65lcd-</t>
  </si>
  <si>
    <t>80lcd</t>
  </si>
  <si>
    <t>80lcd-</t>
  </si>
  <si>
    <t>120lcd</t>
  </si>
  <si>
    <t>120lcd-</t>
  </si>
  <si>
    <t>145lcd</t>
  </si>
  <si>
    <t>145lcd-</t>
  </si>
  <si>
    <t>165lcd</t>
  </si>
  <si>
    <t>165lcd-</t>
  </si>
  <si>
    <t>Water quantities</t>
  </si>
  <si>
    <t>nr HHs</t>
  </si>
  <si>
    <r>
      <t>(m</t>
    </r>
    <r>
      <rPr>
        <sz val="10"/>
        <rFont val="Calibri"/>
        <family val="2"/>
      </rPr>
      <t>³</t>
    </r>
    <r>
      <rPr>
        <sz val="10"/>
        <rFont val="Arial"/>
        <family val="2"/>
      </rPr>
      <t>)</t>
    </r>
  </si>
  <si>
    <t>av HH con/annum</t>
  </si>
  <si>
    <t>av HH con/quart</t>
  </si>
  <si>
    <t>in % terms</t>
  </si>
  <si>
    <t>tariff</t>
  </si>
  <si>
    <t>(JD)</t>
  </si>
  <si>
    <t>av HH</t>
  </si>
  <si>
    <t>annual bill</t>
  </si>
  <si>
    <t>Cumulative</t>
  </si>
  <si>
    <t>increasing</t>
  </si>
  <si>
    <t>declining</t>
  </si>
  <si>
    <t>nr HHs per con</t>
  </si>
  <si>
    <t>range in % terms</t>
  </si>
  <si>
    <t xml:space="preserve">av price per </t>
  </si>
  <si>
    <t>revenue created</t>
  </si>
  <si>
    <t>m³ per con</t>
  </si>
  <si>
    <t>The above table speaks for itself with respect to the unequal distribution of network water. This is indicated by a number of observations:</t>
  </si>
  <si>
    <t>HHs or in % terms</t>
  </si>
  <si>
    <t>Table H1:  Water consumption across consumption ranges</t>
  </si>
  <si>
    <t xml:space="preserve">The HELI (2005) report highlights the health benefit accruing from raising network water consumption from &lt;50 lcd to 60 lcd and higher. </t>
  </si>
  <si>
    <t>In the context of Zarqa Governorate the following statistics are of interest in the HELI framework:</t>
  </si>
  <si>
    <t>There are a number of reasons why network water poor HHs receive inadequate supplies. These include the following:</t>
  </si>
  <si>
    <t>&lt;i&gt; unequal storage capacity</t>
  </si>
  <si>
    <t xml:space="preserve">GFA 2008: 100 show that 1% of HHs have no storage; 13% have 1 m³ storage capacity, 48% have 2 m³ and 38% have more than 2.7 m³ (mean size) storage capacity. </t>
  </si>
  <si>
    <r>
      <t>storage:1m</t>
    </r>
    <r>
      <rPr>
        <sz val="10"/>
        <rFont val="Calibri"/>
        <family val="2"/>
      </rPr>
      <t>³</t>
    </r>
  </si>
  <si>
    <r>
      <t>storage:2m</t>
    </r>
    <r>
      <rPr>
        <sz val="10"/>
        <rFont val="Calibri"/>
        <family val="2"/>
      </rPr>
      <t>³</t>
    </r>
  </si>
  <si>
    <r>
      <t>storage:2.73m</t>
    </r>
    <r>
      <rPr>
        <sz val="10"/>
        <rFont val="Calibri"/>
        <family val="2"/>
      </rPr>
      <t>³</t>
    </r>
  </si>
  <si>
    <t>It means that those HHs with the smaller tanks obtain &lt;50 lcd</t>
  </si>
  <si>
    <t>The situation can be improved with 3 fillings per week giving the following lcd:-</t>
  </si>
  <si>
    <t>&lt;ii&gt; Altitude</t>
  </si>
  <si>
    <t>&lt;iii&gt; Tariff structure</t>
  </si>
  <si>
    <t xml:space="preserve">Both sets of resolutions will be required to address the plight of network water-poor HHs, of which there are </t>
  </si>
  <si>
    <t>It is now assumed that engineering and policy steps relating to tariff reform will take place so that the necessary quantities of additional water created by the proposed project</t>
  </si>
  <si>
    <t xml:space="preserve">HHs representing </t>
  </si>
  <si>
    <t>of all HHs of Zarqa.</t>
  </si>
  <si>
    <t>Consumption bands</t>
  </si>
  <si>
    <t>(con band)</t>
  </si>
  <si>
    <t>per con band</t>
  </si>
  <si>
    <t xml:space="preserve">Where the household lives in high altitude areas pressure is weak and supply erratic as others at lower altitudes are at the front of the queue and hence supplied first. </t>
  </si>
  <si>
    <t xml:space="preserve">In summary, constraints &lt;i&gt; and &lt;ii&gt; require an engineering resolution, while constraint &lt;iii&gt; faces the challenge of reform of the tariff structure. </t>
  </si>
  <si>
    <t>band (JD)</t>
  </si>
  <si>
    <t>Health gains in raising consumption of those &lt;50 lcd to 60 lcd</t>
  </si>
  <si>
    <t>Hence, I move on to calculate the health benefits. I assume that the diarrhoea incidence/ person / year for those consuming &lt; 50 lcd is .61</t>
  </si>
  <si>
    <t>Diarrhoea incidence</t>
  </si>
  <si>
    <t>Total health cost</t>
  </si>
  <si>
    <t>population size</t>
  </si>
  <si>
    <t>Health gain (JD)</t>
  </si>
  <si>
    <t>Heath gain (JD)</t>
  </si>
  <si>
    <t>Year of the project</t>
  </si>
  <si>
    <t>Table 5a: Water production analysis Zarqa Governorate (2008)</t>
  </si>
  <si>
    <t xml:space="preserve">Without project </t>
  </si>
  <si>
    <r>
      <t>Quantities of water (m</t>
    </r>
    <r>
      <rPr>
        <sz val="10"/>
        <rFont val="Calibri"/>
        <family val="2"/>
      </rPr>
      <t>³)</t>
    </r>
  </si>
  <si>
    <t>Cost (JD)</t>
  </si>
  <si>
    <t>There is an adjustment for the fact that pumping at wells is subsidized at JD0.043 per Kw instead of the industrial rate of JD0.050</t>
  </si>
  <si>
    <t>This is a conservative figure given Figure 6, HELI (2005) report, page 40. I also assume that the diarrhoea incidence/person/year is .27 for those consuming 60 lcd (ibid.)</t>
  </si>
  <si>
    <t>(HELI 2005:43)</t>
  </si>
  <si>
    <t>(d) Planning and implementing the HELI-desired outcome</t>
  </si>
  <si>
    <t>(a) Analysing the 2008 billing data: a story of inequality in distribution between network water-poor and network water-rich HHs</t>
  </si>
  <si>
    <t>&lt;c&gt; Economic and financial analysis of the 2008 billing data</t>
  </si>
  <si>
    <t>Table H3:  HH network water consumption, water bills and revenue</t>
  </si>
  <si>
    <t>Table H4  Estimating the health benefits in lifting group 1 to consumption level of 60 lcd</t>
  </si>
  <si>
    <r>
      <t xml:space="preserve">               (m</t>
    </r>
    <r>
      <rPr>
        <sz val="10"/>
        <rFont val="Calibri"/>
        <family val="2"/>
      </rPr>
      <t>³</t>
    </r>
    <r>
      <rPr>
        <sz val="10"/>
        <rFont val="Arial"/>
        <family val="2"/>
      </rPr>
      <t>)</t>
    </r>
  </si>
  <si>
    <t xml:space="preserve">PPP exchange rates for the USA $1 (2005) are used (see the Global Purchasing Power Parities and Real Expenditure: 2005 International </t>
  </si>
  <si>
    <t>Comparison Program, IBRD World Bank 2008)</t>
  </si>
  <si>
    <t>(for details see "Heli" section (d))</t>
  </si>
  <si>
    <t>Tables 1 &amp; 3 are derived from the 2008 billing data and provide the following findings:</t>
  </si>
  <si>
    <t>&lt;ii&gt; average annual consumption per HH, average HH bill and total revenue across consumption bands (table H3)</t>
  </si>
  <si>
    <t>Network water-poor HHs are willing to pay higher tariffs at the lower consumption band rates (see GFA 2008:163-173)</t>
  </si>
  <si>
    <t xml:space="preserve">provided (WAJ 2009) are governorate-wide and for that reason it is assumed for the sake of the analysis </t>
  </si>
  <si>
    <t>We do not expect any energy saving of note due to the project works.</t>
  </si>
  <si>
    <t>high-level reservoirs, and from there by gravity into the distribution</t>
  </si>
  <si>
    <t>network for customers' supply. There will in fact be more water pumped</t>
  </si>
  <si>
    <t>to higher elevations than at present, but there will be a trade-off in that</t>
  </si>
  <si>
    <t>the pumping to a reservoir can be done with steady state pumping which</t>
  </si>
  <si>
    <t xml:space="preserve">is more energy efficient. In overall terms no energy saving of note is </t>
  </si>
  <si>
    <t>At present the water is pumped from low-level pumping stations up to</t>
  </si>
  <si>
    <t>Source: NOD/ ACEPO engineers</t>
  </si>
  <si>
    <t>NOD/ACEPO engineers</t>
  </si>
  <si>
    <t>185lcd</t>
  </si>
  <si>
    <t>205lcd</t>
  </si>
  <si>
    <t>225lcd</t>
  </si>
  <si>
    <t>245lcd</t>
  </si>
  <si>
    <t>265lcd</t>
  </si>
  <si>
    <t xml:space="preserve">of all Zarqa HHs consume between 50-265 lcd of water and </t>
  </si>
  <si>
    <t>&lt;i&gt; total quanities of network water and nr HHs across 11 different consumption bands (table H1)</t>
  </si>
  <si>
    <t>(with project)</t>
  </si>
  <si>
    <t xml:space="preserve">            Years</t>
  </si>
  <si>
    <t xml:space="preserve">Table 5b Opportunity cost to WAJ for not investing: cost of  </t>
  </si>
  <si>
    <t>additional water required (without project)and loss of surpluses</t>
  </si>
  <si>
    <t>Opportunity cost to WAJ for not investing</t>
  </si>
  <si>
    <t xml:space="preserve">of all Zarqa HHs consume &lt;50lcd of network water and </t>
  </si>
  <si>
    <t>of Zarqa network water</t>
  </si>
  <si>
    <t>(GFA Aug 2008 raw data analysed)</t>
  </si>
  <si>
    <t>There are some minor inequalities in billing before average price per m³ begins to rise from 80 lcd onwards.</t>
  </si>
  <si>
    <t>Opportunity cost to WAJ for not investing in rehabilitation &amp;</t>
  </si>
  <si>
    <t>Source: NOD/ACEPO engineers</t>
  </si>
  <si>
    <t>Average size of household (HH)</t>
  </si>
  <si>
    <t>N.B. HH size in demographic data refers to person sharing the same roof. Here in the context of the water sector, HH refers to multiple HHs that share the same water meter.</t>
  </si>
  <si>
    <t xml:space="preserve">Consumption of shop water is reduced "with project" by 50% </t>
  </si>
  <si>
    <t>(Currently, this is conjecture. But it is not foreseen that all HHs particulary the richer ones will not totally give up the use of shop water as it is</t>
  </si>
  <si>
    <t xml:space="preserve">used for drinking and cooking. However, the quality of the additional network water would be significant in this decision. </t>
  </si>
  <si>
    <t>to all the 40 tables for those who wish to explore different scenarii, and onward</t>
  </si>
  <si>
    <t>to the summary CBA worksheet where the ERR is decided.</t>
  </si>
  <si>
    <t>On the other hand, tanker water will be easily subsituted for additional network water on a one to one basis when available, as it is mainly relied upon</t>
  </si>
  <si>
    <t>The health impact of the proposed project is analysed in section (d),of the worksheet  "Heli"</t>
  </si>
  <si>
    <t>Impact of storage capacity on benefiting from network water</t>
  </si>
  <si>
    <t>Where tanks are only filled once a week this would generate the following consumption rates (lcd):-</t>
  </si>
  <si>
    <r>
      <t>Given the large gap between the m</t>
    </r>
    <r>
      <rPr>
        <sz val="10"/>
        <rFont val="Calibri"/>
        <family val="2"/>
      </rPr>
      <t xml:space="preserve">³ </t>
    </r>
    <r>
      <rPr>
        <sz val="10"/>
        <rFont val="Arial"/>
        <family val="2"/>
      </rPr>
      <t xml:space="preserve">price of network water (varying between Jd 0.18 - JD 0.64),and that of tanker water (JD 4) and shop water (JD 52.83) </t>
    </r>
  </si>
  <si>
    <t>(in the context of water scarcity) those who have the influence, storage capacity and appropriate altitude are able to harvest a disproportionate share</t>
  </si>
  <si>
    <t>the price of network water is &gt; JD 4, so that the network water-rich HHs are forced to purchase tanker water when their consumption is &gt;165 lcd.</t>
  </si>
  <si>
    <t xml:space="preserve">envisaged. (NOD/ACEPO engineers 2010) </t>
  </si>
  <si>
    <t>Water production &amp; delivery savings (domestic water 85%)</t>
  </si>
  <si>
    <t>Baseline data (2010)</t>
  </si>
  <si>
    <t>Percentage of population connected (2008)</t>
  </si>
  <si>
    <t xml:space="preserve">Average annual increase in population connected </t>
  </si>
  <si>
    <t>Percentage of population connected (2010)</t>
  </si>
  <si>
    <t>A baseline (2010) model of water consumption based on table 1 above is generated. The 2010 population that is connected to the WAJ network is:</t>
  </si>
  <si>
    <t>The findings of this work sheet feed into the "CBA" worksheet.</t>
  </si>
  <si>
    <t xml:space="preserve">Since the ECO Consult report indicates no correlation between income and water consumption levels, the inequality is based on unequal distribution generated by </t>
  </si>
  <si>
    <t>poor quality piping in certain areas which disadvantages households across all income groups.</t>
  </si>
  <si>
    <t>Population and connectivity parameters</t>
  </si>
  <si>
    <t>UFW parameters</t>
  </si>
  <si>
    <t>UFW physical as % of total system input, without project (2010)</t>
  </si>
  <si>
    <t>UFW physical as % of total system input,without project (2029)</t>
  </si>
  <si>
    <t>UFW administrative as % of total system input, without project (2029)</t>
  </si>
  <si>
    <t>UFW administrative as % of total system input, without project (2010)</t>
  </si>
  <si>
    <t>UFW physical as % of total system input, with project (2010)</t>
  </si>
  <si>
    <t>UFW administrative as % of total system input, with project (2010)</t>
  </si>
  <si>
    <t>Percentage of HHs affected adversely by UFW administrative</t>
  </si>
  <si>
    <t>pop connect</t>
  </si>
  <si>
    <t>Investment costs with project</t>
  </si>
  <si>
    <t xml:space="preserve">Investment costs without project </t>
  </si>
  <si>
    <t>Target population (connected HHs)</t>
  </si>
  <si>
    <t>Target population (all HHs)</t>
  </si>
  <si>
    <t>annual connectivity growth:</t>
  </si>
  <si>
    <t>Total water consumption (2008)</t>
  </si>
  <si>
    <t xml:space="preserve">Total water </t>
  </si>
  <si>
    <t>Group 1 water</t>
  </si>
  <si>
    <t xml:space="preserve">Group 2 water </t>
  </si>
  <si>
    <t>Total HHS connect</t>
  </si>
  <si>
    <t xml:space="preserve">Group 1 HHs </t>
  </si>
  <si>
    <t xml:space="preserve">Group 2 HHs </t>
  </si>
  <si>
    <r>
      <t>m</t>
    </r>
    <r>
      <rPr>
        <sz val="10"/>
        <rFont val="Calibri"/>
        <family val="2"/>
      </rPr>
      <t>³</t>
    </r>
    <r>
      <rPr>
        <sz val="10"/>
        <rFont val="Arial"/>
        <family val="2"/>
      </rPr>
      <t>/HH/annum</t>
    </r>
  </si>
  <si>
    <t>Group 1</t>
  </si>
  <si>
    <t>Group 2</t>
  </si>
  <si>
    <t>Table H2: Water consumption across groups 1 (HHs consuming &lt;50 lcd) &amp; 2 (HHs consuming between 50 - 265 lcd) with project</t>
  </si>
  <si>
    <r>
      <t>Table H 3 below analyses annual HH expenditure on water, average prices per m</t>
    </r>
    <r>
      <rPr>
        <sz val="10"/>
        <rFont val="Calibri"/>
        <family val="2"/>
      </rPr>
      <t>³</t>
    </r>
    <r>
      <rPr>
        <sz val="10"/>
        <rFont val="Arial"/>
        <family val="2"/>
      </rPr>
      <t xml:space="preserve"> and revenue across the consumption bands</t>
    </r>
  </si>
  <si>
    <t xml:space="preserve">Appling Table 10 (HELI 2005:43) to the metered population the health gains for raising consumption of group 1 to 60 lcd, health gains are estimated in Table H4 below. </t>
  </si>
  <si>
    <t>Target population</t>
  </si>
  <si>
    <t>(Natural development of network to connect new HHs)</t>
  </si>
  <si>
    <t>Years</t>
  </si>
  <si>
    <t>but percentage UFW "with project" …………………………..</t>
  </si>
  <si>
    <t>percentage UFW "without project"…………………………..</t>
  </si>
  <si>
    <t>Water production &amp; delivery savings per m3 (years 1-20)</t>
  </si>
  <si>
    <t>the difference between the UFW of without &amp; with project</t>
  </si>
  <si>
    <t>Making this wider assumption does not alter the calculation of unit</t>
  </si>
  <si>
    <t>costs of water production &amp; delivery</t>
  </si>
  <si>
    <t>Table 4: Household water consumption analysis across 20 years</t>
  </si>
  <si>
    <t>UFW physical as % of total system input, without project (2008)</t>
  </si>
  <si>
    <t>70hrs/wk</t>
  </si>
  <si>
    <t>UFW administrative as % of total system input, without project (2008)</t>
  </si>
  <si>
    <t>Average annual % change to UFW administrative without project (2010 - 2029)</t>
  </si>
  <si>
    <t>UFW physical as % of total system input, with project (2008)</t>
  </si>
  <si>
    <t>UFW physical as % of total system input,with project (2029)</t>
  </si>
  <si>
    <t>UFW administrative as % of total system input, with project (2008)</t>
  </si>
  <si>
    <t>Average annual % change to UFW administrative with project</t>
  </si>
  <si>
    <t>Average annual % change to UFW physical without project (2010-2029)</t>
  </si>
  <si>
    <t>Population (2008)</t>
  </si>
  <si>
    <t>Population (2029)</t>
  </si>
  <si>
    <t>Generated by the CBA model</t>
  </si>
  <si>
    <t>Percentage of population connected (2029)</t>
  </si>
  <si>
    <t xml:space="preserve">billing data. The ECO Consult draft report indicates that there is no relationship between income and the quanitity of network </t>
  </si>
  <si>
    <t xml:space="preserve">These figures represent the distribution of network water across the three main socio-economic groupings based on the 2008 </t>
  </si>
  <si>
    <t xml:space="preserve">water received. However, the distribution of shop and tanker water across socio-economic categories remains unknown. </t>
  </si>
  <si>
    <t>Values of key independent (or input) variables are outlined here, appropriately referenced:</t>
  </si>
  <si>
    <t>(ECO Consult 2010:calculated from raw data and adjusted to HH size)</t>
  </si>
  <si>
    <t>The findings are only shown here but the analysis is conducted on the excel file of the 2008 billing data and based on the certain assumptions which</t>
  </si>
  <si>
    <t>were necessary as the 2008 billing data (in contrast to the 2006 billing data) does not distinguish between domestic and non-domestic consumers.</t>
  </si>
  <si>
    <t>Hence, in order to distinguish between domestic and non-dometic consumption the following assumptions were used:</t>
  </si>
  <si>
    <t>&lt;i&gt; the quantities of water consumed by domestic HHs and non-domestic units are based on the 2006 billing data as 85% and 15% respectively;</t>
  </si>
  <si>
    <t xml:space="preserve">&lt;ii&gt; units that did not consume any water in 2008 are excluded from the analysis. Some of them were only registered in 2009. </t>
  </si>
  <si>
    <t>&lt;iii&gt; units that consume quantities &gt;265 lcd are assumed to be non-domestic.</t>
  </si>
  <si>
    <t>This is an under-estimate as ECO Consult figures are based on one quarter.</t>
  </si>
  <si>
    <t>Average annual shop water consumption per household (m3/hse/a)</t>
  </si>
  <si>
    <t>Price of shop water (JOD/m3)</t>
  </si>
  <si>
    <t xml:space="preserve">Based on DOS Zarqa population 2008, 98.02% connection rate. </t>
  </si>
  <si>
    <t>The relevant conclusions of the analysis is outline in Table 1 below under network water in terms of HHs and quantities of water consumed.</t>
  </si>
  <si>
    <t>The breakdown of domestic consumers in terms of eleven consumption bands is shown in worksheet "Heli". More specifically 51.44%</t>
  </si>
  <si>
    <t>of HHs consume less than 50 lcd which is a figure close to the findings of the EC Consult survey of 49.5%.</t>
  </si>
  <si>
    <t xml:space="preserve">This figure refers to HHs with consumption &lt;265 lcd, as the analysis assumes no HHs consume &gt;265 lcd. </t>
  </si>
  <si>
    <t>For details see</t>
  </si>
  <si>
    <t xml:space="preserve">see worksheet "Heli" section (a). The 2010 population including those not connected is: </t>
  </si>
  <si>
    <t>out by the ECO Consult draft report.</t>
  </si>
  <si>
    <t>when network water is not available and usually not for drinking and cooking (unless treated) but for more general domestic uses. This has been borne</t>
  </si>
  <si>
    <t xml:space="preserve">The model assumes that benefits of the proposed project only are realised in year 3 of the life of the project. Up till then the network operates in </t>
  </si>
  <si>
    <t>The 2008 &amp; 2010 UFW figures with project</t>
  </si>
  <si>
    <t xml:space="preserve">are hypothetical for the sake of the </t>
  </si>
  <si>
    <t>engineering calculations. In reality UFW</t>
  </si>
  <si>
    <t>life of the project.</t>
  </si>
  <si>
    <t>Average annual % change to UFW physical with project (2010-2030)</t>
  </si>
  <si>
    <t>accordance with UFW figures "without project" as outlined above.</t>
  </si>
  <si>
    <t>after transf</t>
  </si>
  <si>
    <t>to Group 1</t>
  </si>
  <si>
    <t>(m³)</t>
  </si>
  <si>
    <t>(lcd)</t>
  </si>
  <si>
    <t>of the network water as illustrated by table H1 above. In addition, EC Consult points out that the sharing of meters by poor HHs pushes up the price of network water</t>
  </si>
  <si>
    <t>for the poor.</t>
  </si>
  <si>
    <t xml:space="preserve">One resolution is to ensure that poor HHs have access to one meter per HH as recommended by ECO Consult. </t>
  </si>
  <si>
    <t>Another resolution to this situation is to raise tariff rates much closer to commercial rates of tanker water, so that when HHs consume more than 165 lcd,</t>
  </si>
  <si>
    <t>NOD/ACEPO engineers have provided these costings and</t>
  </si>
  <si>
    <t>will be channelled to HHs with &lt;50 lcd so that their consumption rate is raised to 60 lcd; and this continues even in the face of population growth from year 9 onwards.</t>
  </si>
  <si>
    <t>UFW administrative as % of total system input, with project (2029)</t>
  </si>
  <si>
    <t>The quanity of water delivered to consumers with project</t>
  </si>
  <si>
    <t>Net benefit stream (including costs without project)</t>
  </si>
  <si>
    <t>Net benefit stream (excluding costs without project)</t>
  </si>
  <si>
    <t xml:space="preserve">are responsible for the details. The costs are inclusive of </t>
  </si>
  <si>
    <t>This is an underestimation as benefits to non-domestic consumers could not be calculated in the absence of data on the consumption of shop and tanker water by non-domestic consumers.</t>
  </si>
  <si>
    <t>restructuring</t>
  </si>
  <si>
    <t>(domestic water). Not possible to make calculations for</t>
  </si>
  <si>
    <t>non-domestic consumers.</t>
  </si>
  <si>
    <t>Sensititivy analysis (excluding costs without project)</t>
  </si>
  <si>
    <t>reduction in benefits</t>
  </si>
  <si>
    <t>Sensititivy analysis (including costs without project)</t>
  </si>
  <si>
    <t>The model also shows (table 1:first row) average consumption of network water only  is</t>
  </si>
  <si>
    <t>The model below (table 1:last row) shows average consumption of all types of water  is</t>
  </si>
  <si>
    <t>The details of the re-distribution of water between groups 1 &amp; 2 in order to lift HHs of group 1 to 60 lcd and to maintain these HHs at this level are worked out above (table H2).</t>
  </si>
  <si>
    <t>Shop water shares</t>
  </si>
  <si>
    <t xml:space="preserve">        &lt;$2</t>
  </si>
  <si>
    <t xml:space="preserve">     $2 - $4</t>
  </si>
  <si>
    <t xml:space="preserve">      &gt;$4</t>
  </si>
  <si>
    <t xml:space="preserve">Tanker water </t>
  </si>
  <si>
    <t>Proportionate shares across socio-economic categores (assumptions)</t>
  </si>
  <si>
    <t>Percentage water shares across water type and socio-economic category</t>
  </si>
  <si>
    <t>tanker water</t>
  </si>
  <si>
    <t>network water</t>
  </si>
  <si>
    <t>shop water</t>
  </si>
  <si>
    <t>(share)</t>
  </si>
  <si>
    <t>(percentage)</t>
  </si>
  <si>
    <t>Poorest socio-economic group ( &lt;$2 per person per day)</t>
  </si>
  <si>
    <t>Medium poor socio-economic group ( $2 - $4  per person per day)</t>
  </si>
  <si>
    <t>shop</t>
  </si>
  <si>
    <t>tanker</t>
  </si>
  <si>
    <t>Total savings from switching from shop and tanker water (both</t>
  </si>
  <si>
    <t>Target Population (all HHs) of both socio-economic categories</t>
  </si>
  <si>
    <t>Socio-economic categories (poor &amp; medium poor)</t>
  </si>
  <si>
    <t>All socio-economic categories</t>
  </si>
  <si>
    <t xml:space="preserve">Table 7 Beneficiary Analysis </t>
  </si>
  <si>
    <t>Poor and medium poor socio-economic categories.</t>
  </si>
  <si>
    <t>socio-economic categories combined)</t>
  </si>
  <si>
    <t>(NPV)</t>
  </si>
  <si>
    <t>(ERR)</t>
  </si>
  <si>
    <t>Richer socio-economic category</t>
  </si>
  <si>
    <t>(richer socio-economic category)</t>
  </si>
  <si>
    <t>WAJ</t>
  </si>
  <si>
    <t>For each JD invested, how much will WAJ benefit</t>
  </si>
  <si>
    <t>For each JD invested, how much will the richer socio-</t>
  </si>
  <si>
    <t>economic group benefit</t>
  </si>
  <si>
    <t>For each JD invested, how much will the two poorest  groups</t>
  </si>
  <si>
    <t>benefit</t>
  </si>
  <si>
    <t xml:space="preserve">Investment benefits </t>
  </si>
  <si>
    <t>Percentage of costs assigned in the CBA to domestic consumers</t>
  </si>
  <si>
    <t>Total benefits (savings and opportunity costs)</t>
  </si>
  <si>
    <t>Zarqa sub-district…………………..</t>
  </si>
  <si>
    <t>Ruseifa sub-district……………….</t>
  </si>
  <si>
    <t>Berein sub-district……………..</t>
  </si>
  <si>
    <t>Zarqa sub-district………………………………………..</t>
  </si>
  <si>
    <t>Ruseifa sub-district……………………</t>
  </si>
  <si>
    <t>Ruseifa sub-district………….</t>
  </si>
  <si>
    <t>Hashameer sub-district</t>
  </si>
  <si>
    <t>Dhilail sub-district……………</t>
  </si>
  <si>
    <t>Ashraq sub-district……………</t>
  </si>
  <si>
    <t>Hashameer sub-district………..</t>
  </si>
  <si>
    <t>Dhilail sub-district……………..</t>
  </si>
  <si>
    <t>Ashraq sub-district……………..</t>
  </si>
  <si>
    <t>Hashameer sub-district……….</t>
  </si>
  <si>
    <t>Dhilail sub-district…………..</t>
  </si>
  <si>
    <t>Ashraq sub-district…………..</t>
  </si>
  <si>
    <t>Phase 1 (MCC) direct investment in MCC priority areas</t>
  </si>
  <si>
    <t>Totals</t>
  </si>
  <si>
    <t>Phase (TBD) direct investment in MCC priority areas</t>
  </si>
  <si>
    <t>Phase 3: direct investment in the MCC priority areas</t>
  </si>
  <si>
    <t>Phase 3: strategic infrastructure (% devoted to priority MCC areas)</t>
  </si>
  <si>
    <t>Phase 1 strategic infrastructure (% devoted to MCC priority areas)</t>
  </si>
  <si>
    <t>Phase 2: strategtic infrastructure (% devoted to MCC priority areas)</t>
  </si>
  <si>
    <t>construction and ancillary costs including management costs</t>
  </si>
  <si>
    <t>Generated by the masterplan CBA model</t>
  </si>
  <si>
    <t>In the absence of data assumptions are made; and these assumptions apply only to the beneficiary analysis</t>
  </si>
  <si>
    <t>WSA</t>
  </si>
  <si>
    <t>Population connected</t>
  </si>
  <si>
    <t>Population</t>
  </si>
  <si>
    <t>Zarqa sub-district</t>
  </si>
  <si>
    <t>Russaifah</t>
  </si>
  <si>
    <t>Host Population of MCC priority areas</t>
  </si>
  <si>
    <t>(NOD/ACEPO)</t>
  </si>
  <si>
    <t>(host)</t>
  </si>
  <si>
    <t>(host) population</t>
  </si>
  <si>
    <t>between $2-$4</t>
  </si>
  <si>
    <t>(host population)</t>
  </si>
  <si>
    <t>Tatweer</t>
  </si>
  <si>
    <t>Zarqa</t>
  </si>
  <si>
    <t>Awajan</t>
  </si>
  <si>
    <t>in real numbers</t>
  </si>
  <si>
    <t>percentage terms</t>
  </si>
  <si>
    <t>Connection rate</t>
  </si>
  <si>
    <t>From the analysis conducted in step 1 it is shown that the percentage of the population in each socio-economic group in the MCC priority areas is as follows:</t>
  </si>
  <si>
    <t>Phase (TBD) strategic infrastructure (% devoted to MCC priority areas</t>
  </si>
  <si>
    <t>Phase 2 direct investment in the MCC priority areas)</t>
  </si>
  <si>
    <t>Please note Tatweer, Zarqa and Awajan WSA lie within the Zarqa sub-district and obviously Russaifa WSA lies within Russaifa sub-district</t>
  </si>
  <si>
    <t>The North WSA belongs to Hashmeer sub-district and West-NW WSA lies within Berein sub-district</t>
  </si>
  <si>
    <t>Cost</t>
  </si>
  <si>
    <t>Across</t>
  </si>
  <si>
    <t>20 years</t>
  </si>
  <si>
    <t>% HHs reached</t>
  </si>
  <si>
    <t>ok</t>
  </si>
  <si>
    <t>x</t>
  </si>
  <si>
    <t>(ok)</t>
  </si>
  <si>
    <t>Percentage of connected consumers reached</t>
  </si>
  <si>
    <t>priority areas</t>
  </si>
  <si>
    <t>Percentage of infrastructure &amp; without project costs devoted to MCC</t>
  </si>
  <si>
    <t>with project is only realised in year 4 of the</t>
  </si>
  <si>
    <t>37 hrs/wk</t>
  </si>
  <si>
    <t>North</t>
  </si>
  <si>
    <t>Weighted to equal population size of the richer group</t>
  </si>
  <si>
    <r>
      <t>Average cost per m</t>
    </r>
    <r>
      <rPr>
        <b/>
        <sz val="10"/>
        <rFont val="Calibri"/>
        <family val="2"/>
      </rPr>
      <t>³</t>
    </r>
    <r>
      <rPr>
        <b/>
        <sz val="10"/>
        <rFont val="Arial"/>
        <family val="2"/>
      </rPr>
      <t xml:space="preserve"> of water produced (internal plus imports)</t>
    </r>
  </si>
  <si>
    <r>
      <t>Average cost per m</t>
    </r>
    <r>
      <rPr>
        <b/>
        <sz val="10"/>
        <rFont val="Calibri"/>
        <family val="2"/>
      </rPr>
      <t>³</t>
    </r>
    <r>
      <rPr>
        <b/>
        <sz val="10"/>
        <rFont val="Arial"/>
        <family val="2"/>
      </rPr>
      <t xml:space="preserve"> of water produced without project where</t>
    </r>
  </si>
  <si>
    <t>additional water is required to meet deficits</t>
  </si>
  <si>
    <t>Average cost per m3 of water produced &amp; delivered to consumers</t>
  </si>
  <si>
    <t>where no additional water is required</t>
  </si>
  <si>
    <t xml:space="preserve">(authorised consumption) </t>
  </si>
  <si>
    <r>
      <t>Estimated development costs of additional water per m</t>
    </r>
    <r>
      <rPr>
        <b/>
        <sz val="10"/>
        <rFont val="Calibri"/>
        <family val="2"/>
      </rPr>
      <t>³</t>
    </r>
    <r>
      <rPr>
        <b/>
        <sz val="10"/>
        <rFont val="Arial"/>
        <family val="2"/>
      </rPr>
      <t xml:space="preserve"> </t>
    </r>
  </si>
  <si>
    <t>Analysis of socio-economic breakdown of population of MCC priority areas (option B)</t>
  </si>
  <si>
    <t xml:space="preserve">Net benefit stream with 20% increase in costs and no </t>
  </si>
  <si>
    <t>change in benefits</t>
  </si>
  <si>
    <t xml:space="preserve">Net benefit stream with 20% increase in costs and </t>
  </si>
  <si>
    <t xml:space="preserve">Net benefit stream with 20% increase in costs and 10% </t>
  </si>
  <si>
    <t>10% increase in benefits</t>
  </si>
  <si>
    <t xml:space="preserve">Water deficits </t>
  </si>
  <si>
    <t>Water deficits/ surpluses</t>
  </si>
  <si>
    <t>incre</t>
  </si>
  <si>
    <r>
      <t>water prices per m</t>
    </r>
    <r>
      <rPr>
        <i/>
        <sz val="10"/>
        <rFont val="Calibri"/>
        <family val="2"/>
      </rPr>
      <t>³:</t>
    </r>
  </si>
  <si>
    <t>Incr m3/person</t>
  </si>
  <si>
    <t>Average Incremental Network Water Consumpton w Project (lcd)</t>
  </si>
  <si>
    <t>Average Incremental Network Water Consumpton w Project (m3/p)</t>
  </si>
  <si>
    <t>Incremental Network Consumption (m3)</t>
  </si>
  <si>
    <t>???</t>
  </si>
  <si>
    <t>B Deren Calculations</t>
  </si>
  <si>
    <t>Current Average Consumer Price (JD/m3)</t>
  </si>
  <si>
    <t>BD: No, the above 'opportunity cost' is not part of the analysis</t>
  </si>
  <si>
    <t>BD: NB, these estimates do not take into account energy use savings with the installation of gravity flow components in the infrastructure</t>
  </si>
  <si>
    <t>Total Incremental Costs</t>
  </si>
  <si>
    <t>Incremental Net Benefits</t>
  </si>
  <si>
    <r>
      <t>Average delivered water cost per m</t>
    </r>
    <r>
      <rPr>
        <b/>
        <sz val="10"/>
        <rFont val="Calibri"/>
        <family val="2"/>
      </rPr>
      <t>³</t>
    </r>
    <r>
      <rPr>
        <b/>
        <sz val="10"/>
        <rFont val="Arial"/>
        <family val="2"/>
      </rPr>
      <t xml:space="preserve"> including Disi (JD/m3)</t>
    </r>
  </si>
  <si>
    <t>Base Average delivered water cost plus increasing extraction costs (JD/m3)</t>
  </si>
  <si>
    <t>Base Average delivered water cost (JD/m3)</t>
  </si>
  <si>
    <t xml:space="preserve">Real annual increase in extraction costs (energy) </t>
  </si>
  <si>
    <t>Without Project</t>
  </si>
  <si>
    <t>With Project</t>
  </si>
  <si>
    <t xml:space="preserve">Portion of existing costs energy related </t>
  </si>
  <si>
    <t>Portion of Disi supply costs energy related</t>
  </si>
  <si>
    <t>Base Disi supply cost at current system loss level (JD/m3)</t>
  </si>
  <si>
    <t>Disi share of water supply</t>
  </si>
  <si>
    <t>Benefits</t>
  </si>
  <si>
    <t>Step 5 (Deren: see below)</t>
  </si>
  <si>
    <t>Total Incremental Benefits</t>
  </si>
  <si>
    <t>ERR</t>
  </si>
  <si>
    <t>NB: Taking into account Consultant's underestiimation of costs; in the next version this will be presented as the base return</t>
  </si>
  <si>
    <t>Jordan</t>
  </si>
  <si>
    <t>Beneficiary Numbers</t>
  </si>
  <si>
    <t>Incremental Water Saved within System (MCM)</t>
  </si>
  <si>
    <t>(JD million)</t>
  </si>
  <si>
    <t>Analysis for IM (before final rescaling of investment)</t>
  </si>
  <si>
    <t xml:space="preserve">  Without</t>
  </si>
  <si>
    <t xml:space="preserve">  With </t>
  </si>
  <si>
    <t>Connected Zarqa Population</t>
  </si>
  <si>
    <t>Zarqa population</t>
  </si>
  <si>
    <t>Annual Increment (MCM)</t>
  </si>
  <si>
    <t>Project Year</t>
  </si>
  <si>
    <t>Calendar Year</t>
  </si>
  <si>
    <t xml:space="preserve">  Population annual increment</t>
  </si>
  <si>
    <t xml:space="preserve">   Annual Increment</t>
  </si>
  <si>
    <t>Minimum allocation to existing subscribers s.t.residual to newly connect does not exceed allocation</t>
  </si>
  <si>
    <t>Maximum allocation</t>
  </si>
  <si>
    <t>Average</t>
  </si>
  <si>
    <t>Incremental Connected Population (w-wo)</t>
  </si>
  <si>
    <t xml:space="preserve">  Allocation of water savings among existing subscribers</t>
  </si>
  <si>
    <t xml:space="preserve">  Allocation of water savings among new subscribers</t>
  </si>
  <si>
    <t xml:space="preserve">  Beneficiaries among existing subscribers</t>
  </si>
  <si>
    <t xml:space="preserve">  Beneficiaries among new subscribers</t>
  </si>
  <si>
    <t>Beneficiary Population at Compact Completion</t>
  </si>
  <si>
    <t>Beneficiary Population + 20 Years</t>
  </si>
  <si>
    <t>Efficiency Gain Beneficiaries</t>
  </si>
  <si>
    <t xml:space="preserve">  Zarqa Population Increments</t>
  </si>
  <si>
    <t xml:space="preserve">  Amman Population Increments</t>
  </si>
  <si>
    <t xml:space="preserve">% of Total Population at Compact Completion </t>
  </si>
  <si>
    <t>% of Total Population + 20 Years</t>
  </si>
  <si>
    <t xml:space="preserve">  Amman Population </t>
  </si>
  <si>
    <t xml:space="preserve">  Total Population Increments</t>
  </si>
  <si>
    <t>Poverty Scorecard</t>
  </si>
  <si>
    <r>
      <t xml:space="preserve">MCC Cost </t>
    </r>
    <r>
      <rPr>
        <b/>
        <sz val="8"/>
        <rFont val="Arial"/>
        <family val="2"/>
      </rPr>
      <t>(Millions USD)</t>
    </r>
  </si>
  <si>
    <t>20-Year ERR</t>
  </si>
  <si>
    <t>Consumption per day (2005 PPP $)</t>
  </si>
  <si>
    <t>Beneficiaries</t>
  </si>
  <si>
    <t>&lt; $1.25</t>
  </si>
  <si>
    <r>
      <t xml:space="preserve">&lt; $2 </t>
    </r>
    <r>
      <rPr>
        <vertAlign val="superscript"/>
        <sz val="9"/>
        <rFont val="Arial"/>
        <family val="2"/>
      </rPr>
      <t>1</t>
    </r>
    <r>
      <rPr>
        <sz val="9"/>
        <rFont val="Arial"/>
        <family val="2"/>
      </rPr>
      <t xml:space="preserve"> </t>
    </r>
  </si>
  <si>
    <t>&gt; $4</t>
  </si>
  <si>
    <r>
      <t xml:space="preserve">Beneficiary Households in Year 20 </t>
    </r>
    <r>
      <rPr>
        <sz val="8"/>
        <rFont val="Arial"/>
        <family val="2"/>
      </rPr>
      <t>(#)</t>
    </r>
  </si>
  <si>
    <r>
      <t xml:space="preserve">Beneficiary Individuals in Year 20 </t>
    </r>
    <r>
      <rPr>
        <sz val="8"/>
        <rFont val="Arial"/>
        <family val="2"/>
      </rPr>
      <t>(#)</t>
    </r>
  </si>
  <si>
    <r>
      <t xml:space="preserve">National Population in Year 20 </t>
    </r>
    <r>
      <rPr>
        <vertAlign val="superscript"/>
        <sz val="9"/>
        <rFont val="Arial"/>
        <family val="2"/>
      </rPr>
      <t>2</t>
    </r>
    <r>
      <rPr>
        <sz val="9"/>
        <rFont val="Arial"/>
        <family val="2"/>
      </rPr>
      <t xml:space="preserve"> </t>
    </r>
    <r>
      <rPr>
        <sz val="8"/>
        <rFont val="Arial"/>
        <family val="2"/>
      </rPr>
      <t>(#)</t>
    </r>
  </si>
  <si>
    <r>
      <t xml:space="preserve">Beneficiary Population by Poverty Level </t>
    </r>
    <r>
      <rPr>
        <sz val="8"/>
        <rFont val="Arial"/>
        <family val="2"/>
      </rPr>
      <t>(%)</t>
    </r>
  </si>
  <si>
    <r>
      <t xml:space="preserve">National Population by Poverty Level </t>
    </r>
    <r>
      <rPr>
        <vertAlign val="superscript"/>
        <sz val="9"/>
        <rFont val="Arial"/>
        <family val="2"/>
      </rPr>
      <t>3</t>
    </r>
    <r>
      <rPr>
        <sz val="9"/>
        <rFont val="Arial"/>
        <family val="2"/>
      </rPr>
      <t xml:space="preserve"> </t>
    </r>
    <r>
      <rPr>
        <sz val="8"/>
        <rFont val="Arial"/>
        <family val="2"/>
      </rPr>
      <t>(%)</t>
    </r>
  </si>
  <si>
    <t>The Magnitude of the Benefits</t>
  </si>
  <si>
    <t>Cost Effectiveness</t>
  </si>
  <si>
    <t>Percent of Project Participants Who Are Female</t>
  </si>
  <si>
    <t>Total MCC Costs including Price Contingencies</t>
  </si>
  <si>
    <t>Total MCC Costs including Price Contingencies (USD million)</t>
  </si>
  <si>
    <t>Conversion factor (JD 2010/USD PPP 2005)</t>
  </si>
  <si>
    <t>3rd column of http://iresearch.worldbank.org/PovcalNet/povcalSvy.html; cf Poverty Line for MCC Compact v2_1_Jordan.xlsx</t>
  </si>
  <si>
    <t>Total Costs in 2005 PPP USD million</t>
  </si>
  <si>
    <t>NPV Total Costs @ 10% (2005 PPP USD)</t>
  </si>
  <si>
    <t>Total Benefits in 2005 PPP USD million</t>
  </si>
  <si>
    <t>NPV Total Benefits @ 10% (2005 PPP USD)</t>
  </si>
  <si>
    <t>Supply Cost Savings (Efficiency Benefit)</t>
  </si>
  <si>
    <t>Household/subscriber size</t>
  </si>
  <si>
    <t>Beneficiary Households + 20 Years</t>
  </si>
  <si>
    <t>Beneficiary Households at Compact Completion</t>
  </si>
  <si>
    <t>&lt; 1.25</t>
  </si>
  <si>
    <t>&lt; 2</t>
  </si>
  <si>
    <t>&gt;4</t>
  </si>
  <si>
    <t>2-4</t>
  </si>
  <si>
    <t>Average Annual Consumption (PPP $) of Beneficiaries</t>
  </si>
  <si>
    <t>NB: All benefits incremental; PVs based on 10% discount rate and exclude MCC costs but net out any local costs</t>
  </si>
  <si>
    <r>
      <t xml:space="preserve">Present Value </t>
    </r>
    <r>
      <rPr>
        <b/>
        <sz val="8"/>
        <rFont val="Arial"/>
        <family val="2"/>
      </rPr>
      <t>(PV)</t>
    </r>
    <r>
      <rPr>
        <b/>
        <sz val="9"/>
        <rFont val="Arial"/>
        <family val="2"/>
      </rPr>
      <t xml:space="preserve"> of All Costs </t>
    </r>
    <r>
      <rPr>
        <b/>
        <sz val="8"/>
        <rFont val="Arial"/>
        <family val="2"/>
      </rPr>
      <t>(Millions 2005 PPP $)</t>
    </r>
  </si>
  <si>
    <r>
      <t xml:space="preserve">Present Value </t>
    </r>
    <r>
      <rPr>
        <b/>
        <sz val="8"/>
        <rFont val="Arial"/>
        <family val="2"/>
      </rPr>
      <t>(PV)</t>
    </r>
    <r>
      <rPr>
        <b/>
        <sz val="9"/>
        <rFont val="Arial"/>
        <family val="2"/>
      </rPr>
      <t xml:space="preserve"> of Benefit Stream </t>
    </r>
    <r>
      <rPr>
        <b/>
        <sz val="8"/>
        <rFont val="Arial"/>
        <family val="2"/>
      </rPr>
      <t>(Millions 2005 PPP $)</t>
    </r>
  </si>
  <si>
    <r>
      <t xml:space="preserve">PV of Benefit Stream Per Beneficiary </t>
    </r>
    <r>
      <rPr>
        <sz val="8"/>
        <rFont val="Arial"/>
        <family val="2"/>
      </rPr>
      <t xml:space="preserve">(2005 PPP $) </t>
    </r>
  </si>
  <si>
    <r>
      <t>PV of Benefit Stream as Share of Annual Consumption</t>
    </r>
    <r>
      <rPr>
        <sz val="8"/>
        <rFont val="Arial"/>
        <family val="2"/>
      </rPr>
      <t xml:space="preserve"> (%)</t>
    </r>
  </si>
  <si>
    <r>
      <t xml:space="preserve">PV of Benefit Stream/PV of All Costs </t>
    </r>
    <r>
      <rPr>
        <sz val="8"/>
        <rFont val="Arial"/>
        <family val="2"/>
      </rPr>
      <t>(2005 PPP $ / 2005 PPP $)</t>
    </r>
  </si>
  <si>
    <r>
      <t xml:space="preserve">National Average Income per capita </t>
    </r>
    <r>
      <rPr>
        <vertAlign val="superscript"/>
        <sz val="9"/>
        <rFont val="Arial"/>
        <family val="2"/>
      </rPr>
      <t xml:space="preserve">4 </t>
    </r>
    <r>
      <rPr>
        <sz val="9"/>
        <rFont val="Arial"/>
        <family val="2"/>
      </rPr>
      <t>(PPP $)</t>
    </r>
  </si>
  <si>
    <t>National Population + 20</t>
  </si>
  <si>
    <t>Zarqa Beneficiaries by Poverty Group</t>
  </si>
  <si>
    <t>Amman Beneficiaries by Poverty Group</t>
  </si>
  <si>
    <t>National Population 2010</t>
  </si>
  <si>
    <t>MCC 2010 Country Scorecard</t>
  </si>
  <si>
    <t>Zarqa Gender Breakdown</t>
  </si>
  <si>
    <t>Male</t>
  </si>
  <si>
    <t>Female</t>
  </si>
  <si>
    <t>Share of Total Population</t>
  </si>
  <si>
    <r>
      <t xml:space="preserve">2    </t>
    </r>
    <r>
      <rPr>
        <sz val="8"/>
        <rFont val="Arial"/>
        <family val="2"/>
      </rPr>
      <t>Based on 2010 population (MCC Country Scorecard 2010), projected to Year 20</t>
    </r>
  </si>
  <si>
    <t>Projected Growth Rate</t>
  </si>
  <si>
    <t>Department of Statistics, Jordan</t>
  </si>
  <si>
    <t>National Population (2010)</t>
  </si>
  <si>
    <r>
      <t xml:space="preserve">3,4 </t>
    </r>
    <r>
      <rPr>
        <sz val="8"/>
        <rFont val="Arial"/>
        <family val="2"/>
      </rPr>
      <t>Based on MCC calculations using 2006 World Bank and DoS, Jordan, data, updated to project 2010 distribution</t>
    </r>
  </si>
  <si>
    <r>
      <t xml:space="preserve">1    </t>
    </r>
    <r>
      <rPr>
        <sz val="8"/>
        <rFont val="Arial"/>
        <family val="2"/>
      </rPr>
      <t>The beneficiaries and population living on less than $2 per day include those under $1.25 per day; in Jordan the number consuming under $1.25 is negligible.</t>
    </r>
  </si>
  <si>
    <t>National Population by Poverty Level</t>
  </si>
  <si>
    <t xml:space="preserve">Share of PV of Total Benefits </t>
  </si>
  <si>
    <t>Zarqa Distribution of Benefits</t>
  </si>
  <si>
    <t>Amman Distribution of Benefits</t>
  </si>
  <si>
    <t>Share of Annual Consumption</t>
  </si>
  <si>
    <t>These are placeholders</t>
  </si>
  <si>
    <t xml:space="preserve">Income (partial consumer surplus) Impact Beneficiaries </t>
  </si>
  <si>
    <t>Overlap of Beneficiaries</t>
  </si>
  <si>
    <t>Income Imapcts with Efficiency Gain Beneficiaries</t>
  </si>
  <si>
    <t>PV of Income Impact Benefits (2005 PPP USD million)</t>
  </si>
  <si>
    <t>Consumption per day (2005 PPP USD)</t>
  </si>
  <si>
    <t>Number of Beneficiaries</t>
  </si>
  <si>
    <t>PV of Benefit Stream per Beneficiary (PPP USD)</t>
  </si>
  <si>
    <t>Health Beneficiaries</t>
  </si>
  <si>
    <t xml:space="preserve">  Assume same distribution as Income Impact</t>
  </si>
  <si>
    <t>PV of Health Benefits (2005 PPP USD million)</t>
  </si>
  <si>
    <t>NB: Beneficiary household calculation based on average of 6.3 individuals per household, as per 2003/2004 NHIES.</t>
  </si>
  <si>
    <t>PV of Efficiency Benefits (2005 PPP USD million)</t>
  </si>
  <si>
    <t>Distribution of Efficiency Benefits</t>
  </si>
  <si>
    <t>Zarqa Share</t>
  </si>
  <si>
    <t>Amman Share</t>
  </si>
  <si>
    <t>Total Benefit Stream per Beneficiary Income and Health</t>
  </si>
  <si>
    <t xml:space="preserve">PV of Benefit Stream per Beneficiary </t>
  </si>
  <si>
    <t xml:space="preserve">  Weighted across All Beneficiaries</t>
  </si>
  <si>
    <t>Mean monthly income of Zarqa (2005 PPP USD)</t>
  </si>
  <si>
    <t>cf Poverty Line for MCC Compact v2_1_Jordan.xlsx</t>
  </si>
  <si>
    <t>Average yearly income of Zarqa (2005 PPP USD)</t>
  </si>
  <si>
    <t>Mean monthly national income (2005 PPP USD)</t>
  </si>
  <si>
    <t>Average yearly national income  (2005 PPP USD)</t>
  </si>
  <si>
    <t>Hey Paul, Amman same as national pattern?</t>
  </si>
  <si>
    <t>PV of Total Benefit as Share of Annual Consumption</t>
  </si>
  <si>
    <t>Mean monthly income (2005 PPP USD)</t>
  </si>
  <si>
    <t>Average yearly income  (2005 PPP USD)</t>
  </si>
  <si>
    <t>Mean Annual Consumption by Group (2005 PPP USD)</t>
  </si>
  <si>
    <t>Weighted Average Annual Consumption (2005 PPP USD)</t>
  </si>
  <si>
    <t>PV of Benefit Stream per Beneficiary (2005 PPP USD)</t>
  </si>
  <si>
    <t>PV of Total Benefit Stream per Beneficiary (2005 PPP USD)</t>
  </si>
  <si>
    <t>PV of Benefits by Poverty Group (2005 PPP USD million)</t>
  </si>
  <si>
    <t xml:space="preserve">     Income Impact Share</t>
  </si>
  <si>
    <t xml:space="preserve">     Efficiency share</t>
  </si>
  <si>
    <t>Total Project</t>
  </si>
  <si>
    <t>Same as Zarqa distribution?</t>
  </si>
  <si>
    <t>Distribution of Income and Health Benefits</t>
  </si>
  <si>
    <t>Total Beneficiaries</t>
  </si>
  <si>
    <t>Zarqa Water Restructuring and Rehabilitation Project</t>
  </si>
  <si>
    <t>Zarqa Water Restructuring and Rehabilitation Project - IM Analysis</t>
  </si>
  <si>
    <t>Construction Supervisioin</t>
  </si>
  <si>
    <t>Zarqa Water Restructuring and Rehabilitation Project - Rescaled</t>
  </si>
  <si>
    <t>Compact Administration and Management Costs</t>
  </si>
  <si>
    <t>ERR including Compact Administration and Management</t>
  </si>
  <si>
    <t>Incremental Net Benefits before Compact Adminstration</t>
  </si>
  <si>
    <t>Incremental Net Benefits after Compact Administration</t>
  </si>
  <si>
    <t>Rescaled Project</t>
  </si>
  <si>
    <t>Analysis for IM</t>
  </si>
  <si>
    <t>`</t>
  </si>
  <si>
    <t>Project Improved Network Connected Population</t>
  </si>
  <si>
    <t>Total Income and Health Benefits</t>
  </si>
  <si>
    <t>Income/Health Beneficiaries are a subset of the Efficiency Beneficiaries</t>
  </si>
  <si>
    <t>NB: Beneficiary household calculation based on average of 6.4 individuals per household.</t>
  </si>
  <si>
    <t>Water Smart House Activity</t>
  </si>
  <si>
    <t>Construction Supervision</t>
  </si>
  <si>
    <t>Water Smart House costs</t>
  </si>
  <si>
    <t>MCC Costs  (USD million)</t>
  </si>
  <si>
    <t>Total capital costs including Price Contingencies</t>
  </si>
  <si>
    <t>Total capital costs excluding Price Contingencies</t>
  </si>
  <si>
    <t>M&amp;E</t>
  </si>
  <si>
    <t>Compact Administration</t>
  </si>
  <si>
    <t>Compact Administation (MCA)</t>
  </si>
  <si>
    <t>Divided evenly between network rehabiliation and waste water collection and treatment projects</t>
  </si>
  <si>
    <t>Exchange Rate (USD/JD)</t>
  </si>
  <si>
    <t>Total Incremental Costs including Compact Admin/Management Costs</t>
  </si>
  <si>
    <t xml:space="preserve">Total MCC Costs </t>
  </si>
  <si>
    <t xml:space="preserve">Construction supervision </t>
  </si>
  <si>
    <t>MCC costs of capital and construction supervision</t>
  </si>
  <si>
    <t xml:space="preserve">Sensitivity </t>
  </si>
  <si>
    <t>Capital costs variation</t>
  </si>
  <si>
    <t>Benefits variation</t>
  </si>
  <si>
    <t xml:space="preserve">  Benefits delayed 1 year </t>
  </si>
  <si>
    <t xml:space="preserve">  Incremental Costs</t>
  </si>
  <si>
    <t xml:space="preserve">  Net Incremental Benefits</t>
  </si>
  <si>
    <t>Delay in Benefits (JD million)</t>
  </si>
  <si>
    <t>Total Beneficiaries (households)</t>
  </si>
  <si>
    <t>Energy savings pumping within the network (JD)</t>
  </si>
  <si>
    <t>Connected Zarqa Population (fraction)</t>
  </si>
  <si>
    <t>ODwyer population base estimate</t>
  </si>
  <si>
    <t>variance with revised population used across analyses</t>
  </si>
  <si>
    <t>Production Savings</t>
  </si>
  <si>
    <t>DEREN:  NB. This table is used primarily to estimate delivered production cost savings</t>
  </si>
  <si>
    <t>Production cost savings less resources diverted for subsidy</t>
  </si>
  <si>
    <t>DEREN: NB: the population figures are underestimated, this is adjusted in the CBA_BD tab</t>
  </si>
  <si>
    <t>scale compared to NOD original PIP</t>
  </si>
  <si>
    <t>`````</t>
  </si>
  <si>
    <t>Compact Year</t>
  </si>
  <si>
    <t>Costs</t>
  </si>
  <si>
    <t>Investment Costs Without Project</t>
  </si>
  <si>
    <t>Direct Investment in MCC Priority Areas</t>
  </si>
  <si>
    <t>Direct Investment in Strategic Infrastructure</t>
  </si>
  <si>
    <t>Scale</t>
  </si>
  <si>
    <t>Net Benefits</t>
  </si>
  <si>
    <t>Total Costs</t>
  </si>
  <si>
    <t>ERR and Sensitivity analysis</t>
  </si>
  <si>
    <t>Last updated:  8/24/2007</t>
  </si>
  <si>
    <t>NOTES:</t>
  </si>
  <si>
    <t>Parameter type</t>
  </si>
  <si>
    <t>Description of Key Parameters</t>
  </si>
  <si>
    <t>Parameter Values</t>
  </si>
  <si>
    <t>User Input</t>
  </si>
  <si>
    <t>MCC Estimate</t>
  </si>
  <si>
    <t>Plausible range</t>
  </si>
  <si>
    <t>Values used in ERR computation</t>
  </si>
  <si>
    <t>All summary parameters set to initial values?</t>
  </si>
  <si>
    <t>Summary</t>
  </si>
  <si>
    <t>Actual costs as a percentage of estimated costs</t>
  </si>
  <si>
    <t>80% - 120%</t>
  </si>
  <si>
    <t>Actual benefits as a percentage of estimated benefits</t>
  </si>
  <si>
    <t>Specific</t>
  </si>
  <si>
    <t>More Info</t>
  </si>
  <si>
    <t>Activity Description</t>
  </si>
  <si>
    <t>User's Guide</t>
  </si>
  <si>
    <t>Economic rate of return (ERR):</t>
  </si>
  <si>
    <t>Jordan:  Zarqa Water Restructuring and Rehabilitation Project</t>
  </si>
  <si>
    <t>Total Costs in 2005 PPP</t>
  </si>
  <si>
    <t>Net Benefits in 2005 PPP</t>
  </si>
  <si>
    <t>LAST UPDATED: 1/10/2011</t>
  </si>
  <si>
    <t>PROJECT NAME</t>
  </si>
  <si>
    <t>SPREADSHEET VERSION</t>
  </si>
  <si>
    <r>
      <t>Investment memo, final</t>
    </r>
    <r>
      <rPr>
        <sz val="9"/>
        <rFont val="Arial"/>
        <family val="2"/>
      </rPr>
      <t>*</t>
    </r>
  </si>
  <si>
    <t>DATE</t>
  </si>
  <si>
    <t>AMOUNT OF MCC FUNDS</t>
  </si>
  <si>
    <t>PROJECT DESCRIPTION</t>
  </si>
  <si>
    <t>BENEFIT STREAMS INCLUDED IN THE ERR</t>
  </si>
  <si>
    <t>COSTS INCLUDED IN THE ERR (OTHER THAN COSTS BORNE BY MCC)</t>
  </si>
  <si>
    <t>None</t>
  </si>
  <si>
    <t>ESTIMATED ERR AND TIME HORIZON</t>
  </si>
  <si>
    <t>WORKSHEETS IN THIS FILE</t>
  </si>
  <si>
    <t>This sheet should be read first, as it offers a summary of the project, a list of components, and states the economic rationale for the project.</t>
  </si>
  <si>
    <t>ERR &amp; Sensitivity Analysis</t>
  </si>
  <si>
    <t xml:space="preserve">$116.51 million </t>
  </si>
  <si>
    <t>19.4% over 20 years</t>
  </si>
  <si>
    <t>The Water Network Project is designed to address high rates of water loss in the water supply networks in Zarqa and Russeifa. The project includes critical repairs to transmission and distribution pipes, as well as conversion to a gravity-fed, continuous supply mode that will replace intermittent delivery under high pressure and put considerably less strain on critical infrastructure.</t>
  </si>
  <si>
    <t>MILLENNIUM CHALLENGE CORPORATION</t>
  </si>
  <si>
    <t>Project Description</t>
  </si>
  <si>
    <t>Components</t>
  </si>
  <si>
    <t>Economic Rationale</t>
  </si>
  <si>
    <t xml:space="preserve">The Water Network Project is designed to address high rates of water loss in the water supply networks in Zarqa and Russeifa through the following means </t>
  </si>
  <si>
    <t>1.  Upgrade the region’s water supply network to better accommodate current and future demand, based on projected population growth</t>
  </si>
  <si>
    <t>2.  Convert the water supply network from direct pumping to a gravity-fed system and introduce reliable flow-measurement and pressure-measurement systems</t>
  </si>
  <si>
    <t>3.  Reduce water losses (UFW) currently estimated at 57.6 percent and ensure that higher shares of the water supply reach end consumers</t>
  </si>
  <si>
    <t>4.  Enhance revenues for the Zarqa administrative unit of WAJ and increase its financial sustainability</t>
  </si>
  <si>
    <t>5.  Provide greater access to network water thereby increasing water use and minimizing dependence on expensive alternative sources of water, particularly in areas serving impoverished population groups.</t>
  </si>
  <si>
    <t>The Zarqa Water Restructuring and Rehabilitation Project will be conducted in three phases which are</t>
  </si>
  <si>
    <r>
      <t xml:space="preserve">     1.   I</t>
    </r>
    <r>
      <rPr>
        <i/>
        <sz val="10"/>
        <rFont val="Arial"/>
        <family val="2"/>
      </rPr>
      <t>nvestments to achieve immediate solutions to current performance problems, with adequate structure and capacity to meet 2030 demand levels;</t>
    </r>
  </si>
  <si>
    <r>
      <t xml:space="preserve">     2.   I</t>
    </r>
    <r>
      <rPr>
        <i/>
        <sz val="10"/>
        <rFont val="Arial"/>
        <family val="2"/>
      </rPr>
      <t>nvestments to provide permanent solutions to defined future requirements, with a lower urgency than Phase 1 works that allow them to be deferred until demand levels reach a tipping point;</t>
    </r>
  </si>
  <si>
    <t xml:space="preserve">     3.  Investments to address potential future requirements over and above Phase 2 works.</t>
  </si>
  <si>
    <t>Improvements in the water network that reduce water losses, enable more water to reach end consumers and extend supply hours would make higher quantities of water available for use in households. Because network water is substantially less expensive than other sources of supply, these changes would favorably impact household incomes or allow consumption of higher quantities of water at a given cost. Enhanced efficiency also shifts the water “supply curve” upward, reducing quantities that must be extracted from groundwater aquifers in order to meet the consumption needs of the region’s growing population.</t>
  </si>
  <si>
    <t>30-90%</t>
  </si>
  <si>
    <t>Percentage of infrastructure &amp; without project costs devoted to MCC priority areas.</t>
  </si>
  <si>
    <t>Rescaling amount for Cost-Benefits Analysis</t>
  </si>
  <si>
    <t>.3 to .7</t>
  </si>
  <si>
    <t>This sheet contains the details for how the ERR was calculated over the 20 year contract.</t>
  </si>
  <si>
    <t>CBA_BD_Rescaled</t>
  </si>
  <si>
    <t>This cost benefit analysis contains increased details breaking down how the benefits were calculated.</t>
  </si>
  <si>
    <t>Millenium Challenge Corporation</t>
  </si>
  <si>
    <t>Across 20 years</t>
  </si>
  <si>
    <t>Total savings from switching from shop and tanker water (both socio-economic categories</t>
  </si>
  <si>
    <t>Heli</t>
  </si>
  <si>
    <t>Analysis of benefits by poverty grouping.</t>
  </si>
  <si>
    <t>Household</t>
  </si>
  <si>
    <t>Analysis of benefits by household.</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</si>
  <si>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</si>
  <si>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This sheet contains brief summary of the Zarqa Water Restructuring and Rehabilitation Project including key parameters and ERR calculations, giving the user the opportunity to test the sensitivity to the ERR of various changes in parameters.</t>
  </si>
  <si>
    <t>All specific parameters set to initial values?</t>
  </si>
  <si>
    <t>MCC Estimated ERRs:</t>
  </si>
  <si>
    <t>Original</t>
  </si>
  <si>
    <t>Date</t>
  </si>
  <si>
    <t>Present Value (PV) of Benefits:</t>
  </si>
  <si>
    <t>Present Value (PV) of MCC Costs:</t>
  </si>
  <si>
    <t>PV Total Benefits</t>
  </si>
  <si>
    <t>PV Total Costs</t>
  </si>
  <si>
    <t>Combined Cost-Benefit</t>
  </si>
  <si>
    <t>-Reductions in cost to the economy of water supply network operations and maintenance requirements including lowered costs associated with producing and delivering water to customers</t>
  </si>
  <si>
    <t>'-Health benefits related to improved hygiene among population constrained to low consumption of water.</t>
  </si>
  <si>
    <t>-Income effects upon domestic urban consumers related to the improved availability of network water supplies.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</si>
</sst>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0.0%"/>
    <numFmt numFmtId="166" formatCode="#,##0.000"/>
    <numFmt numFmtId="167" formatCode="#,##0.0000"/>
    <numFmt numFmtId="168" formatCode="0.0"/>
    <numFmt numFmtId="169" formatCode="0.000"/>
    <numFmt numFmtId="170" formatCode="0;[Red]0"/>
    <numFmt numFmtId="171" formatCode="0.000000"/>
    <numFmt numFmtId="172" formatCode="0.00000000"/>
    <numFmt numFmtId="173" formatCode="#,##0.0"/>
    <numFmt numFmtId="174" formatCode="#,##0_ ;[Red]\-#,##0\ "/>
    <numFmt numFmtId="175" formatCode="0.00,,"/>
    <numFmt numFmtId="176" formatCode="&quot;$&quot;#,##0"/>
    <numFmt numFmtId="177" formatCode="_(* #,##0_);_(* \(#,##0\);_(* &quot;-&quot;??_);_(@_)"/>
    <numFmt numFmtId="178" formatCode="&quot;$&quot;#,##0.00"/>
    <numFmt numFmtId="179" formatCode="&quot;$&quot;0.0,,"/>
    <numFmt numFmtId="180" formatCode="_(&quot;$&quot;* #,##0_);_(&quot;$&quot;* \(#,##0\);_(&quot;$&quot;* &quot;-&quot;??_);_(@_)"/>
  </numFmts>
  <fonts count="87">
    <font>
      <sz val="10"/>
      <name val="Arial"/>
      <family val="0"/>
    </font>
    <font>
      <sz val="11"/>
      <color indexed="8"/>
      <name val="Calibri"/>
      <family val="2"/>
    </font>
    <font>
      <sz val="8"/>
      <name val="Arial"/>
      <family val="2"/>
    </font>
    <font>
      <b/>
      <sz val="10"/>
      <name val="Arial"/>
      <family val="2"/>
    </font>
    <font>
      <u val="single"/>
      <sz val="10"/>
      <name val="Arial"/>
      <family val="2"/>
    </font>
    <font>
      <b/>
      <i/>
      <sz val="10"/>
      <name val="Arial"/>
      <family val="2"/>
    </font>
    <font>
      <i/>
      <sz val="10"/>
      <name val="Arial"/>
      <family val="2"/>
    </font>
    <font>
      <b/>
      <u val="single"/>
      <sz val="10"/>
      <name val="Arial"/>
      <family val="2"/>
    </font>
    <font>
      <b/>
      <sz val="10"/>
      <color indexed="9"/>
      <name val="Arial"/>
      <family val="2"/>
    </font>
    <font>
      <sz val="10"/>
      <color indexed="10"/>
      <name val="Arial"/>
      <family val="2"/>
    </font>
    <font>
      <b/>
      <sz val="10"/>
      <name val="Calibri"/>
      <family val="2"/>
    </font>
    <font>
      <sz val="10"/>
      <name val="Calibri"/>
      <family val="2"/>
    </font>
    <font>
      <sz val="10"/>
      <color indexed="8"/>
      <name val="Arial"/>
      <family val="2"/>
    </font>
    <font>
      <i/>
      <sz val="10"/>
      <name val="Calibri"/>
      <family val="2"/>
    </font>
    <font>
      <sz val="8"/>
      <name val="Tahoma"/>
      <family val="2"/>
    </font>
    <font>
      <b/>
      <sz val="12"/>
      <name val="Arial"/>
      <family val="2"/>
    </font>
    <font>
      <b/>
      <sz val="16"/>
      <name val="Arial"/>
      <family val="2"/>
    </font>
    <font>
      <b/>
      <sz val="12"/>
      <color indexed="12"/>
      <name val="Arial"/>
      <family val="2"/>
    </font>
    <font>
      <sz val="10"/>
      <color indexed="42"/>
      <name val="Arial"/>
      <family val="2"/>
    </font>
    <font>
      <b/>
      <sz val="11"/>
      <name val="Arial"/>
      <family val="2"/>
    </font>
    <font>
      <sz val="9"/>
      <name val="Arial"/>
      <family val="2"/>
    </font>
    <font>
      <b/>
      <sz val="9"/>
      <name val="Arial"/>
      <family val="2"/>
    </font>
    <font>
      <b/>
      <sz val="8"/>
      <name val="Arial"/>
      <family val="2"/>
    </font>
    <font>
      <vertAlign val="superscript"/>
      <sz val="9"/>
      <name val="Arial"/>
      <family val="2"/>
    </font>
    <font>
      <sz val="10"/>
      <color indexed="9"/>
      <name val="Arial"/>
      <family val="2"/>
    </font>
    <font>
      <sz val="9"/>
      <color indexed="12"/>
      <name val="Arial"/>
      <family val="2"/>
    </font>
    <font>
      <vertAlign val="superscript"/>
      <sz val="8"/>
      <name val="Arial"/>
      <family val="2"/>
    </font>
    <font>
      <b/>
      <sz val="10"/>
      <color indexed="12"/>
      <name val="Arial"/>
      <family val="2"/>
    </font>
    <font>
      <sz val="16"/>
      <name val="Arial"/>
      <family val="2"/>
    </font>
    <font>
      <sz val="8"/>
      <color indexed="17"/>
      <name val="Arial"/>
      <family val="2"/>
    </font>
    <font>
      <b/>
      <sz val="14"/>
      <name val="Arial"/>
      <family val="2"/>
    </font>
    <font>
      <sz val="12"/>
      <name val="Arial"/>
      <family val="2"/>
    </font>
    <font>
      <sz val="10"/>
      <color indexed="23"/>
      <name val="Arial"/>
      <family val="2"/>
    </font>
    <font>
      <b/>
      <sz val="10"/>
      <color indexed="55"/>
      <name val="Arial"/>
      <family val="2"/>
    </font>
    <font>
      <u val="single"/>
      <sz val="10"/>
      <color indexed="12"/>
      <name val="Arial"/>
      <family val="2"/>
    </font>
    <font>
      <sz val="14"/>
      <name val="Arial"/>
      <family val="2"/>
    </font>
    <font>
      <b/>
      <i/>
      <sz val="8"/>
      <name val="Arial"/>
      <family val="2"/>
    </font>
    <font>
      <sz val="8"/>
      <color indexed="57"/>
      <name val="Arial"/>
      <family val="2"/>
    </font>
    <font>
      <sz val="10"/>
      <color indexed="57"/>
      <name val="Arial"/>
      <family val="2"/>
    </font>
    <font>
      <b/>
      <sz val="16"/>
      <color indexed="8"/>
      <name val="Arial"/>
      <family val="2"/>
    </font>
    <font>
      <b/>
      <sz val="12"/>
      <color indexed="10"/>
      <name val="Arial"/>
      <family val="2"/>
    </font>
    <font>
      <b/>
      <sz val="10"/>
      <color indexed="6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75"/>
      <color indexed="8"/>
      <name val="Arial"/>
      <family val="2"/>
    </font>
    <font>
      <sz val="10.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75923C"/>
      <name val="Arial"/>
      <family val="2"/>
    </font>
    <font>
      <sz val="10"/>
      <color rgb="FF75923C"/>
      <name val="Arial"/>
      <family val="2"/>
    </font>
    <font>
      <sz val="10"/>
      <color rgb="FFFF0000"/>
      <name val="Arial"/>
      <family val="2"/>
    </font>
    <font>
      <b/>
      <sz val="10"/>
      <color theme="3" tint="0.39998000860214233"/>
      <name val="Arial"/>
      <family val="2"/>
    </font>
    <font>
      <sz val="10"/>
      <color theme="0"/>
      <name val="Arial"/>
      <family val="2"/>
    </font>
    <font>
      <sz val="10"/>
      <color theme="6" tint="-0.24997000396251678"/>
      <name val="Arial"/>
      <family val="2"/>
    </font>
    <font>
      <b/>
      <sz val="16"/>
      <color rgb="FF000000"/>
      <name val="Arial"/>
      <family val="2"/>
    </font>
    <font>
      <b/>
      <sz val="12"/>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3" tint="0.5999900102615356"/>
        <bgColor indexed="64"/>
      </patternFill>
    </fill>
    <fill>
      <patternFill patternType="solid">
        <fgColor indexed="43"/>
        <bgColor indexed="64"/>
      </patternFill>
    </fill>
    <fill>
      <patternFill patternType="solid">
        <fgColor indexed="42"/>
        <bgColor indexed="64"/>
      </patternFill>
    </fill>
    <fill>
      <patternFill patternType="solid">
        <fgColor theme="3"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right/>
      <top/>
      <bottom style="thin">
        <color indexed="39"/>
      </bottom>
    </border>
    <border>
      <left/>
      <right/>
      <top style="thin">
        <color indexed="39"/>
      </top>
      <bottom/>
    </border>
    <border>
      <left/>
      <right/>
      <top/>
      <bottom style="thin">
        <color rgb="FF0000FF"/>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style="double"/>
      <right/>
      <top style="double"/>
      <bottom/>
    </border>
    <border>
      <left/>
      <right/>
      <top style="double"/>
      <bottom/>
    </border>
    <border>
      <left/>
      <right style="double"/>
      <top style="double"/>
      <bottom/>
    </border>
    <border>
      <left style="thin"/>
      <right style="thin"/>
      <top style="thin"/>
      <bottom style="medium"/>
    </border>
    <border>
      <left style="thin">
        <color indexed="22"/>
      </left>
      <right style="thin">
        <color indexed="22"/>
      </right>
      <top style="thin">
        <color indexed="22"/>
      </top>
      <bottom style="thin">
        <color indexed="22"/>
      </bottom>
    </border>
    <border>
      <left style="thin"/>
      <right/>
      <top/>
      <bottom/>
    </border>
    <border>
      <left style="thin"/>
      <right/>
      <top style="medium"/>
      <bottom/>
    </border>
    <border>
      <left style="thin"/>
      <right style="thin"/>
      <top/>
      <bottom/>
    </border>
    <border>
      <left/>
      <right style="thin"/>
      <top/>
      <bottom/>
    </border>
    <border>
      <left/>
      <right/>
      <top style="thin"/>
      <bottom style="thin"/>
    </border>
    <border>
      <left style="thin"/>
      <right style="thin"/>
      <top style="thin"/>
      <bottom style="thin"/>
    </border>
    <border>
      <left style="thin"/>
      <right/>
      <top/>
      <bottom style="thin"/>
    </border>
    <border>
      <left style="thin"/>
      <right style="thin"/>
      <top/>
      <bottom style="thin"/>
    </border>
    <border>
      <left style="thin"/>
      <right style="thin"/>
      <top style="thin"/>
      <bottom/>
    </border>
    <border>
      <left/>
      <right style="double"/>
      <top/>
      <bottom style="double"/>
    </border>
    <border>
      <left style="thin"/>
      <right style="double"/>
      <top/>
      <bottom/>
    </border>
    <border>
      <left style="thin"/>
      <right style="double"/>
      <top style="thin"/>
      <bottom style="thin"/>
    </border>
    <border>
      <left style="thin"/>
      <right style="double"/>
      <top style="thin"/>
      <bottom/>
    </border>
    <border>
      <left style="thin"/>
      <right style="thin"/>
      <top style="double"/>
      <bottom/>
    </border>
    <border>
      <left style="thin"/>
      <right style="thin"/>
      <top/>
      <bottom style="double"/>
    </border>
    <border>
      <left style="thin"/>
      <right/>
      <top style="thin"/>
      <bottom/>
    </border>
    <border>
      <left/>
      <right/>
      <top style="thin"/>
      <bottom/>
    </border>
    <border>
      <left/>
      <right style="thin"/>
      <top style="thin"/>
      <bottom/>
    </border>
    <border>
      <left/>
      <right style="thin"/>
      <top/>
      <bottom style="thin"/>
    </border>
    <border>
      <left style="thin"/>
      <right style="double"/>
      <top/>
      <bottom style="double"/>
    </border>
    <border>
      <left style="thin"/>
      <right/>
      <top style="thin"/>
      <bottom style="thin"/>
    </border>
    <border>
      <left/>
      <right style="thin"/>
      <top style="thin"/>
      <bottom style="thin"/>
    </border>
    <border>
      <left style="double"/>
      <right/>
      <top/>
      <bottom/>
    </border>
    <border>
      <left/>
      <right style="double"/>
      <top/>
      <bottom/>
    </border>
    <border>
      <left style="double"/>
      <right/>
      <top/>
      <bottom style="double"/>
    </border>
    <border>
      <left/>
      <right/>
      <top/>
      <bottom style="double"/>
    </border>
    <border>
      <left style="thin"/>
      <right style="thin"/>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606">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3" fontId="0" fillId="0" borderId="0" xfId="0" applyNumberFormat="1" applyAlignment="1">
      <alignment/>
    </xf>
    <xf numFmtId="1" fontId="0" fillId="0" borderId="0" xfId="0" applyNumberFormat="1" applyAlignment="1">
      <alignment/>
    </xf>
    <xf numFmtId="3" fontId="3" fillId="0" borderId="0" xfId="0" applyNumberFormat="1" applyFont="1" applyAlignment="1">
      <alignment/>
    </xf>
    <xf numFmtId="1" fontId="3" fillId="0" borderId="0" xfId="0" applyNumberFormat="1" applyFont="1" applyAlignment="1">
      <alignment/>
    </xf>
    <xf numFmtId="165" fontId="0" fillId="0" borderId="0" xfId="0" applyNumberFormat="1" applyAlignment="1">
      <alignment/>
    </xf>
    <xf numFmtId="165" fontId="3" fillId="0" borderId="0" xfId="0" applyNumberFormat="1" applyFont="1" applyAlignment="1">
      <alignment/>
    </xf>
    <xf numFmtId="2" fontId="0" fillId="0" borderId="0" xfId="0" applyNumberFormat="1" applyAlignment="1">
      <alignment/>
    </xf>
    <xf numFmtId="2" fontId="3" fillId="0" borderId="0" xfId="0" applyNumberFormat="1" applyFont="1" applyAlignment="1">
      <alignment/>
    </xf>
    <xf numFmtId="3" fontId="3" fillId="33" borderId="0" xfId="0" applyNumberFormat="1" applyFont="1" applyFill="1" applyAlignment="1">
      <alignment/>
    </xf>
    <xf numFmtId="9" fontId="0" fillId="0" borderId="0" xfId="0" applyNumberFormat="1" applyAlignment="1">
      <alignment/>
    </xf>
    <xf numFmtId="167" fontId="0" fillId="0" borderId="0" xfId="0" applyNumberFormat="1" applyAlignment="1">
      <alignment/>
    </xf>
    <xf numFmtId="3" fontId="8" fillId="33" borderId="0" xfId="0" applyNumberFormat="1" applyFont="1" applyFill="1" applyAlignment="1">
      <alignment/>
    </xf>
    <xf numFmtId="3" fontId="3" fillId="34" borderId="0" xfId="0" applyNumberFormat="1" applyFont="1" applyFill="1" applyAlignment="1">
      <alignment/>
    </xf>
    <xf numFmtId="3" fontId="0" fillId="34" borderId="0" xfId="0" applyNumberFormat="1" applyFill="1" applyAlignment="1">
      <alignment/>
    </xf>
    <xf numFmtId="165" fontId="3" fillId="35" borderId="0" xfId="0" applyNumberFormat="1" applyFont="1" applyFill="1" applyAlignment="1">
      <alignment/>
    </xf>
    <xf numFmtId="3" fontId="3" fillId="35" borderId="0" xfId="0" applyNumberFormat="1" applyFont="1" applyFill="1" applyAlignment="1">
      <alignment/>
    </xf>
    <xf numFmtId="3" fontId="0" fillId="35" borderId="0" xfId="0" applyNumberFormat="1" applyFill="1" applyAlignment="1">
      <alignment/>
    </xf>
    <xf numFmtId="165" fontId="3" fillId="34" borderId="0" xfId="0" applyNumberFormat="1" applyFont="1" applyFill="1" applyAlignment="1">
      <alignment/>
    </xf>
    <xf numFmtId="1" fontId="0" fillId="34" borderId="0" xfId="0" applyNumberFormat="1" applyFill="1" applyAlignment="1">
      <alignment/>
    </xf>
    <xf numFmtId="1" fontId="0" fillId="35" borderId="0" xfId="0" applyNumberFormat="1" applyFill="1" applyAlignment="1">
      <alignment/>
    </xf>
    <xf numFmtId="3" fontId="3" fillId="0" borderId="0" xfId="0" applyNumberFormat="1" applyFont="1" applyFill="1" applyAlignment="1">
      <alignment/>
    </xf>
    <xf numFmtId="2" fontId="0" fillId="0" borderId="0" xfId="0" applyNumberFormat="1" applyFill="1" applyAlignment="1">
      <alignment/>
    </xf>
    <xf numFmtId="2" fontId="0" fillId="34" borderId="0" xfId="0" applyNumberFormat="1" applyFill="1" applyAlignment="1">
      <alignment/>
    </xf>
    <xf numFmtId="2" fontId="0" fillId="35" borderId="0" xfId="0" applyNumberFormat="1" applyFill="1" applyAlignment="1">
      <alignment/>
    </xf>
    <xf numFmtId="3" fontId="0" fillId="0" borderId="0" xfId="0" applyNumberFormat="1" applyFill="1" applyAlignment="1">
      <alignment/>
    </xf>
    <xf numFmtId="1" fontId="0" fillId="36" borderId="0" xfId="0" applyNumberFormat="1" applyFill="1" applyAlignment="1">
      <alignment/>
    </xf>
    <xf numFmtId="3" fontId="0" fillId="36" borderId="0" xfId="0" applyNumberFormat="1" applyFill="1" applyAlignment="1">
      <alignment/>
    </xf>
    <xf numFmtId="165" fontId="0" fillId="36" borderId="0" xfId="0" applyNumberFormat="1" applyFill="1" applyAlignment="1">
      <alignment/>
    </xf>
    <xf numFmtId="3" fontId="3" fillId="36" borderId="0" xfId="0" applyNumberFormat="1" applyFont="1" applyFill="1" applyAlignment="1">
      <alignment/>
    </xf>
    <xf numFmtId="2" fontId="0" fillId="36" borderId="0" xfId="0" applyNumberFormat="1" applyFill="1" applyAlignment="1">
      <alignment/>
    </xf>
    <xf numFmtId="165" fontId="3" fillId="36" borderId="0" xfId="0" applyNumberFormat="1" applyFont="1" applyFill="1" applyAlignment="1">
      <alignment/>
    </xf>
    <xf numFmtId="0" fontId="0" fillId="0" borderId="0" xfId="0" applyFont="1" applyFill="1" applyAlignment="1">
      <alignment/>
    </xf>
    <xf numFmtId="168" fontId="0" fillId="0" borderId="0" xfId="0" applyNumberFormat="1" applyAlignment="1">
      <alignment/>
    </xf>
    <xf numFmtId="0" fontId="0" fillId="0" borderId="0" xfId="0" applyFill="1" applyAlignment="1">
      <alignment/>
    </xf>
    <xf numFmtId="1" fontId="7" fillId="0" borderId="0" xfId="0" applyNumberFormat="1" applyFont="1" applyAlignment="1">
      <alignment/>
    </xf>
    <xf numFmtId="3" fontId="4" fillId="0" borderId="0" xfId="0" applyNumberFormat="1" applyFont="1" applyAlignment="1">
      <alignment/>
    </xf>
    <xf numFmtId="3" fontId="9" fillId="37" borderId="0" xfId="0" applyNumberFormat="1" applyFont="1" applyFill="1" applyAlignment="1">
      <alignment/>
    </xf>
    <xf numFmtId="0" fontId="9" fillId="37" borderId="0" xfId="0" applyFont="1" applyFill="1" applyAlignment="1">
      <alignment/>
    </xf>
    <xf numFmtId="2" fontId="9" fillId="37" borderId="0" xfId="0" applyNumberFormat="1" applyFont="1" applyFill="1" applyAlignment="1">
      <alignment/>
    </xf>
    <xf numFmtId="3" fontId="0" fillId="37" borderId="0" xfId="0" applyNumberFormat="1" applyFill="1" applyAlignment="1">
      <alignment/>
    </xf>
    <xf numFmtId="0" fontId="0" fillId="37" borderId="0" xfId="0" applyFill="1" applyAlignment="1">
      <alignment/>
    </xf>
    <xf numFmtId="2" fontId="0" fillId="37" borderId="0" xfId="0" applyNumberFormat="1" applyFill="1" applyAlignment="1">
      <alignment/>
    </xf>
    <xf numFmtId="0" fontId="9" fillId="0" borderId="0" xfId="0" applyFont="1" applyFill="1" applyAlignment="1">
      <alignment/>
    </xf>
    <xf numFmtId="3" fontId="9" fillId="0" borderId="0" xfId="0" applyNumberFormat="1" applyFont="1" applyFill="1" applyAlignment="1">
      <alignment/>
    </xf>
    <xf numFmtId="2" fontId="9" fillId="0"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2" fontId="0" fillId="0"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2" fontId="0" fillId="0" borderId="0" xfId="0" applyNumberFormat="1" applyFont="1" applyFill="1" applyAlignment="1">
      <alignment/>
    </xf>
    <xf numFmtId="165" fontId="0" fillId="0" borderId="0" xfId="0" applyNumberFormat="1" applyFont="1" applyFill="1" applyAlignment="1">
      <alignment/>
    </xf>
    <xf numFmtId="3" fontId="4" fillId="37" borderId="0" xfId="0" applyNumberFormat="1" applyFont="1" applyFill="1" applyAlignment="1">
      <alignment/>
    </xf>
    <xf numFmtId="9" fontId="0" fillId="0" borderId="0" xfId="0" applyNumberFormat="1" applyFont="1" applyFill="1" applyAlignment="1">
      <alignment/>
    </xf>
    <xf numFmtId="3" fontId="5" fillId="0" borderId="0" xfId="0" applyNumberFormat="1" applyFont="1" applyAlignment="1">
      <alignment/>
    </xf>
    <xf numFmtId="3" fontId="6" fillId="0" borderId="0" xfId="0" applyNumberFormat="1" applyFont="1" applyAlignment="1">
      <alignment/>
    </xf>
    <xf numFmtId="3" fontId="0" fillId="0" borderId="0" xfId="0" applyNumberFormat="1" applyFont="1" applyAlignment="1">
      <alignment/>
    </xf>
    <xf numFmtId="166" fontId="0" fillId="0" borderId="0" xfId="0" applyNumberFormat="1" applyAlignment="1">
      <alignment/>
    </xf>
    <xf numFmtId="9" fontId="3" fillId="0" borderId="0" xfId="0" applyNumberFormat="1" applyFont="1" applyAlignment="1">
      <alignment/>
    </xf>
    <xf numFmtId="4" fontId="0" fillId="0" borderId="0" xfId="0" applyNumberFormat="1" applyAlignment="1">
      <alignment/>
    </xf>
    <xf numFmtId="165" fontId="0" fillId="0" borderId="0" xfId="0" applyNumberFormat="1" applyFill="1" applyAlignment="1">
      <alignment/>
    </xf>
    <xf numFmtId="3" fontId="0" fillId="38" borderId="0" xfId="0" applyNumberFormat="1" applyFill="1" applyAlignment="1">
      <alignment/>
    </xf>
    <xf numFmtId="0" fontId="0" fillId="38" borderId="0" xfId="0" applyFill="1" applyAlignment="1">
      <alignment/>
    </xf>
    <xf numFmtId="2" fontId="0" fillId="38" borderId="0" xfId="0" applyNumberFormat="1" applyFill="1" applyAlignment="1">
      <alignment/>
    </xf>
    <xf numFmtId="0" fontId="0" fillId="38" borderId="0" xfId="0" applyFont="1" applyFill="1" applyAlignment="1">
      <alignment/>
    </xf>
    <xf numFmtId="1" fontId="0" fillId="0" borderId="0" xfId="0" applyNumberFormat="1" applyFill="1" applyAlignment="1">
      <alignment/>
    </xf>
    <xf numFmtId="165" fontId="4" fillId="0" borderId="0" xfId="0" applyNumberFormat="1" applyFont="1" applyAlignment="1">
      <alignment/>
    </xf>
    <xf numFmtId="1" fontId="4" fillId="0" borderId="0" xfId="0" applyNumberFormat="1" applyFont="1" applyAlignment="1">
      <alignment/>
    </xf>
    <xf numFmtId="10" fontId="0" fillId="0" borderId="0" xfId="0" applyNumberFormat="1" applyAlignment="1">
      <alignment/>
    </xf>
    <xf numFmtId="169" fontId="0" fillId="0" borderId="0" xfId="0" applyNumberFormat="1" applyAlignment="1">
      <alignment/>
    </xf>
    <xf numFmtId="3" fontId="0" fillId="0" borderId="0" xfId="0" applyNumberFormat="1" applyFont="1" applyFill="1" applyAlignment="1">
      <alignment/>
    </xf>
    <xf numFmtId="10" fontId="0" fillId="0" borderId="0" xfId="0" applyNumberFormat="1" applyFont="1" applyAlignment="1">
      <alignment/>
    </xf>
    <xf numFmtId="0" fontId="4" fillId="0" borderId="0" xfId="0" applyFont="1" applyAlignment="1">
      <alignment/>
    </xf>
    <xf numFmtId="2" fontId="0" fillId="0" borderId="0" xfId="0" applyNumberFormat="1" applyFont="1" applyAlignment="1">
      <alignment/>
    </xf>
    <xf numFmtId="1" fontId="0" fillId="0" borderId="0" xfId="0" applyNumberFormat="1" applyFont="1" applyAlignment="1">
      <alignment/>
    </xf>
    <xf numFmtId="2" fontId="0" fillId="38" borderId="0" xfId="0" applyNumberFormat="1" applyFont="1" applyFill="1" applyAlignment="1">
      <alignment/>
    </xf>
    <xf numFmtId="169" fontId="0" fillId="0" borderId="0" xfId="0" applyNumberFormat="1" applyFont="1" applyFill="1" applyAlignment="1">
      <alignment/>
    </xf>
    <xf numFmtId="9" fontId="0" fillId="0" borderId="0" xfId="0" applyNumberFormat="1" applyFont="1" applyAlignment="1">
      <alignment/>
    </xf>
    <xf numFmtId="3" fontId="0" fillId="38" borderId="0" xfId="0" applyNumberFormat="1" applyFont="1" applyFill="1" applyAlignment="1">
      <alignment/>
    </xf>
    <xf numFmtId="0" fontId="6" fillId="38" borderId="0" xfId="0" applyFont="1" applyFill="1" applyAlignment="1">
      <alignment/>
    </xf>
    <xf numFmtId="164" fontId="0" fillId="0" borderId="0" xfId="0" applyNumberFormat="1" applyFont="1" applyAlignment="1">
      <alignment/>
    </xf>
    <xf numFmtId="10" fontId="0" fillId="0" borderId="0" xfId="0" applyNumberFormat="1" applyFont="1" applyFill="1" applyAlignment="1">
      <alignment/>
    </xf>
    <xf numFmtId="10" fontId="0" fillId="0" borderId="0" xfId="0" applyNumberFormat="1" applyFont="1" applyFill="1" applyAlignment="1">
      <alignment/>
    </xf>
    <xf numFmtId="16" fontId="0" fillId="0" borderId="0" xfId="0" applyNumberFormat="1" applyFont="1" applyFill="1" applyAlignment="1">
      <alignment/>
    </xf>
    <xf numFmtId="3" fontId="4" fillId="0" borderId="0" xfId="0" applyNumberFormat="1" applyFont="1" applyFill="1" applyAlignment="1">
      <alignment/>
    </xf>
    <xf numFmtId="171" fontId="0" fillId="0" borderId="0" xfId="0" applyNumberFormat="1" applyAlignment="1">
      <alignment/>
    </xf>
    <xf numFmtId="172" fontId="0" fillId="0" borderId="0" xfId="0" applyNumberFormat="1" applyAlignment="1">
      <alignment/>
    </xf>
    <xf numFmtId="0" fontId="9" fillId="39" borderId="0" xfId="0" applyFont="1" applyFill="1" applyAlignment="1">
      <alignment/>
    </xf>
    <xf numFmtId="2" fontId="0" fillId="39" borderId="0" xfId="0" applyNumberFormat="1" applyFont="1" applyFill="1" applyAlignment="1">
      <alignment/>
    </xf>
    <xf numFmtId="0" fontId="0" fillId="39" borderId="0" xfId="0" applyFont="1" applyFill="1" applyAlignment="1">
      <alignment/>
    </xf>
    <xf numFmtId="3" fontId="0" fillId="39" borderId="0" xfId="0" applyNumberFormat="1" applyFont="1" applyFill="1" applyAlignment="1">
      <alignment/>
    </xf>
    <xf numFmtId="3" fontId="0" fillId="39" borderId="0" xfId="0" applyNumberFormat="1" applyFill="1" applyAlignment="1">
      <alignment/>
    </xf>
    <xf numFmtId="0" fontId="0" fillId="39" borderId="0" xfId="0" applyFill="1" applyAlignment="1">
      <alignment/>
    </xf>
    <xf numFmtId="2" fontId="0" fillId="39" borderId="0" xfId="0" applyNumberFormat="1" applyFill="1" applyAlignment="1">
      <alignment/>
    </xf>
    <xf numFmtId="2" fontId="0" fillId="39" borderId="0" xfId="0" applyNumberFormat="1" applyFont="1" applyFill="1" applyAlignment="1">
      <alignment/>
    </xf>
    <xf numFmtId="165" fontId="0" fillId="40" borderId="0" xfId="0" applyNumberFormat="1" applyFill="1" applyAlignment="1">
      <alignment/>
    </xf>
    <xf numFmtId="170" fontId="0" fillId="0" borderId="0" xfId="0" applyNumberFormat="1" applyFont="1" applyAlignment="1">
      <alignment/>
    </xf>
    <xf numFmtId="0" fontId="3" fillId="0" borderId="0" xfId="0" applyFont="1" applyFill="1" applyAlignment="1">
      <alignment/>
    </xf>
    <xf numFmtId="9" fontId="3" fillId="0" borderId="0" xfId="0" applyNumberFormat="1" applyFont="1" applyFill="1" applyAlignment="1">
      <alignment/>
    </xf>
    <xf numFmtId="0" fontId="0" fillId="0" borderId="0" xfId="0" applyFont="1" applyAlignment="1">
      <alignment/>
    </xf>
    <xf numFmtId="3" fontId="0" fillId="0" borderId="0" xfId="0" applyNumberFormat="1" applyFont="1" applyAlignment="1">
      <alignment/>
    </xf>
    <xf numFmtId="173" fontId="0" fillId="0" borderId="0" xfId="0" applyNumberFormat="1" applyAlignment="1">
      <alignment/>
    </xf>
    <xf numFmtId="3" fontId="4" fillId="0" borderId="0" xfId="0" applyNumberFormat="1" applyFont="1" applyAlignment="1">
      <alignment/>
    </xf>
    <xf numFmtId="3" fontId="4" fillId="0" borderId="0" xfId="0" applyNumberFormat="1" applyFont="1" applyFill="1" applyAlignment="1">
      <alignment/>
    </xf>
    <xf numFmtId="169" fontId="0" fillId="0" borderId="0" xfId="0" applyNumberFormat="1" applyFill="1" applyAlignment="1">
      <alignment/>
    </xf>
    <xf numFmtId="165" fontId="0" fillId="41" borderId="0" xfId="0" applyNumberFormat="1" applyFill="1" applyAlignment="1">
      <alignment/>
    </xf>
    <xf numFmtId="1" fontId="0" fillId="41" borderId="0" xfId="0" applyNumberFormat="1" applyFill="1" applyAlignment="1">
      <alignment/>
    </xf>
    <xf numFmtId="1" fontId="0" fillId="40" borderId="0" xfId="0" applyNumberFormat="1" applyFill="1" applyAlignment="1">
      <alignment/>
    </xf>
    <xf numFmtId="1" fontId="0" fillId="42" borderId="0" xfId="0" applyNumberFormat="1" applyFill="1" applyAlignment="1">
      <alignment/>
    </xf>
    <xf numFmtId="165" fontId="0" fillId="42" borderId="0" xfId="0" applyNumberFormat="1" applyFill="1" applyAlignment="1">
      <alignment/>
    </xf>
    <xf numFmtId="9" fontId="0" fillId="0" borderId="0" xfId="0" applyNumberFormat="1" applyFont="1" applyAlignment="1">
      <alignment/>
    </xf>
    <xf numFmtId="174" fontId="0" fillId="0" borderId="0" xfId="0" applyNumberFormat="1" applyAlignment="1">
      <alignment/>
    </xf>
    <xf numFmtId="174" fontId="0" fillId="0" borderId="0" xfId="0" applyNumberFormat="1" applyFont="1" applyAlignment="1">
      <alignment/>
    </xf>
    <xf numFmtId="2" fontId="0" fillId="0" borderId="0" xfId="0" applyNumberFormat="1" applyFont="1" applyAlignment="1">
      <alignment/>
    </xf>
    <xf numFmtId="3" fontId="0" fillId="0" borderId="0" xfId="0" applyNumberFormat="1" applyFont="1" applyFill="1" applyAlignment="1">
      <alignment/>
    </xf>
    <xf numFmtId="9" fontId="7" fillId="0" borderId="0" xfId="0" applyNumberFormat="1" applyFont="1" applyAlignment="1">
      <alignment/>
    </xf>
    <xf numFmtId="3" fontId="0" fillId="39" borderId="0" xfId="0" applyNumberFormat="1" applyFont="1" applyFill="1" applyAlignment="1">
      <alignment/>
    </xf>
    <xf numFmtId="1" fontId="0" fillId="0" borderId="0" xfId="0" applyNumberFormat="1" applyFont="1" applyAlignment="1">
      <alignment/>
    </xf>
    <xf numFmtId="10" fontId="0" fillId="39" borderId="0" xfId="0" applyNumberFormat="1" applyFill="1" applyAlignment="1">
      <alignment/>
    </xf>
    <xf numFmtId="165" fontId="0" fillId="0" borderId="0" xfId="0" applyNumberFormat="1" applyFont="1" applyFill="1" applyAlignment="1">
      <alignment/>
    </xf>
    <xf numFmtId="0" fontId="0" fillId="39" borderId="0" xfId="0" applyFont="1" applyFill="1" applyAlignment="1">
      <alignment/>
    </xf>
    <xf numFmtId="0" fontId="3" fillId="39" borderId="0" xfId="0" applyFont="1" applyFill="1" applyAlignment="1">
      <alignment/>
    </xf>
    <xf numFmtId="9" fontId="3" fillId="39" borderId="0" xfId="0" applyNumberFormat="1" applyFont="1" applyFill="1" applyAlignment="1">
      <alignment/>
    </xf>
    <xf numFmtId="9" fontId="0" fillId="0" borderId="0" xfId="70" applyFont="1" applyAlignment="1">
      <alignment/>
    </xf>
    <xf numFmtId="174" fontId="3" fillId="0" borderId="0" xfId="0" applyNumberFormat="1" applyFont="1" applyAlignment="1">
      <alignment/>
    </xf>
    <xf numFmtId="175" fontId="0" fillId="0" borderId="0" xfId="0" applyNumberFormat="1" applyAlignment="1">
      <alignment/>
    </xf>
    <xf numFmtId="175" fontId="0" fillId="0" borderId="0" xfId="0" applyNumberFormat="1" applyFont="1" applyAlignment="1">
      <alignment/>
    </xf>
    <xf numFmtId="175" fontId="0" fillId="0" borderId="0" xfId="0" applyNumberFormat="1" applyFont="1" applyAlignment="1">
      <alignment/>
    </xf>
    <xf numFmtId="175" fontId="0" fillId="0" borderId="10" xfId="0" applyNumberFormat="1" applyFont="1" applyBorder="1" applyAlignment="1">
      <alignment/>
    </xf>
    <xf numFmtId="175" fontId="0" fillId="0" borderId="10" xfId="0" applyNumberFormat="1" applyBorder="1" applyAlignment="1">
      <alignment/>
    </xf>
    <xf numFmtId="175" fontId="3" fillId="0" borderId="0" xfId="0" applyNumberFormat="1" applyFont="1" applyAlignment="1">
      <alignment/>
    </xf>
    <xf numFmtId="0" fontId="0" fillId="0" borderId="10" xfId="0" applyFont="1" applyBorder="1" applyAlignment="1">
      <alignment horizontal="right"/>
    </xf>
    <xf numFmtId="0" fontId="0" fillId="0" borderId="10" xfId="0" applyBorder="1" applyAlignment="1">
      <alignment/>
    </xf>
    <xf numFmtId="9" fontId="0" fillId="0" borderId="0" xfId="70" applyFont="1" applyAlignment="1">
      <alignment/>
    </xf>
    <xf numFmtId="9" fontId="3" fillId="0" borderId="0" xfId="70" applyFont="1" applyAlignment="1">
      <alignment/>
    </xf>
    <xf numFmtId="0" fontId="0" fillId="43" borderId="0" xfId="64" applyFont="1" applyFill="1" applyAlignment="1">
      <alignment/>
    </xf>
    <xf numFmtId="0" fontId="0" fillId="43" borderId="11" xfId="64" applyFont="1" applyFill="1" applyBorder="1" applyAlignment="1">
      <alignment/>
    </xf>
    <xf numFmtId="0" fontId="20" fillId="43" borderId="12" xfId="64" applyFont="1" applyFill="1" applyBorder="1" applyAlignment="1">
      <alignment wrapText="1"/>
    </xf>
    <xf numFmtId="176" fontId="20" fillId="43" borderId="12" xfId="64" applyNumberFormat="1" applyFont="1" applyFill="1" applyBorder="1" applyAlignment="1">
      <alignment horizontal="right" wrapText="1"/>
    </xf>
    <xf numFmtId="0" fontId="0" fillId="43" borderId="12" xfId="64" applyFont="1" applyFill="1" applyBorder="1" applyAlignment="1">
      <alignment/>
    </xf>
    <xf numFmtId="0" fontId="0" fillId="43" borderId="13" xfId="64" applyFont="1" applyFill="1" applyBorder="1" applyAlignment="1">
      <alignment/>
    </xf>
    <xf numFmtId="0" fontId="0" fillId="43" borderId="14" xfId="64" applyFont="1" applyFill="1" applyBorder="1" applyAlignment="1">
      <alignment/>
    </xf>
    <xf numFmtId="0" fontId="21" fillId="43" borderId="0" xfId="64" applyFont="1" applyFill="1" applyBorder="1" applyAlignment="1">
      <alignment wrapText="1"/>
    </xf>
    <xf numFmtId="0" fontId="20" fillId="43" borderId="0" xfId="64" applyFont="1" applyFill="1" applyBorder="1" applyAlignment="1">
      <alignment/>
    </xf>
    <xf numFmtId="0" fontId="0" fillId="43" borderId="15" xfId="64" applyFont="1" applyFill="1" applyBorder="1" applyAlignment="1">
      <alignment/>
    </xf>
    <xf numFmtId="165" fontId="21" fillId="43" borderId="0" xfId="71" applyNumberFormat="1" applyFont="1" applyFill="1" applyBorder="1" applyAlignment="1">
      <alignment horizontal="center" wrapText="1"/>
    </xf>
    <xf numFmtId="0" fontId="21" fillId="43" borderId="0" xfId="60" applyFont="1" applyFill="1" applyBorder="1" applyAlignment="1">
      <alignment wrapText="1"/>
    </xf>
    <xf numFmtId="0" fontId="21" fillId="43" borderId="0" xfId="64" applyFont="1" applyFill="1" applyBorder="1" applyAlignment="1">
      <alignment/>
    </xf>
    <xf numFmtId="0" fontId="21" fillId="43" borderId="16" xfId="64" applyFont="1" applyFill="1" applyBorder="1" applyAlignment="1">
      <alignment/>
    </xf>
    <xf numFmtId="0" fontId="21" fillId="43" borderId="16" xfId="64" applyFont="1" applyFill="1" applyBorder="1" applyAlignment="1">
      <alignment horizontal="center"/>
    </xf>
    <xf numFmtId="0" fontId="21" fillId="43" borderId="16" xfId="64" applyFont="1" applyFill="1" applyBorder="1" applyAlignment="1">
      <alignment horizontal="right"/>
    </xf>
    <xf numFmtId="0" fontId="21" fillId="43" borderId="17" xfId="64" applyFont="1" applyFill="1" applyBorder="1" applyAlignment="1">
      <alignment/>
    </xf>
    <xf numFmtId="0" fontId="21" fillId="43" borderId="17" xfId="64" applyFont="1" applyFill="1" applyBorder="1" applyAlignment="1">
      <alignment horizontal="center"/>
    </xf>
    <xf numFmtId="0" fontId="21" fillId="43" borderId="17" xfId="64" applyFont="1" applyFill="1" applyBorder="1" applyAlignment="1">
      <alignment horizontal="right"/>
    </xf>
    <xf numFmtId="3" fontId="20" fillId="43" borderId="0" xfId="64" applyNumberFormat="1" applyFont="1" applyFill="1" applyBorder="1" applyAlignment="1">
      <alignment horizontal="center" wrapText="1"/>
    </xf>
    <xf numFmtId="0" fontId="20" fillId="43" borderId="0" xfId="64" applyFont="1" applyFill="1" applyBorder="1" applyAlignment="1">
      <alignment horizontal="right" indent="2"/>
    </xf>
    <xf numFmtId="0" fontId="21" fillId="43" borderId="0" xfId="64" applyFont="1" applyFill="1" applyBorder="1" applyAlignment="1">
      <alignment horizontal="right" wrapText="1" indent="1"/>
    </xf>
    <xf numFmtId="0" fontId="20" fillId="43" borderId="0" xfId="64" applyFont="1" applyFill="1" applyBorder="1" applyAlignment="1">
      <alignment wrapText="1"/>
    </xf>
    <xf numFmtId="3" fontId="20" fillId="43" borderId="0" xfId="60" applyNumberFormat="1" applyFont="1" applyFill="1" applyAlignment="1">
      <alignment horizontal="center"/>
    </xf>
    <xf numFmtId="177" fontId="20" fillId="43" borderId="0" xfId="44" applyNumberFormat="1" applyFont="1" applyFill="1" applyBorder="1" applyAlignment="1">
      <alignment horizontal="right" wrapText="1" indent="1"/>
    </xf>
    <xf numFmtId="0" fontId="20" fillId="43" borderId="0" xfId="64" applyFont="1" applyFill="1" applyBorder="1" applyAlignment="1">
      <alignment horizontal="right" indent="1"/>
    </xf>
    <xf numFmtId="3" fontId="20" fillId="43" borderId="0" xfId="64" applyNumberFormat="1" applyFont="1" applyFill="1" applyBorder="1" applyAlignment="1">
      <alignment horizontal="right" indent="2"/>
    </xf>
    <xf numFmtId="9" fontId="20" fillId="43" borderId="0" xfId="64" applyNumberFormat="1" applyFont="1" applyFill="1" applyBorder="1" applyAlignment="1">
      <alignment horizontal="center" wrapText="1"/>
    </xf>
    <xf numFmtId="9" fontId="0" fillId="43" borderId="15" xfId="64" applyNumberFormat="1" applyFont="1" applyFill="1" applyBorder="1" applyAlignment="1">
      <alignment/>
    </xf>
    <xf numFmtId="0" fontId="20" fillId="43" borderId="16" xfId="64" applyFont="1" applyFill="1" applyBorder="1" applyAlignment="1">
      <alignment wrapText="1"/>
    </xf>
    <xf numFmtId="0" fontId="20" fillId="43" borderId="16" xfId="64" applyFont="1" applyFill="1" applyBorder="1" applyAlignment="1">
      <alignment horizontal="right" indent="2"/>
    </xf>
    <xf numFmtId="9" fontId="20" fillId="43" borderId="16" xfId="71" applyFont="1" applyFill="1" applyBorder="1" applyAlignment="1">
      <alignment horizontal="center" wrapText="1"/>
    </xf>
    <xf numFmtId="0" fontId="24" fillId="43" borderId="14" xfId="64" applyFont="1" applyFill="1" applyBorder="1" applyAlignment="1">
      <alignment/>
    </xf>
    <xf numFmtId="0" fontId="20" fillId="43" borderId="17" xfId="64" applyFont="1" applyFill="1" applyBorder="1" applyAlignment="1">
      <alignment/>
    </xf>
    <xf numFmtId="0" fontId="25" fillId="43" borderId="17" xfId="64" applyFont="1" applyFill="1" applyBorder="1" applyAlignment="1">
      <alignment horizontal="right" indent="2"/>
    </xf>
    <xf numFmtId="0" fontId="25" fillId="43" borderId="17" xfId="64" applyFont="1" applyFill="1" applyBorder="1" applyAlignment="1">
      <alignment horizontal="center"/>
    </xf>
    <xf numFmtId="9" fontId="25" fillId="43" borderId="17" xfId="71" applyFont="1" applyFill="1" applyBorder="1" applyAlignment="1">
      <alignment horizontal="center"/>
    </xf>
    <xf numFmtId="0" fontId="20" fillId="43" borderId="0" xfId="60" applyFont="1" applyFill="1" applyBorder="1" applyAlignment="1">
      <alignment wrapText="1"/>
    </xf>
    <xf numFmtId="176" fontId="20" fillId="43" borderId="0" xfId="64" applyNumberFormat="1" applyFont="1" applyFill="1" applyBorder="1" applyAlignment="1">
      <alignment horizontal="center" vertical="center"/>
    </xf>
    <xf numFmtId="0" fontId="20" fillId="43" borderId="0" xfId="64" applyFont="1" applyFill="1" applyBorder="1" applyAlignment="1">
      <alignment horizontal="left" vertical="center" indent="2"/>
    </xf>
    <xf numFmtId="178" fontId="0" fillId="43" borderId="15" xfId="64" applyNumberFormat="1" applyFont="1" applyFill="1" applyBorder="1" applyAlignment="1">
      <alignment/>
    </xf>
    <xf numFmtId="176" fontId="0" fillId="43" borderId="0" xfId="64" applyNumberFormat="1" applyFont="1" applyFill="1" applyAlignment="1">
      <alignment/>
    </xf>
    <xf numFmtId="0" fontId="20" fillId="43" borderId="16" xfId="60" applyFont="1" applyFill="1" applyBorder="1" applyAlignment="1">
      <alignment/>
    </xf>
    <xf numFmtId="9" fontId="20" fillId="43" borderId="16" xfId="71" applyNumberFormat="1" applyFont="1" applyFill="1" applyBorder="1" applyAlignment="1">
      <alignment horizontal="center" vertical="center"/>
    </xf>
    <xf numFmtId="0" fontId="25" fillId="43" borderId="16" xfId="64" applyFont="1" applyFill="1" applyBorder="1" applyAlignment="1">
      <alignment horizontal="right" indent="2"/>
    </xf>
    <xf numFmtId="0" fontId="20" fillId="43" borderId="17" xfId="64" applyFont="1" applyFill="1" applyBorder="1" applyAlignment="1">
      <alignment wrapText="1"/>
    </xf>
    <xf numFmtId="9" fontId="25" fillId="43" borderId="17" xfId="64" applyNumberFormat="1" applyFont="1" applyFill="1" applyBorder="1" applyAlignment="1">
      <alignment horizontal="center"/>
    </xf>
    <xf numFmtId="0" fontId="25" fillId="43" borderId="16" xfId="64" applyFont="1" applyFill="1" applyBorder="1" applyAlignment="1">
      <alignment horizontal="center"/>
    </xf>
    <xf numFmtId="0" fontId="25" fillId="43" borderId="0" xfId="64" applyFont="1" applyFill="1" applyBorder="1" applyAlignment="1">
      <alignment horizontal="right" indent="2"/>
    </xf>
    <xf numFmtId="0" fontId="25" fillId="43" borderId="0" xfId="64" applyFont="1" applyFill="1" applyBorder="1" applyAlignment="1">
      <alignment horizontal="center"/>
    </xf>
    <xf numFmtId="0" fontId="0" fillId="43" borderId="14" xfId="60" applyFill="1" applyBorder="1" applyAlignment="1">
      <alignment/>
    </xf>
    <xf numFmtId="0" fontId="20" fillId="43" borderId="18" xfId="60" applyFont="1" applyFill="1" applyBorder="1" applyAlignment="1">
      <alignment/>
    </xf>
    <xf numFmtId="2" fontId="20" fillId="43" borderId="18" xfId="60" applyNumberFormat="1" applyFont="1" applyFill="1" applyBorder="1" applyAlignment="1">
      <alignment horizontal="center" vertical="center"/>
    </xf>
    <xf numFmtId="2" fontId="25" fillId="43" borderId="18" xfId="60" applyNumberFormat="1" applyFont="1" applyFill="1" applyBorder="1" applyAlignment="1">
      <alignment horizontal="center"/>
    </xf>
    <xf numFmtId="2" fontId="20" fillId="43" borderId="16" xfId="47" applyNumberFormat="1" applyFont="1" applyFill="1" applyBorder="1" applyAlignment="1">
      <alignment horizontal="center"/>
    </xf>
    <xf numFmtId="0" fontId="0" fillId="43" borderId="15" xfId="60" applyFill="1" applyBorder="1" applyAlignment="1">
      <alignment/>
    </xf>
    <xf numFmtId="7" fontId="0" fillId="43" borderId="0" xfId="60" applyNumberFormat="1" applyFill="1" applyAlignment="1">
      <alignment/>
    </xf>
    <xf numFmtId="0" fontId="0" fillId="43" borderId="14" xfId="0" applyFill="1" applyBorder="1" applyAlignment="1">
      <alignment/>
    </xf>
    <xf numFmtId="0" fontId="20" fillId="43" borderId="17" xfId="0" applyFont="1" applyFill="1" applyBorder="1" applyAlignment="1">
      <alignment wrapText="1"/>
    </xf>
    <xf numFmtId="0" fontId="25" fillId="43" borderId="17" xfId="0" applyFont="1" applyFill="1" applyBorder="1" applyAlignment="1">
      <alignment horizontal="center" vertical="center"/>
    </xf>
    <xf numFmtId="9" fontId="25" fillId="43" borderId="17" xfId="0" applyNumberFormat="1" applyFont="1" applyFill="1" applyBorder="1" applyAlignment="1">
      <alignment horizontal="center" vertical="center"/>
    </xf>
    <xf numFmtId="0" fontId="0" fillId="43" borderId="15" xfId="0" applyFill="1" applyBorder="1" applyAlignment="1">
      <alignment/>
    </xf>
    <xf numFmtId="0" fontId="0" fillId="43" borderId="0" xfId="0" applyFill="1" applyAlignment="1">
      <alignment/>
    </xf>
    <xf numFmtId="0" fontId="21" fillId="43" borderId="0" xfId="0" applyFont="1" applyFill="1" applyBorder="1" applyAlignment="1">
      <alignment wrapText="1"/>
    </xf>
    <xf numFmtId="9" fontId="20" fillId="0" borderId="0" xfId="71" applyFont="1" applyFill="1" applyBorder="1" applyAlignment="1">
      <alignment horizontal="center" vertical="center"/>
    </xf>
    <xf numFmtId="44" fontId="20" fillId="43" borderId="0" xfId="47" applyFont="1" applyFill="1" applyBorder="1" applyAlignment="1">
      <alignment horizontal="center" vertical="center"/>
    </xf>
    <xf numFmtId="7" fontId="20" fillId="43" borderId="0" xfId="47" applyNumberFormat="1" applyFont="1" applyFill="1" applyBorder="1" applyAlignment="1">
      <alignment horizontal="center" vertical="center" wrapText="1"/>
    </xf>
    <xf numFmtId="178" fontId="0" fillId="43" borderId="0" xfId="0" applyNumberFormat="1" applyFill="1" applyAlignment="1">
      <alignment/>
    </xf>
    <xf numFmtId="0" fontId="20" fillId="43" borderId="0" xfId="0" applyFont="1" applyFill="1" applyBorder="1" applyAlignment="1">
      <alignment wrapText="1"/>
    </xf>
    <xf numFmtId="7" fontId="20" fillId="43" borderId="0" xfId="47" applyNumberFormat="1" applyFont="1" applyFill="1" applyBorder="1" applyAlignment="1">
      <alignment horizontal="center" vertical="center"/>
    </xf>
    <xf numFmtId="176" fontId="20" fillId="43" borderId="0" xfId="60" applyNumberFormat="1" applyFont="1" applyFill="1" applyBorder="1" applyAlignment="1">
      <alignment horizontal="center" wrapText="1"/>
    </xf>
    <xf numFmtId="44" fontId="20" fillId="43" borderId="0" xfId="47" applyFont="1" applyFill="1" applyBorder="1" applyAlignment="1">
      <alignment horizontal="right" indent="2"/>
    </xf>
    <xf numFmtId="7" fontId="20" fillId="43" borderId="0" xfId="47" applyNumberFormat="1" applyFont="1" applyFill="1" applyBorder="1" applyAlignment="1">
      <alignment horizontal="right" wrapText="1" indent="1"/>
    </xf>
    <xf numFmtId="178" fontId="0" fillId="43" borderId="0" xfId="60" applyNumberFormat="1" applyFill="1" applyAlignment="1">
      <alignment/>
    </xf>
    <xf numFmtId="0" fontId="20" fillId="43" borderId="0" xfId="60" applyFont="1" applyFill="1" applyBorder="1" applyAlignment="1">
      <alignment/>
    </xf>
    <xf numFmtId="3" fontId="20" fillId="43" borderId="0" xfId="44" applyNumberFormat="1" applyFont="1" applyFill="1" applyBorder="1" applyAlignment="1">
      <alignment horizontal="center" wrapText="1"/>
    </xf>
    <xf numFmtId="176" fontId="20" fillId="43" borderId="0" xfId="60" applyNumberFormat="1" applyFont="1" applyFill="1" applyBorder="1" applyAlignment="1">
      <alignment horizontal="right" wrapText="1"/>
    </xf>
    <xf numFmtId="0" fontId="2" fillId="43" borderId="0" xfId="60" applyFont="1" applyFill="1" applyBorder="1" applyAlignment="1">
      <alignment/>
    </xf>
    <xf numFmtId="0" fontId="20" fillId="43" borderId="0" xfId="60" applyFont="1" applyFill="1" applyBorder="1" applyAlignment="1">
      <alignment/>
    </xf>
    <xf numFmtId="9" fontId="20" fillId="43" borderId="0" xfId="60" applyNumberFormat="1" applyFont="1" applyFill="1" applyBorder="1" applyAlignment="1">
      <alignment wrapText="1"/>
    </xf>
    <xf numFmtId="0" fontId="26" fillId="43" borderId="0" xfId="60" applyFont="1" applyFill="1" applyBorder="1" applyAlignment="1">
      <alignment horizontal="left"/>
    </xf>
    <xf numFmtId="0" fontId="0" fillId="43" borderId="0" xfId="60" applyFill="1" applyBorder="1" applyAlignment="1">
      <alignment/>
    </xf>
    <xf numFmtId="0" fontId="26" fillId="43" borderId="0" xfId="60" applyFont="1" applyFill="1" applyBorder="1" applyAlignment="1">
      <alignment/>
    </xf>
    <xf numFmtId="0" fontId="0" fillId="43" borderId="0" xfId="64" applyFont="1" applyFill="1" applyBorder="1" applyAlignment="1">
      <alignment/>
    </xf>
    <xf numFmtId="0" fontId="0" fillId="43" borderId="19" xfId="64" applyFont="1" applyFill="1" applyBorder="1" applyAlignment="1">
      <alignment/>
    </xf>
    <xf numFmtId="0" fontId="26" fillId="43" borderId="20" xfId="60" applyFont="1" applyFill="1" applyBorder="1" applyAlignment="1">
      <alignment/>
    </xf>
    <xf numFmtId="0" fontId="0" fillId="43" borderId="20" xfId="60" applyFill="1" applyBorder="1" applyAlignment="1">
      <alignment/>
    </xf>
    <xf numFmtId="0" fontId="0" fillId="43" borderId="21" xfId="64" applyFont="1" applyFill="1" applyBorder="1" applyAlignment="1">
      <alignment/>
    </xf>
    <xf numFmtId="0" fontId="15" fillId="43" borderId="0" xfId="64" applyFont="1" applyFill="1" applyBorder="1" applyAlignment="1">
      <alignment/>
    </xf>
    <xf numFmtId="0" fontId="17" fillId="43" borderId="0" xfId="64" applyFont="1" applyFill="1" applyBorder="1" applyAlignment="1">
      <alignment/>
    </xf>
    <xf numFmtId="0" fontId="18" fillId="43" borderId="0" xfId="64" applyFont="1" applyFill="1" applyBorder="1" applyAlignment="1">
      <alignment/>
    </xf>
    <xf numFmtId="0" fontId="19" fillId="43" borderId="0" xfId="64" applyFont="1" applyFill="1" applyBorder="1" applyAlignment="1">
      <alignment horizontal="right"/>
    </xf>
    <xf numFmtId="176" fontId="20" fillId="43" borderId="0" xfId="64" applyNumberFormat="1" applyFont="1" applyFill="1" applyBorder="1" applyAlignment="1">
      <alignment horizontal="right" wrapText="1"/>
    </xf>
    <xf numFmtId="179" fontId="21" fillId="43" borderId="0" xfId="64" applyNumberFormat="1" applyFont="1" applyFill="1" applyBorder="1" applyAlignment="1">
      <alignment horizontal="center" wrapText="1"/>
    </xf>
    <xf numFmtId="10" fontId="0" fillId="0" borderId="0" xfId="0" applyNumberFormat="1" applyFill="1" applyBorder="1" applyAlignment="1">
      <alignment/>
    </xf>
    <xf numFmtId="165" fontId="0" fillId="0" borderId="0" xfId="70" applyNumberFormat="1" applyFont="1" applyAlignment="1">
      <alignment/>
    </xf>
    <xf numFmtId="0" fontId="0" fillId="0" borderId="10" xfId="0" applyFont="1" applyBorder="1" applyAlignment="1">
      <alignment horizontal="center"/>
    </xf>
    <xf numFmtId="16" fontId="0" fillId="0" borderId="10" xfId="0" applyNumberFormat="1" applyFont="1" applyBorder="1" applyAlignment="1" quotePrefix="1">
      <alignment horizontal="center"/>
    </xf>
    <xf numFmtId="9" fontId="0" fillId="39" borderId="0" xfId="0" applyNumberFormat="1" applyFill="1" applyAlignment="1">
      <alignment/>
    </xf>
    <xf numFmtId="165" fontId="0" fillId="0" borderId="0" xfId="70" applyNumberFormat="1" applyFont="1" applyAlignment="1">
      <alignment/>
    </xf>
    <xf numFmtId="9" fontId="0" fillId="39" borderId="0" xfId="70" applyFont="1" applyFill="1" applyAlignment="1">
      <alignment/>
    </xf>
    <xf numFmtId="10" fontId="0" fillId="39" borderId="0" xfId="0" applyNumberFormat="1" applyFill="1" applyBorder="1" applyAlignment="1">
      <alignment/>
    </xf>
    <xf numFmtId="9" fontId="0" fillId="0" borderId="0" xfId="0" applyNumberFormat="1" applyFont="1" applyBorder="1" applyAlignment="1">
      <alignment horizontal="right"/>
    </xf>
    <xf numFmtId="165" fontId="0" fillId="0" borderId="0" xfId="0" applyNumberFormat="1" applyFont="1" applyBorder="1" applyAlignment="1">
      <alignment horizontal="right"/>
    </xf>
    <xf numFmtId="1" fontId="0" fillId="0" borderId="0" xfId="0" applyNumberFormat="1" applyAlignment="1">
      <alignment horizontal="right"/>
    </xf>
    <xf numFmtId="1" fontId="25" fillId="43" borderId="16" xfId="64" applyNumberFormat="1" applyFont="1" applyFill="1" applyBorder="1" applyAlignment="1">
      <alignment horizontal="right" indent="2"/>
    </xf>
    <xf numFmtId="174" fontId="0" fillId="0" borderId="0" xfId="0" applyNumberFormat="1" applyFont="1" applyAlignment="1">
      <alignment/>
    </xf>
    <xf numFmtId="1" fontId="0" fillId="44" borderId="0" xfId="0" applyNumberFormat="1" applyFill="1" applyAlignment="1">
      <alignment/>
    </xf>
    <xf numFmtId="165" fontId="0" fillId="39" borderId="0" xfId="0" applyNumberFormat="1" applyFont="1" applyFill="1" applyAlignment="1">
      <alignment/>
    </xf>
    <xf numFmtId="168" fontId="0" fillId="0" borderId="0" xfId="70" applyNumberFormat="1" applyFont="1" applyAlignment="1">
      <alignment/>
    </xf>
    <xf numFmtId="178" fontId="0" fillId="0" borderId="0" xfId="0" applyNumberFormat="1" applyAlignment="1">
      <alignment/>
    </xf>
    <xf numFmtId="0" fontId="0" fillId="0" borderId="0" xfId="0" applyBorder="1" applyAlignment="1">
      <alignment/>
    </xf>
    <xf numFmtId="0" fontId="0" fillId="0" borderId="0" xfId="66" applyFont="1" applyAlignment="1">
      <alignment vertical="center"/>
    </xf>
    <xf numFmtId="0" fontId="0" fillId="0" borderId="0" xfId="66" applyFont="1" applyAlignment="1">
      <alignment vertical="center" wrapText="1"/>
    </xf>
    <xf numFmtId="0" fontId="0" fillId="0" borderId="0" xfId="66" applyFont="1" applyAlignment="1">
      <alignment horizontal="center" vertical="center"/>
    </xf>
    <xf numFmtId="0" fontId="29" fillId="0" borderId="0" xfId="66" applyFont="1" applyAlignment="1">
      <alignment horizontal="right" vertical="center"/>
    </xf>
    <xf numFmtId="0" fontId="0" fillId="0" borderId="22" xfId="66" applyFont="1" applyBorder="1" applyAlignment="1">
      <alignment vertical="center"/>
    </xf>
    <xf numFmtId="0" fontId="0" fillId="0" borderId="23" xfId="66" applyFont="1" applyBorder="1" applyAlignment="1">
      <alignment vertical="center" wrapText="1"/>
    </xf>
    <xf numFmtId="0" fontId="0" fillId="0" borderId="23" xfId="66" applyFont="1" applyBorder="1" applyAlignment="1">
      <alignment vertical="center"/>
    </xf>
    <xf numFmtId="0" fontId="0" fillId="0" borderId="23" xfId="66" applyFont="1" applyBorder="1" applyAlignment="1">
      <alignment horizontal="center" vertical="center"/>
    </xf>
    <xf numFmtId="0" fontId="0" fillId="0" borderId="24" xfId="66" applyFont="1" applyBorder="1" applyAlignment="1">
      <alignment vertical="center"/>
    </xf>
    <xf numFmtId="0" fontId="17" fillId="0" borderId="25" xfId="66" applyFont="1" applyBorder="1" applyAlignment="1">
      <alignment horizontal="center" vertical="center" wrapText="1"/>
    </xf>
    <xf numFmtId="0" fontId="31" fillId="0" borderId="25" xfId="66" applyFont="1" applyBorder="1" applyAlignment="1">
      <alignment horizontal="center" vertical="center" wrapText="1"/>
    </xf>
    <xf numFmtId="0" fontId="32" fillId="0" borderId="26" xfId="66" applyFont="1" applyBorder="1" applyAlignment="1">
      <alignment horizontal="center" vertical="center" wrapText="1"/>
    </xf>
    <xf numFmtId="0" fontId="0" fillId="0" borderId="27" xfId="66" applyFont="1" applyBorder="1" applyAlignment="1">
      <alignment vertical="center"/>
    </xf>
    <xf numFmtId="0" fontId="0" fillId="0" borderId="28" xfId="66" applyFont="1" applyBorder="1" applyAlignment="1">
      <alignment vertical="center" wrapText="1"/>
    </xf>
    <xf numFmtId="9" fontId="27" fillId="45" borderId="29" xfId="66" applyNumberFormat="1" applyFont="1" applyFill="1" applyBorder="1" applyAlignment="1">
      <alignment horizontal="center" vertical="center" wrapText="1"/>
    </xf>
    <xf numFmtId="9" fontId="0" fillId="0" borderId="29" xfId="66" applyNumberFormat="1" applyFont="1" applyFill="1" applyBorder="1" applyAlignment="1">
      <alignment horizontal="center" vertical="center" wrapText="1"/>
    </xf>
    <xf numFmtId="9" fontId="0" fillId="0" borderId="30" xfId="66" applyNumberFormat="1" applyFont="1" applyFill="1" applyBorder="1" applyAlignment="1">
      <alignment horizontal="center" vertical="center" wrapText="1"/>
    </xf>
    <xf numFmtId="9" fontId="0" fillId="46" borderId="30" xfId="66" applyNumberFormat="1" applyFont="1" applyFill="1" applyBorder="1" applyAlignment="1">
      <alignment horizontal="center" vertical="center"/>
    </xf>
    <xf numFmtId="0" fontId="33" fillId="0" borderId="26" xfId="66" applyFont="1" applyFill="1" applyBorder="1" applyAlignment="1">
      <alignment horizontal="center" vertical="center" wrapText="1"/>
    </xf>
    <xf numFmtId="0" fontId="0" fillId="0" borderId="29" xfId="66" applyFont="1" applyFill="1" applyBorder="1" applyAlignment="1">
      <alignment vertical="center"/>
    </xf>
    <xf numFmtId="0" fontId="0" fillId="0" borderId="27" xfId="66" applyFont="1" applyBorder="1" applyAlignment="1">
      <alignment vertical="center" wrapText="1"/>
    </xf>
    <xf numFmtId="0" fontId="0" fillId="0" borderId="0" xfId="66" applyFont="1" applyBorder="1" applyAlignment="1">
      <alignment vertical="center"/>
    </xf>
    <xf numFmtId="0" fontId="0" fillId="0" borderId="31" xfId="66" applyFont="1" applyFill="1" applyBorder="1" applyAlignment="1">
      <alignment vertical="center"/>
    </xf>
    <xf numFmtId="0" fontId="0" fillId="0" borderId="31" xfId="66" applyFont="1" applyBorder="1" applyAlignment="1">
      <alignment vertical="center" wrapText="1"/>
    </xf>
    <xf numFmtId="9" fontId="27" fillId="0" borderId="31" xfId="66" applyNumberFormat="1" applyFont="1" applyFill="1" applyBorder="1" applyAlignment="1">
      <alignment horizontal="center" vertical="center" wrapText="1"/>
    </xf>
    <xf numFmtId="9" fontId="0" fillId="0" borderId="31" xfId="66" applyNumberFormat="1" applyFont="1" applyFill="1" applyBorder="1" applyAlignment="1">
      <alignment horizontal="center" vertical="center" wrapText="1"/>
    </xf>
    <xf numFmtId="9" fontId="0" fillId="0" borderId="31" xfId="66" applyNumberFormat="1" applyFont="1" applyFill="1" applyBorder="1" applyAlignment="1">
      <alignment horizontal="center" vertical="center"/>
    </xf>
    <xf numFmtId="0" fontId="0" fillId="0" borderId="27" xfId="63" applyFont="1" applyFill="1" applyBorder="1" applyAlignment="1">
      <alignment vertical="center" wrapText="1"/>
      <protection/>
    </xf>
    <xf numFmtId="0" fontId="0" fillId="0" borderId="29" xfId="63" applyFont="1" applyFill="1" applyBorder="1" applyAlignment="1">
      <alignment vertical="center" wrapText="1"/>
      <protection/>
    </xf>
    <xf numFmtId="10" fontId="27" fillId="45" borderId="27" xfId="63" applyNumberFormat="1" applyFont="1" applyFill="1" applyBorder="1" applyAlignment="1">
      <alignment horizontal="center" vertical="center" wrapText="1"/>
      <protection/>
    </xf>
    <xf numFmtId="10" fontId="0" fillId="0" borderId="29" xfId="66" applyNumberFormat="1" applyFont="1" applyFill="1" applyBorder="1" applyAlignment="1">
      <alignment horizontal="center" vertical="center" wrapText="1"/>
    </xf>
    <xf numFmtId="10" fontId="0" fillId="46" borderId="29" xfId="66" applyNumberFormat="1" applyFont="1" applyFill="1" applyBorder="1" applyAlignment="1">
      <alignment horizontal="center" vertical="center"/>
    </xf>
    <xf numFmtId="0" fontId="3" fillId="0" borderId="32" xfId="66" applyFont="1" applyBorder="1" applyAlignment="1">
      <alignment horizontal="center" vertical="center"/>
    </xf>
    <xf numFmtId="0" fontId="0" fillId="0" borderId="0" xfId="66" applyFont="1" applyAlignment="1">
      <alignment horizontal="left" vertical="center"/>
    </xf>
    <xf numFmtId="0" fontId="0" fillId="0" borderId="33" xfId="63" applyFont="1" applyFill="1" applyBorder="1" applyAlignment="1">
      <alignment vertical="center" wrapText="1"/>
      <protection/>
    </xf>
    <xf numFmtId="0" fontId="0" fillId="0" borderId="34" xfId="63" applyFont="1" applyFill="1" applyBorder="1" applyAlignment="1">
      <alignment vertical="center" wrapText="1"/>
      <protection/>
    </xf>
    <xf numFmtId="2" fontId="27" fillId="45" borderId="33" xfId="63" applyNumberFormat="1" applyFont="1" applyFill="1" applyBorder="1" applyAlignment="1">
      <alignment horizontal="center" vertical="center" wrapText="1"/>
      <protection/>
    </xf>
    <xf numFmtId="2" fontId="0" fillId="0" borderId="34" xfId="66" applyNumberFormat="1" applyFont="1" applyFill="1" applyBorder="1" applyAlignment="1">
      <alignment horizontal="center" vertical="center" wrapText="1"/>
    </xf>
    <xf numFmtId="2" fontId="0" fillId="0" borderId="34" xfId="66" applyNumberFormat="1" applyFont="1" applyFill="1" applyBorder="1" applyAlignment="1">
      <alignment horizontal="center" vertical="center" shrinkToFit="1"/>
    </xf>
    <xf numFmtId="2" fontId="0" fillId="46" borderId="34" xfId="66" applyNumberFormat="1" applyFont="1" applyFill="1" applyBorder="1" applyAlignment="1">
      <alignment horizontal="center" vertical="center"/>
    </xf>
    <xf numFmtId="0" fontId="71" fillId="0" borderId="35" xfId="54" applyFont="1" applyBorder="1" applyAlignment="1" applyProtection="1">
      <alignment horizontal="center" vertical="center"/>
      <protection/>
    </xf>
    <xf numFmtId="9" fontId="0" fillId="0" borderId="0" xfId="66" applyNumberFormat="1" applyFont="1" applyAlignment="1">
      <alignment vertical="center"/>
    </xf>
    <xf numFmtId="0" fontId="0" fillId="0" borderId="0" xfId="63" applyFont="1" applyAlignment="1">
      <alignment vertical="center"/>
      <protection/>
    </xf>
    <xf numFmtId="0" fontId="34" fillId="0" borderId="34" xfId="55" applyFont="1" applyBorder="1" applyAlignment="1" applyProtection="1">
      <alignment horizontal="center" vertical="center"/>
      <protection/>
    </xf>
    <xf numFmtId="0" fontId="3" fillId="0" borderId="0" xfId="66" applyFont="1" applyAlignment="1">
      <alignment horizontal="right" vertical="center"/>
    </xf>
    <xf numFmtId="165" fontId="8" fillId="37" borderId="32" xfId="66" applyNumberFormat="1" applyFont="1" applyFill="1" applyBorder="1" applyAlignment="1">
      <alignment horizontal="center" vertical="center"/>
    </xf>
    <xf numFmtId="0" fontId="3" fillId="0" borderId="0" xfId="66" applyFont="1" applyBorder="1" applyAlignment="1">
      <alignment vertical="center"/>
    </xf>
    <xf numFmtId="165" fontId="8" fillId="0" borderId="0" xfId="66" applyNumberFormat="1" applyFont="1" applyFill="1" applyBorder="1" applyAlignment="1">
      <alignment horizontal="center" vertical="center"/>
    </xf>
    <xf numFmtId="0" fontId="34" fillId="0" borderId="0" xfId="56" applyFont="1" applyBorder="1" applyAlignment="1" applyProtection="1">
      <alignment vertical="center"/>
      <protection/>
    </xf>
    <xf numFmtId="0" fontId="34" fillId="0" borderId="0" xfId="55" applyFont="1" applyBorder="1" applyAlignment="1" applyProtection="1">
      <alignment vertical="center"/>
      <protection/>
    </xf>
    <xf numFmtId="0" fontId="15" fillId="0" borderId="0" xfId="60" applyFont="1" applyFill="1" applyAlignment="1">
      <alignment horizontal="left" vertical="center" wrapText="1"/>
    </xf>
    <xf numFmtId="0" fontId="3" fillId="0" borderId="35" xfId="0" applyFont="1" applyBorder="1" applyAlignment="1">
      <alignment/>
    </xf>
    <xf numFmtId="0" fontId="0" fillId="0" borderId="0" xfId="61">
      <alignment/>
      <protection/>
    </xf>
    <xf numFmtId="0" fontId="16" fillId="0" borderId="0" xfId="61" applyFont="1" applyAlignment="1">
      <alignment vertical="center"/>
      <protection/>
    </xf>
    <xf numFmtId="0" fontId="0" fillId="0" borderId="36" xfId="61" applyFont="1" applyBorder="1" applyAlignment="1">
      <alignment horizontal="center" vertical="center" wrapText="1"/>
      <protection/>
    </xf>
    <xf numFmtId="0" fontId="0" fillId="0" borderId="37" xfId="61" applyFont="1" applyBorder="1" applyAlignment="1">
      <alignment horizontal="left" vertical="center" wrapText="1"/>
      <protection/>
    </xf>
    <xf numFmtId="14" fontId="0" fillId="0" borderId="38" xfId="61" applyNumberFormat="1" applyFont="1" applyBorder="1" applyAlignment="1">
      <alignment horizontal="left" vertical="center" wrapText="1"/>
      <protection/>
    </xf>
    <xf numFmtId="0" fontId="0" fillId="0" borderId="38" xfId="61" applyFont="1" applyBorder="1" applyAlignment="1">
      <alignment vertical="center" wrapText="1"/>
      <protection/>
    </xf>
    <xf numFmtId="0" fontId="0" fillId="0" borderId="39" xfId="61" applyFont="1" applyBorder="1" applyAlignment="1">
      <alignment horizontal="left" vertical="center" wrapText="1"/>
      <protection/>
    </xf>
    <xf numFmtId="0" fontId="0" fillId="0" borderId="39" xfId="61" applyFont="1" applyBorder="1" applyAlignment="1">
      <alignment horizontal="left" vertical="top" wrapText="1"/>
      <protection/>
    </xf>
    <xf numFmtId="0" fontId="0" fillId="0" borderId="37" xfId="61" applyFont="1" applyBorder="1" applyAlignment="1">
      <alignment vertical="top" wrapText="1"/>
      <protection/>
    </xf>
    <xf numFmtId="0" fontId="71" fillId="0" borderId="37" xfId="54" applyBorder="1" applyAlignment="1" applyProtection="1">
      <alignment/>
      <protection/>
    </xf>
    <xf numFmtId="0" fontId="0" fillId="0" borderId="40" xfId="61" applyFont="1" applyBorder="1" applyAlignment="1">
      <alignment vertical="center" wrapText="1"/>
      <protection/>
    </xf>
    <xf numFmtId="0" fontId="0" fillId="0" borderId="41" xfId="61" applyFont="1" applyBorder="1" applyAlignment="1">
      <alignment vertical="center" wrapText="1"/>
      <protection/>
    </xf>
    <xf numFmtId="0" fontId="0" fillId="0" borderId="29" xfId="61" applyFont="1" applyBorder="1" applyAlignment="1">
      <alignment horizontal="left" vertical="center" wrapText="1"/>
      <protection/>
    </xf>
    <xf numFmtId="0" fontId="0" fillId="0" borderId="32" xfId="61" applyFont="1" applyBorder="1" applyAlignment="1">
      <alignment horizontal="left" vertical="center" wrapText="1"/>
      <protection/>
    </xf>
    <xf numFmtId="0" fontId="0" fillId="0" borderId="32" xfId="61" applyFont="1" applyFill="1" applyBorder="1" applyAlignment="1">
      <alignment horizontal="left" vertical="center" wrapText="1"/>
      <protection/>
    </xf>
    <xf numFmtId="0" fontId="0" fillId="0" borderId="35" xfId="61" applyFont="1" applyFill="1" applyBorder="1" applyAlignment="1">
      <alignment horizontal="left" vertical="top" wrapText="1"/>
      <protection/>
    </xf>
    <xf numFmtId="0" fontId="0" fillId="0" borderId="29" xfId="61" applyBorder="1">
      <alignment/>
      <protection/>
    </xf>
    <xf numFmtId="0" fontId="0" fillId="0" borderId="24" xfId="61" applyFont="1" applyBorder="1" applyAlignment="1">
      <alignment horizontal="center" vertical="center" wrapText="1"/>
      <protection/>
    </xf>
    <xf numFmtId="0" fontId="0" fillId="0" borderId="0" xfId="62" applyAlignment="1">
      <alignment/>
      <protection/>
    </xf>
    <xf numFmtId="0" fontId="16" fillId="0" borderId="0" xfId="62" applyFont="1" applyAlignment="1">
      <alignment horizontal="center" vertical="center"/>
      <protection/>
    </xf>
    <xf numFmtId="0" fontId="0" fillId="33" borderId="0" xfId="61" applyFill="1" applyBorder="1">
      <alignment/>
      <protection/>
    </xf>
    <xf numFmtId="0" fontId="35" fillId="33" borderId="0" xfId="61" applyFont="1" applyFill="1" applyBorder="1">
      <alignment/>
      <protection/>
    </xf>
    <xf numFmtId="0" fontId="3" fillId="33" borderId="0" xfId="61" applyFont="1" applyFill="1" applyBorder="1">
      <alignment/>
      <protection/>
    </xf>
    <xf numFmtId="0" fontId="0" fillId="33" borderId="0" xfId="61" applyFill="1" applyBorder="1" applyAlignment="1">
      <alignment horizontal="left" vertical="top"/>
      <protection/>
    </xf>
    <xf numFmtId="0" fontId="0" fillId="33" borderId="0" xfId="61" applyNumberFormat="1" applyFill="1" applyBorder="1" applyAlignment="1">
      <alignment vertical="top" wrapText="1"/>
      <protection/>
    </xf>
    <xf numFmtId="0" fontId="0" fillId="33" borderId="0" xfId="61" applyNumberFormat="1" applyFont="1" applyFill="1" applyBorder="1" applyAlignment="1">
      <alignment vertical="top" wrapText="1"/>
      <protection/>
    </xf>
    <xf numFmtId="0" fontId="3" fillId="33" borderId="0" xfId="61" applyNumberFormat="1" applyFont="1" applyFill="1" applyBorder="1" applyAlignment="1">
      <alignment vertical="top" wrapText="1"/>
      <protection/>
    </xf>
    <xf numFmtId="0" fontId="0" fillId="33" borderId="0" xfId="61" applyFont="1" applyFill="1" applyBorder="1" applyAlignment="1">
      <alignment horizontal="justify" vertical="top" wrapText="1"/>
      <protection/>
    </xf>
    <xf numFmtId="0" fontId="0" fillId="33" borderId="0" xfId="61" applyFont="1" applyFill="1" applyBorder="1" applyAlignment="1">
      <alignment vertical="top" wrapText="1"/>
      <protection/>
    </xf>
    <xf numFmtId="0" fontId="3" fillId="33" borderId="0" xfId="61" applyFont="1" applyFill="1" applyBorder="1" applyAlignment="1">
      <alignment horizontal="justify" vertical="top" wrapText="1"/>
      <protection/>
    </xf>
    <xf numFmtId="0" fontId="0" fillId="33" borderId="0" xfId="61" applyNumberFormat="1" applyFont="1" applyFill="1" applyBorder="1" applyAlignment="1">
      <alignment horizontal="justify" vertical="top" wrapText="1"/>
      <protection/>
    </xf>
    <xf numFmtId="0" fontId="0" fillId="0" borderId="35" xfId="61" applyFont="1" applyBorder="1" applyAlignment="1">
      <alignment horizontal="left" vertical="center" wrapText="1"/>
      <protection/>
    </xf>
    <xf numFmtId="0" fontId="0" fillId="0" borderId="34" xfId="61" applyFont="1" applyBorder="1" applyAlignment="1">
      <alignment horizontal="left" vertical="center" wrapText="1"/>
      <protection/>
    </xf>
    <xf numFmtId="0" fontId="0" fillId="0" borderId="42" xfId="61" applyFont="1" applyBorder="1" applyAlignment="1">
      <alignment vertical="center" wrapText="1"/>
      <protection/>
    </xf>
    <xf numFmtId="0" fontId="0" fillId="0" borderId="27" xfId="61" applyFont="1" applyBorder="1" applyAlignment="1">
      <alignment horizontal="left" vertical="center" wrapText="1"/>
      <protection/>
    </xf>
    <xf numFmtId="0" fontId="0" fillId="0" borderId="33" xfId="61" applyFont="1" applyBorder="1" applyAlignment="1">
      <alignment horizontal="left" vertical="center" wrapText="1"/>
      <protection/>
    </xf>
    <xf numFmtId="0" fontId="0" fillId="0" borderId="35" xfId="61" applyFont="1" applyBorder="1" applyAlignment="1">
      <alignment horizontal="justify" vertical="top" wrapText="1"/>
      <protection/>
    </xf>
    <xf numFmtId="0" fontId="79" fillId="0" borderId="0" xfId="62" applyFont="1" applyAlignment="1">
      <alignment horizontal="right"/>
      <protection/>
    </xf>
    <xf numFmtId="0" fontId="79" fillId="0" borderId="0" xfId="61" applyFont="1" applyAlignment="1">
      <alignment horizontal="right"/>
      <protection/>
    </xf>
    <xf numFmtId="0" fontId="80" fillId="0" borderId="0" xfId="0" applyFont="1" applyAlignment="1">
      <alignment horizontal="right"/>
    </xf>
    <xf numFmtId="1" fontId="0" fillId="47" borderId="42" xfId="0" applyNumberFormat="1" applyFill="1" applyBorder="1" applyAlignment="1">
      <alignment/>
    </xf>
    <xf numFmtId="1" fontId="0" fillId="47" borderId="43" xfId="0" applyNumberFormat="1" applyFill="1" applyBorder="1" applyAlignment="1">
      <alignment/>
    </xf>
    <xf numFmtId="1" fontId="0" fillId="47" borderId="44" xfId="0" applyNumberFormat="1" applyFill="1" applyBorder="1" applyAlignment="1">
      <alignment/>
    </xf>
    <xf numFmtId="3" fontId="0" fillId="47" borderId="33" xfId="0" applyNumberFormat="1" applyFill="1" applyBorder="1" applyAlignment="1">
      <alignment/>
    </xf>
    <xf numFmtId="3" fontId="0" fillId="47" borderId="10" xfId="0" applyNumberFormat="1" applyFill="1" applyBorder="1" applyAlignment="1">
      <alignment/>
    </xf>
    <xf numFmtId="3" fontId="0" fillId="47" borderId="45" xfId="0" applyNumberFormat="1" applyFill="1" applyBorder="1" applyAlignment="1">
      <alignment/>
    </xf>
    <xf numFmtId="0" fontId="0" fillId="0" borderId="34" xfId="0" applyBorder="1" applyAlignment="1">
      <alignment/>
    </xf>
    <xf numFmtId="0" fontId="0" fillId="0" borderId="29" xfId="0" applyBorder="1" applyAlignment="1">
      <alignment/>
    </xf>
    <xf numFmtId="0" fontId="0" fillId="0" borderId="41" xfId="0" applyBorder="1" applyAlignment="1">
      <alignment/>
    </xf>
    <xf numFmtId="0" fontId="0" fillId="0" borderId="37" xfId="0" applyBorder="1" applyAlignment="1">
      <alignment wrapText="1"/>
    </xf>
    <xf numFmtId="0" fontId="0" fillId="0" borderId="37" xfId="0" applyBorder="1" applyAlignment="1">
      <alignment/>
    </xf>
    <xf numFmtId="0" fontId="0" fillId="0" borderId="37" xfId="0" applyFont="1" applyBorder="1" applyAlignment="1">
      <alignment/>
    </xf>
    <xf numFmtId="0" fontId="0" fillId="0" borderId="46" xfId="0" applyFont="1" applyBorder="1" applyAlignment="1">
      <alignment/>
    </xf>
    <xf numFmtId="0" fontId="81" fillId="0" borderId="0" xfId="66" applyFont="1" applyAlignment="1">
      <alignment vertical="center"/>
    </xf>
    <xf numFmtId="0" fontId="80" fillId="43" borderId="0" xfId="0" applyFont="1" applyFill="1" applyAlignment="1">
      <alignment horizontal="right"/>
    </xf>
    <xf numFmtId="0" fontId="81" fillId="43" borderId="0" xfId="66" applyFont="1" applyFill="1" applyAlignment="1">
      <alignment vertical="center"/>
    </xf>
    <xf numFmtId="0" fontId="3" fillId="43" borderId="42" xfId="0" applyFont="1" applyFill="1" applyBorder="1" applyAlignment="1">
      <alignment/>
    </xf>
    <xf numFmtId="0" fontId="3" fillId="43" borderId="43" xfId="0" applyFont="1" applyFill="1" applyBorder="1" applyAlignment="1">
      <alignment/>
    </xf>
    <xf numFmtId="0" fontId="5" fillId="43" borderId="43" xfId="0" applyFont="1" applyFill="1" applyBorder="1" applyAlignment="1">
      <alignment/>
    </xf>
    <xf numFmtId="0" fontId="0" fillId="43" borderId="43" xfId="0" applyFont="1" applyFill="1" applyBorder="1" applyAlignment="1">
      <alignment/>
    </xf>
    <xf numFmtId="0" fontId="0" fillId="43" borderId="44" xfId="0" applyFont="1" applyFill="1" applyBorder="1" applyAlignment="1">
      <alignment/>
    </xf>
    <xf numFmtId="0" fontId="0" fillId="43" borderId="27" xfId="0" applyFont="1" applyFill="1" applyBorder="1" applyAlignment="1">
      <alignment/>
    </xf>
    <xf numFmtId="0" fontId="3" fillId="43" borderId="0" xfId="0" applyFont="1" applyFill="1" applyBorder="1" applyAlignment="1">
      <alignment/>
    </xf>
    <xf numFmtId="0" fontId="5" fillId="43" borderId="0" xfId="0" applyFont="1" applyFill="1" applyBorder="1" applyAlignment="1">
      <alignment/>
    </xf>
    <xf numFmtId="0" fontId="0" fillId="43" borderId="0" xfId="0" applyFont="1" applyFill="1" applyBorder="1" applyAlignment="1">
      <alignment/>
    </xf>
    <xf numFmtId="0" fontId="0" fillId="43" borderId="30" xfId="0" applyFont="1" applyFill="1" applyBorder="1" applyAlignment="1">
      <alignment/>
    </xf>
    <xf numFmtId="0" fontId="3" fillId="43" borderId="33" xfId="0" applyFont="1" applyFill="1" applyBorder="1" applyAlignment="1">
      <alignment/>
    </xf>
    <xf numFmtId="0" fontId="3" fillId="43" borderId="10" xfId="0" applyFont="1" applyFill="1" applyBorder="1" applyAlignment="1">
      <alignment/>
    </xf>
    <xf numFmtId="0" fontId="5" fillId="43" borderId="10" xfId="0" applyFont="1" applyFill="1" applyBorder="1" applyAlignment="1">
      <alignment/>
    </xf>
    <xf numFmtId="0" fontId="0" fillId="43" borderId="10" xfId="0" applyFill="1" applyBorder="1" applyAlignment="1">
      <alignment/>
    </xf>
    <xf numFmtId="0" fontId="0" fillId="43" borderId="45" xfId="0" applyFill="1" applyBorder="1" applyAlignment="1">
      <alignment/>
    </xf>
    <xf numFmtId="0" fontId="3" fillId="43" borderId="0" xfId="0" applyFont="1" applyFill="1" applyAlignment="1">
      <alignment/>
    </xf>
    <xf numFmtId="0" fontId="5" fillId="43" borderId="0" xfId="0" applyFont="1" applyFill="1" applyAlignment="1">
      <alignment/>
    </xf>
    <xf numFmtId="0" fontId="3" fillId="43" borderId="47" xfId="0" applyFont="1" applyFill="1" applyBorder="1" applyAlignment="1">
      <alignment/>
    </xf>
    <xf numFmtId="0" fontId="3" fillId="43" borderId="31" xfId="0" applyFont="1" applyFill="1" applyBorder="1" applyAlignment="1">
      <alignment/>
    </xf>
    <xf numFmtId="175" fontId="0" fillId="43" borderId="31" xfId="0" applyNumberFormat="1" applyFill="1" applyBorder="1" applyAlignment="1">
      <alignment/>
    </xf>
    <xf numFmtId="175" fontId="0" fillId="43" borderId="48" xfId="0" applyNumberFormat="1" applyFill="1" applyBorder="1" applyAlignment="1">
      <alignment/>
    </xf>
    <xf numFmtId="0" fontId="0" fillId="43" borderId="0" xfId="0" applyFont="1" applyFill="1" applyAlignment="1">
      <alignment/>
    </xf>
    <xf numFmtId="175" fontId="0" fillId="43" borderId="0" xfId="0" applyNumberFormat="1" applyFill="1" applyAlignment="1">
      <alignment/>
    </xf>
    <xf numFmtId="165" fontId="82" fillId="43" borderId="0" xfId="0" applyNumberFormat="1" applyFont="1" applyFill="1" applyAlignment="1">
      <alignment/>
    </xf>
    <xf numFmtId="3" fontId="3" fillId="43" borderId="0" xfId="0" applyNumberFormat="1" applyFont="1" applyFill="1" applyAlignment="1">
      <alignment/>
    </xf>
    <xf numFmtId="9" fontId="0" fillId="43" borderId="0" xfId="70" applyFont="1" applyFill="1" applyAlignment="1">
      <alignment/>
    </xf>
    <xf numFmtId="0" fontId="82" fillId="43" borderId="0" xfId="0" applyFont="1" applyFill="1" applyAlignment="1">
      <alignment/>
    </xf>
    <xf numFmtId="175" fontId="0" fillId="43" borderId="0" xfId="0" applyNumberFormat="1" applyFont="1" applyFill="1" applyAlignment="1">
      <alignment/>
    </xf>
    <xf numFmtId="2" fontId="82" fillId="43" borderId="0" xfId="0" applyNumberFormat="1" applyFont="1" applyFill="1" applyAlignment="1">
      <alignment/>
    </xf>
    <xf numFmtId="0" fontId="7" fillId="43" borderId="42" xfId="0" applyFont="1" applyFill="1" applyBorder="1" applyAlignment="1">
      <alignment/>
    </xf>
    <xf numFmtId="175" fontId="0" fillId="43" borderId="43" xfId="0" applyNumberFormat="1" applyFill="1" applyBorder="1" applyAlignment="1">
      <alignment/>
    </xf>
    <xf numFmtId="175" fontId="0" fillId="43" borderId="0" xfId="0" applyNumberFormat="1" applyFill="1" applyBorder="1" applyAlignment="1">
      <alignment/>
    </xf>
    <xf numFmtId="175" fontId="0" fillId="43" borderId="30" xfId="0" applyNumberFormat="1" applyFill="1" applyBorder="1" applyAlignment="1">
      <alignment/>
    </xf>
    <xf numFmtId="0" fontId="0" fillId="43" borderId="33" xfId="0" applyFont="1" applyFill="1" applyBorder="1" applyAlignment="1">
      <alignment/>
    </xf>
    <xf numFmtId="175" fontId="0" fillId="43" borderId="10" xfId="0" applyNumberFormat="1" applyFill="1" applyBorder="1" applyAlignment="1">
      <alignment/>
    </xf>
    <xf numFmtId="175" fontId="0" fillId="43" borderId="45" xfId="0" applyNumberFormat="1" applyFill="1" applyBorder="1" applyAlignment="1">
      <alignment/>
    </xf>
    <xf numFmtId="0" fontId="0" fillId="43" borderId="42" xfId="0" applyFont="1" applyFill="1" applyBorder="1" applyAlignment="1">
      <alignment/>
    </xf>
    <xf numFmtId="9" fontId="0" fillId="43" borderId="43" xfId="0" applyNumberFormat="1" applyFill="1" applyBorder="1" applyAlignment="1">
      <alignment/>
    </xf>
    <xf numFmtId="175" fontId="0" fillId="43" borderId="44" xfId="0" applyNumberFormat="1" applyFill="1" applyBorder="1" applyAlignment="1">
      <alignment/>
    </xf>
    <xf numFmtId="174" fontId="0" fillId="43" borderId="27" xfId="0" applyNumberFormat="1" applyFont="1" applyFill="1" applyBorder="1" applyAlignment="1">
      <alignment/>
    </xf>
    <xf numFmtId="9" fontId="0" fillId="43" borderId="0" xfId="0" applyNumberFormat="1" applyFont="1" applyFill="1" applyBorder="1" applyAlignment="1">
      <alignment/>
    </xf>
    <xf numFmtId="174" fontId="3" fillId="43" borderId="33" xfId="0" applyNumberFormat="1" applyFont="1" applyFill="1" applyBorder="1" applyAlignment="1">
      <alignment/>
    </xf>
    <xf numFmtId="9" fontId="0" fillId="43" borderId="10" xfId="0" applyNumberFormat="1" applyFont="1" applyFill="1" applyBorder="1" applyAlignment="1">
      <alignment/>
    </xf>
    <xf numFmtId="9" fontId="0" fillId="43" borderId="0" xfId="0" applyNumberFormat="1" applyFont="1" applyFill="1" applyAlignment="1">
      <alignment/>
    </xf>
    <xf numFmtId="9" fontId="7" fillId="43" borderId="0" xfId="0" applyNumberFormat="1" applyFont="1" applyFill="1" applyAlignment="1">
      <alignment/>
    </xf>
    <xf numFmtId="9" fontId="0" fillId="43" borderId="43" xfId="0" applyNumberFormat="1" applyFont="1" applyFill="1" applyBorder="1" applyAlignment="1">
      <alignment/>
    </xf>
    <xf numFmtId="3" fontId="3" fillId="43" borderId="27" xfId="0" applyNumberFormat="1" applyFont="1" applyFill="1" applyBorder="1" applyAlignment="1">
      <alignment/>
    </xf>
    <xf numFmtId="3" fontId="3" fillId="43" borderId="0" xfId="0" applyNumberFormat="1" applyFont="1" applyFill="1" applyBorder="1" applyAlignment="1">
      <alignment/>
    </xf>
    <xf numFmtId="0" fontId="0" fillId="43" borderId="0" xfId="0" applyFont="1" applyFill="1" applyAlignment="1">
      <alignment/>
    </xf>
    <xf numFmtId="0" fontId="3" fillId="43" borderId="27" xfId="0" applyFont="1" applyFill="1" applyBorder="1" applyAlignment="1">
      <alignment/>
    </xf>
    <xf numFmtId="175" fontId="0" fillId="43" borderId="10" xfId="0" applyNumberFormat="1" applyFont="1" applyFill="1" applyBorder="1" applyAlignment="1">
      <alignment/>
    </xf>
    <xf numFmtId="175" fontId="0" fillId="43" borderId="45" xfId="0" applyNumberFormat="1" applyFont="1" applyFill="1" applyBorder="1" applyAlignment="1">
      <alignment/>
    </xf>
    <xf numFmtId="0" fontId="6" fillId="43" borderId="0" xfId="0" applyFont="1" applyFill="1" applyAlignment="1">
      <alignment/>
    </xf>
    <xf numFmtId="0" fontId="5" fillId="43" borderId="31" xfId="0" applyFont="1" applyFill="1" applyBorder="1" applyAlignment="1">
      <alignment/>
    </xf>
    <xf numFmtId="175" fontId="3" fillId="43" borderId="31" xfId="0" applyNumberFormat="1" applyFont="1" applyFill="1" applyBorder="1" applyAlignment="1">
      <alignment/>
    </xf>
    <xf numFmtId="175" fontId="3" fillId="43" borderId="48" xfId="0" applyNumberFormat="1" applyFont="1" applyFill="1" applyBorder="1" applyAlignment="1">
      <alignment/>
    </xf>
    <xf numFmtId="9" fontId="3" fillId="43" borderId="35" xfId="70" applyFont="1" applyFill="1" applyBorder="1" applyAlignment="1">
      <alignment/>
    </xf>
    <xf numFmtId="175" fontId="0" fillId="43" borderId="0" xfId="0" applyNumberFormat="1" applyFont="1" applyFill="1" applyAlignment="1">
      <alignment/>
    </xf>
    <xf numFmtId="0" fontId="0" fillId="43" borderId="31" xfId="0" applyFill="1" applyBorder="1" applyAlignment="1">
      <alignment/>
    </xf>
    <xf numFmtId="175" fontId="20" fillId="43" borderId="31" xfId="0" applyNumberFormat="1" applyFont="1" applyFill="1" applyBorder="1" applyAlignment="1">
      <alignment/>
    </xf>
    <xf numFmtId="175" fontId="20" fillId="43" borderId="48" xfId="0" applyNumberFormat="1" applyFont="1" applyFill="1" applyBorder="1" applyAlignment="1">
      <alignment/>
    </xf>
    <xf numFmtId="174" fontId="3" fillId="43" borderId="42" xfId="0" applyNumberFormat="1" applyFont="1" applyFill="1" applyBorder="1" applyAlignment="1">
      <alignment/>
    </xf>
    <xf numFmtId="0" fontId="0" fillId="43" borderId="43" xfId="0" applyFill="1" applyBorder="1" applyAlignment="1">
      <alignment/>
    </xf>
    <xf numFmtId="9" fontId="3" fillId="43" borderId="32" xfId="70" applyFont="1" applyFill="1" applyBorder="1" applyAlignment="1">
      <alignment/>
    </xf>
    <xf numFmtId="0" fontId="0" fillId="43" borderId="0" xfId="0" applyFill="1" applyBorder="1" applyAlignment="1">
      <alignment/>
    </xf>
    <xf numFmtId="0" fontId="0" fillId="43" borderId="10" xfId="0" applyFont="1" applyFill="1" applyBorder="1" applyAlignment="1">
      <alignment/>
    </xf>
    <xf numFmtId="2" fontId="0" fillId="43" borderId="0" xfId="0" applyNumberFormat="1" applyFill="1" applyAlignment="1">
      <alignment/>
    </xf>
    <xf numFmtId="0" fontId="6" fillId="43" borderId="10" xfId="0" applyFont="1" applyFill="1" applyBorder="1" applyAlignment="1">
      <alignment/>
    </xf>
    <xf numFmtId="0" fontId="0" fillId="43" borderId="42" xfId="0" applyFill="1" applyBorder="1" applyAlignment="1">
      <alignment/>
    </xf>
    <xf numFmtId="0" fontId="0" fillId="43" borderId="27" xfId="0" applyFill="1" applyBorder="1" applyAlignment="1">
      <alignment/>
    </xf>
    <xf numFmtId="0" fontId="0" fillId="43" borderId="30" xfId="0" applyFill="1" applyBorder="1" applyAlignment="1">
      <alignment/>
    </xf>
    <xf numFmtId="0" fontId="0" fillId="43" borderId="33" xfId="0" applyFill="1" applyBorder="1" applyAlignment="1">
      <alignment/>
    </xf>
    <xf numFmtId="0" fontId="6" fillId="43" borderId="42" xfId="0" applyFont="1" applyFill="1" applyBorder="1" applyAlignment="1">
      <alignment/>
    </xf>
    <xf numFmtId="0" fontId="6" fillId="43" borderId="44" xfId="0" applyFont="1" applyFill="1" applyBorder="1" applyAlignment="1">
      <alignment/>
    </xf>
    <xf numFmtId="0" fontId="6" fillId="43" borderId="33" xfId="0" applyFont="1" applyFill="1" applyBorder="1" applyAlignment="1">
      <alignment/>
    </xf>
    <xf numFmtId="0" fontId="6" fillId="43" borderId="45" xfId="0" applyFont="1" applyFill="1" applyBorder="1" applyAlignment="1">
      <alignment/>
    </xf>
    <xf numFmtId="0" fontId="0" fillId="43" borderId="44" xfId="0" applyFill="1" applyBorder="1" applyAlignment="1">
      <alignment/>
    </xf>
    <xf numFmtId="0" fontId="6" fillId="43" borderId="27" xfId="0" applyFont="1" applyFill="1" applyBorder="1" applyAlignment="1">
      <alignment/>
    </xf>
    <xf numFmtId="0" fontId="6" fillId="43" borderId="0" xfId="0" applyFont="1" applyFill="1" applyBorder="1" applyAlignment="1">
      <alignment/>
    </xf>
    <xf numFmtId="0" fontId="6" fillId="43" borderId="47" xfId="0" applyFont="1" applyFill="1" applyBorder="1" applyAlignment="1">
      <alignment/>
    </xf>
    <xf numFmtId="3" fontId="0" fillId="43" borderId="43" xfId="0" applyNumberFormat="1" applyFill="1" applyBorder="1" applyAlignment="1">
      <alignment/>
    </xf>
    <xf numFmtId="3" fontId="0" fillId="43" borderId="27" xfId="0" applyNumberFormat="1" applyFont="1" applyFill="1" applyBorder="1" applyAlignment="1">
      <alignment/>
    </xf>
    <xf numFmtId="3" fontId="0" fillId="43" borderId="0" xfId="0" applyNumberFormat="1" applyFill="1" applyBorder="1" applyAlignment="1">
      <alignment/>
    </xf>
    <xf numFmtId="3" fontId="0" fillId="43" borderId="33" xfId="0" applyNumberFormat="1" applyFont="1" applyFill="1" applyBorder="1" applyAlignment="1">
      <alignment/>
    </xf>
    <xf numFmtId="3" fontId="0" fillId="43" borderId="10" xfId="0" applyNumberFormat="1" applyFill="1" applyBorder="1" applyAlignment="1">
      <alignment/>
    </xf>
    <xf numFmtId="3" fontId="0" fillId="43" borderId="0" xfId="0" applyNumberFormat="1" applyFont="1" applyFill="1" applyAlignment="1">
      <alignment/>
    </xf>
    <xf numFmtId="3" fontId="0" fillId="43" borderId="0" xfId="0" applyNumberFormat="1" applyFill="1" applyAlignment="1">
      <alignment/>
    </xf>
    <xf numFmtId="3" fontId="0" fillId="43" borderId="43" xfId="0" applyNumberFormat="1" applyFont="1" applyFill="1" applyBorder="1" applyAlignment="1">
      <alignment/>
    </xf>
    <xf numFmtId="0" fontId="0" fillId="43" borderId="43" xfId="0" applyFont="1" applyFill="1" applyBorder="1" applyAlignment="1">
      <alignment/>
    </xf>
    <xf numFmtId="0" fontId="0" fillId="43" borderId="44" xfId="0" applyFont="1" applyFill="1" applyBorder="1" applyAlignment="1">
      <alignment/>
    </xf>
    <xf numFmtId="3" fontId="0" fillId="43" borderId="0" xfId="0" applyNumberFormat="1" applyFont="1" applyFill="1" applyBorder="1" applyAlignment="1">
      <alignment/>
    </xf>
    <xf numFmtId="0" fontId="0" fillId="43" borderId="0" xfId="0" applyFont="1" applyFill="1" applyBorder="1" applyAlignment="1">
      <alignment/>
    </xf>
    <xf numFmtId="0" fontId="0" fillId="43" borderId="30" xfId="0" applyFont="1" applyFill="1" applyBorder="1" applyAlignment="1">
      <alignment/>
    </xf>
    <xf numFmtId="3" fontId="0" fillId="43" borderId="10" xfId="0" applyNumberFormat="1" applyFont="1" applyFill="1" applyBorder="1" applyAlignment="1">
      <alignment/>
    </xf>
    <xf numFmtId="0" fontId="0" fillId="43" borderId="10" xfId="0" applyFont="1" applyFill="1" applyBorder="1" applyAlignment="1">
      <alignment/>
    </xf>
    <xf numFmtId="0" fontId="0" fillId="43" borderId="45" xfId="0" applyFont="1" applyFill="1" applyBorder="1" applyAlignment="1">
      <alignment/>
    </xf>
    <xf numFmtId="10" fontId="0" fillId="43" borderId="43" xfId="0" applyNumberFormat="1" applyFill="1" applyBorder="1" applyAlignment="1">
      <alignment/>
    </xf>
    <xf numFmtId="10" fontId="0" fillId="43" borderId="44" xfId="0" applyNumberFormat="1" applyFill="1" applyBorder="1" applyAlignment="1">
      <alignment/>
    </xf>
    <xf numFmtId="10" fontId="0" fillId="43" borderId="0" xfId="0" applyNumberFormat="1" applyFill="1" applyBorder="1" applyAlignment="1">
      <alignment/>
    </xf>
    <xf numFmtId="10" fontId="0" fillId="43" borderId="30" xfId="0" applyNumberFormat="1" applyFill="1" applyBorder="1" applyAlignment="1">
      <alignment/>
    </xf>
    <xf numFmtId="9" fontId="0" fillId="43" borderId="0" xfId="0" applyNumberFormat="1" applyFill="1" applyBorder="1" applyAlignment="1">
      <alignment/>
    </xf>
    <xf numFmtId="10" fontId="0" fillId="43" borderId="10" xfId="0" applyNumberFormat="1" applyFill="1" applyBorder="1" applyAlignment="1">
      <alignment/>
    </xf>
    <xf numFmtId="10" fontId="0" fillId="43" borderId="45" xfId="0" applyNumberFormat="1" applyFill="1" applyBorder="1" applyAlignment="1">
      <alignment/>
    </xf>
    <xf numFmtId="0" fontId="0" fillId="43" borderId="47" xfId="0" applyFont="1" applyFill="1" applyBorder="1" applyAlignment="1">
      <alignment/>
    </xf>
    <xf numFmtId="3" fontId="0" fillId="43" borderId="31" xfId="0" applyNumberFormat="1" applyFill="1" applyBorder="1" applyAlignment="1">
      <alignment/>
    </xf>
    <xf numFmtId="3" fontId="0" fillId="43" borderId="48" xfId="0" applyNumberFormat="1" applyFill="1" applyBorder="1" applyAlignment="1">
      <alignment/>
    </xf>
    <xf numFmtId="0" fontId="0" fillId="43" borderId="42" xfId="0" applyFont="1" applyFill="1" applyBorder="1" applyAlignment="1">
      <alignment/>
    </xf>
    <xf numFmtId="3" fontId="0" fillId="43" borderId="27" xfId="0" applyNumberFormat="1" applyFill="1" applyBorder="1" applyAlignment="1">
      <alignment/>
    </xf>
    <xf numFmtId="3" fontId="0" fillId="43" borderId="33" xfId="0" applyNumberFormat="1" applyFill="1" applyBorder="1" applyAlignment="1">
      <alignment/>
    </xf>
    <xf numFmtId="10" fontId="0" fillId="43" borderId="0" xfId="0" applyNumberFormat="1" applyFill="1" applyAlignment="1">
      <alignment/>
    </xf>
    <xf numFmtId="3" fontId="0" fillId="43" borderId="31" xfId="0" applyNumberFormat="1" applyFont="1" applyFill="1" applyBorder="1" applyAlignment="1">
      <alignment/>
    </xf>
    <xf numFmtId="0" fontId="0" fillId="43" borderId="31" xfId="0" applyFont="1" applyFill="1" applyBorder="1" applyAlignment="1">
      <alignment/>
    </xf>
    <xf numFmtId="3" fontId="0" fillId="43" borderId="31" xfId="0" applyNumberFormat="1" applyFont="1" applyFill="1" applyBorder="1" applyAlignment="1">
      <alignment/>
    </xf>
    <xf numFmtId="3" fontId="0" fillId="43" borderId="48" xfId="0" applyNumberFormat="1" applyFont="1" applyFill="1" applyBorder="1" applyAlignment="1">
      <alignment/>
    </xf>
    <xf numFmtId="0" fontId="0" fillId="43" borderId="27" xfId="0" applyFont="1" applyFill="1" applyBorder="1" applyAlignment="1">
      <alignment/>
    </xf>
    <xf numFmtId="3" fontId="0" fillId="43" borderId="42" xfId="0" applyNumberFormat="1" applyFont="1" applyFill="1" applyBorder="1" applyAlignment="1">
      <alignment/>
    </xf>
    <xf numFmtId="3" fontId="0" fillId="43" borderId="44" xfId="0" applyNumberFormat="1" applyFont="1" applyFill="1" applyBorder="1" applyAlignment="1">
      <alignment/>
    </xf>
    <xf numFmtId="1" fontId="0" fillId="43" borderId="27" xfId="0" applyNumberFormat="1" applyFill="1" applyBorder="1" applyAlignment="1">
      <alignment/>
    </xf>
    <xf numFmtId="1" fontId="0" fillId="43" borderId="30" xfId="0" applyNumberFormat="1" applyFont="1" applyFill="1" applyBorder="1" applyAlignment="1">
      <alignment/>
    </xf>
    <xf numFmtId="1" fontId="0" fillId="43" borderId="33" xfId="0" applyNumberFormat="1" applyFill="1" applyBorder="1" applyAlignment="1">
      <alignment/>
    </xf>
    <xf numFmtId="1" fontId="0" fillId="43" borderId="45" xfId="0" applyNumberFormat="1" applyFont="1" applyFill="1" applyBorder="1" applyAlignment="1">
      <alignment/>
    </xf>
    <xf numFmtId="0" fontId="4" fillId="43" borderId="0" xfId="0" applyFont="1" applyFill="1" applyAlignment="1">
      <alignment/>
    </xf>
    <xf numFmtId="1" fontId="0" fillId="43" borderId="43" xfId="0" applyNumberFormat="1" applyFill="1" applyBorder="1" applyAlignment="1">
      <alignment/>
    </xf>
    <xf numFmtId="3" fontId="0" fillId="43" borderId="44" xfId="0" applyNumberFormat="1" applyFill="1" applyBorder="1" applyAlignment="1">
      <alignment/>
    </xf>
    <xf numFmtId="0" fontId="0" fillId="43" borderId="33" xfId="0" applyFont="1" applyFill="1" applyBorder="1" applyAlignment="1">
      <alignment/>
    </xf>
    <xf numFmtId="1" fontId="0" fillId="43" borderId="10" xfId="0" applyNumberFormat="1" applyFill="1" applyBorder="1" applyAlignment="1">
      <alignment/>
    </xf>
    <xf numFmtId="1" fontId="0" fillId="43" borderId="45" xfId="0" applyNumberFormat="1" applyFill="1" applyBorder="1" applyAlignment="1">
      <alignment/>
    </xf>
    <xf numFmtId="10" fontId="0" fillId="43" borderId="0" xfId="0" applyNumberFormat="1" applyFont="1" applyFill="1" applyAlignment="1">
      <alignment/>
    </xf>
    <xf numFmtId="0" fontId="7" fillId="43" borderId="0" xfId="0" applyFont="1" applyFill="1" applyAlignment="1">
      <alignment/>
    </xf>
    <xf numFmtId="169" fontId="0" fillId="43" borderId="0" xfId="0" applyNumberFormat="1" applyFill="1" applyBorder="1" applyAlignment="1">
      <alignment/>
    </xf>
    <xf numFmtId="2" fontId="0" fillId="43" borderId="0" xfId="0" applyNumberFormat="1" applyFill="1" applyBorder="1" applyAlignment="1">
      <alignment/>
    </xf>
    <xf numFmtId="166" fontId="0" fillId="43" borderId="0" xfId="0" applyNumberFormat="1" applyFill="1" applyBorder="1" applyAlignment="1">
      <alignment/>
    </xf>
    <xf numFmtId="166" fontId="0" fillId="43" borderId="10" xfId="0" applyNumberFormat="1" applyFill="1" applyBorder="1" applyAlignment="1">
      <alignment/>
    </xf>
    <xf numFmtId="2" fontId="0" fillId="43" borderId="10" xfId="0" applyNumberFormat="1" applyFill="1" applyBorder="1" applyAlignment="1">
      <alignment/>
    </xf>
    <xf numFmtId="3" fontId="7" fillId="43" borderId="0" xfId="0" applyNumberFormat="1" applyFont="1" applyFill="1" applyAlignment="1">
      <alignment/>
    </xf>
    <xf numFmtId="3" fontId="0" fillId="43" borderId="0" xfId="0" applyNumberFormat="1" applyFont="1" applyFill="1" applyAlignment="1">
      <alignment/>
    </xf>
    <xf numFmtId="4" fontId="0" fillId="43" borderId="0" xfId="0" applyNumberFormat="1" applyFill="1" applyAlignment="1">
      <alignment/>
    </xf>
    <xf numFmtId="2" fontId="0" fillId="43" borderId="43" xfId="0" applyNumberFormat="1" applyFont="1" applyFill="1" applyBorder="1" applyAlignment="1">
      <alignment/>
    </xf>
    <xf numFmtId="3" fontId="0" fillId="43" borderId="30" xfId="0" applyNumberFormat="1" applyFill="1" applyBorder="1" applyAlignment="1">
      <alignment/>
    </xf>
    <xf numFmtId="3" fontId="0" fillId="43" borderId="30" xfId="0" applyNumberFormat="1" applyFont="1" applyFill="1" applyBorder="1" applyAlignment="1">
      <alignment/>
    </xf>
    <xf numFmtId="3" fontId="0" fillId="43" borderId="45" xfId="0" applyNumberFormat="1" applyFill="1" applyBorder="1" applyAlignment="1">
      <alignment/>
    </xf>
    <xf numFmtId="2" fontId="0" fillId="43" borderId="0" xfId="0" applyNumberFormat="1" applyFont="1" applyFill="1" applyAlignment="1">
      <alignment/>
    </xf>
    <xf numFmtId="3" fontId="0" fillId="43" borderId="45" xfId="0" applyNumberFormat="1" applyFont="1" applyFill="1" applyBorder="1" applyAlignment="1">
      <alignment/>
    </xf>
    <xf numFmtId="3" fontId="12" fillId="43" borderId="0" xfId="0" applyNumberFormat="1" applyFont="1" applyFill="1" applyAlignment="1">
      <alignment/>
    </xf>
    <xf numFmtId="3" fontId="1" fillId="43" borderId="0" xfId="0" applyNumberFormat="1" applyFont="1" applyFill="1" applyAlignment="1">
      <alignment/>
    </xf>
    <xf numFmtId="10" fontId="0" fillId="43" borderId="0" xfId="0" applyNumberFormat="1" applyFont="1" applyFill="1" applyAlignment="1">
      <alignment/>
    </xf>
    <xf numFmtId="0" fontId="3" fillId="43" borderId="44" xfId="0" applyFont="1" applyFill="1" applyBorder="1" applyAlignment="1">
      <alignment/>
    </xf>
    <xf numFmtId="0" fontId="3" fillId="43" borderId="29" xfId="0" applyFont="1" applyFill="1" applyBorder="1" applyAlignment="1">
      <alignment/>
    </xf>
    <xf numFmtId="0" fontId="3" fillId="43" borderId="30" xfId="0" applyFont="1" applyFill="1" applyBorder="1" applyAlignment="1">
      <alignment/>
    </xf>
    <xf numFmtId="0" fontId="3" fillId="43" borderId="34" xfId="0" applyFont="1" applyFill="1" applyBorder="1" applyAlignment="1">
      <alignment/>
    </xf>
    <xf numFmtId="0" fontId="3" fillId="43" borderId="35" xfId="0" applyFont="1" applyFill="1" applyBorder="1" applyAlignment="1">
      <alignment/>
    </xf>
    <xf numFmtId="3" fontId="3" fillId="43" borderId="43" xfId="0" applyNumberFormat="1" applyFont="1" applyFill="1" applyBorder="1" applyAlignment="1">
      <alignment/>
    </xf>
    <xf numFmtId="3" fontId="3" fillId="43" borderId="44" xfId="0" applyNumberFormat="1" applyFont="1" applyFill="1" applyBorder="1" applyAlignment="1">
      <alignment/>
    </xf>
    <xf numFmtId="3" fontId="3" fillId="43" borderId="10" xfId="0" applyNumberFormat="1" applyFont="1" applyFill="1" applyBorder="1" applyAlignment="1">
      <alignment/>
    </xf>
    <xf numFmtId="3" fontId="3" fillId="43" borderId="45" xfId="0" applyNumberFormat="1" applyFont="1" applyFill="1" applyBorder="1" applyAlignment="1">
      <alignment/>
    </xf>
    <xf numFmtId="3" fontId="3" fillId="43" borderId="42" xfId="0" applyNumberFormat="1" applyFont="1" applyFill="1" applyBorder="1" applyAlignment="1">
      <alignment/>
    </xf>
    <xf numFmtId="168" fontId="0" fillId="43" borderId="10" xfId="0" applyNumberFormat="1" applyFill="1" applyBorder="1" applyAlignment="1">
      <alignment/>
    </xf>
    <xf numFmtId="168" fontId="0" fillId="43" borderId="45" xfId="0" applyNumberFormat="1" applyFill="1" applyBorder="1" applyAlignment="1">
      <alignment/>
    </xf>
    <xf numFmtId="0" fontId="6" fillId="43" borderId="29" xfId="0" applyFont="1" applyFill="1" applyBorder="1" applyAlignment="1">
      <alignment/>
    </xf>
    <xf numFmtId="3" fontId="5" fillId="43" borderId="42" xfId="0" applyNumberFormat="1" applyFont="1" applyFill="1" applyBorder="1" applyAlignment="1">
      <alignment/>
    </xf>
    <xf numFmtId="3" fontId="5" fillId="43" borderId="43" xfId="0" applyNumberFormat="1" applyFont="1" applyFill="1" applyBorder="1" applyAlignment="1">
      <alignment/>
    </xf>
    <xf numFmtId="3" fontId="5" fillId="43" borderId="44" xfId="0" applyNumberFormat="1" applyFont="1" applyFill="1" applyBorder="1" applyAlignment="1">
      <alignment/>
    </xf>
    <xf numFmtId="3" fontId="5" fillId="43" borderId="27" xfId="0" applyNumberFormat="1" applyFont="1" applyFill="1" applyBorder="1" applyAlignment="1">
      <alignment/>
    </xf>
    <xf numFmtId="3" fontId="5" fillId="43" borderId="0" xfId="0" applyNumberFormat="1" applyFont="1" applyFill="1" applyBorder="1" applyAlignment="1">
      <alignment/>
    </xf>
    <xf numFmtId="3" fontId="5" fillId="43" borderId="30" xfId="0" applyNumberFormat="1" applyFont="1" applyFill="1" applyBorder="1" applyAlignment="1">
      <alignment/>
    </xf>
    <xf numFmtId="0" fontId="6" fillId="43" borderId="34" xfId="0" applyFont="1" applyFill="1" applyBorder="1" applyAlignment="1">
      <alignment/>
    </xf>
    <xf numFmtId="3" fontId="5" fillId="43" borderId="33" xfId="0" applyNumberFormat="1" applyFont="1" applyFill="1" applyBorder="1" applyAlignment="1">
      <alignment/>
    </xf>
    <xf numFmtId="3" fontId="5" fillId="43" borderId="10" xfId="0" applyNumberFormat="1" applyFont="1" applyFill="1" applyBorder="1" applyAlignment="1">
      <alignment/>
    </xf>
    <xf numFmtId="3" fontId="5" fillId="43" borderId="45" xfId="0" applyNumberFormat="1" applyFont="1" applyFill="1" applyBorder="1" applyAlignment="1">
      <alignment/>
    </xf>
    <xf numFmtId="3" fontId="5" fillId="43" borderId="0" xfId="0" applyNumberFormat="1" applyFont="1" applyFill="1" applyAlignment="1">
      <alignment/>
    </xf>
    <xf numFmtId="0" fontId="83" fillId="43" borderId="0" xfId="0" applyFont="1" applyFill="1" applyAlignment="1">
      <alignment/>
    </xf>
    <xf numFmtId="0" fontId="6" fillId="43" borderId="35" xfId="0" applyFont="1" applyFill="1" applyBorder="1" applyAlignment="1">
      <alignment/>
    </xf>
    <xf numFmtId="0" fontId="5" fillId="43" borderId="35" xfId="0" applyFont="1" applyFill="1" applyBorder="1" applyAlignment="1">
      <alignment/>
    </xf>
    <xf numFmtId="0" fontId="5" fillId="43" borderId="34" xfId="0" applyFont="1" applyFill="1" applyBorder="1" applyAlignment="1">
      <alignment/>
    </xf>
    <xf numFmtId="3" fontId="3" fillId="43" borderId="31" xfId="0" applyNumberFormat="1" applyFont="1" applyFill="1" applyBorder="1" applyAlignment="1">
      <alignment/>
    </xf>
    <xf numFmtId="3" fontId="3" fillId="43" borderId="48" xfId="0" applyNumberFormat="1" applyFont="1" applyFill="1" applyBorder="1" applyAlignment="1">
      <alignment/>
    </xf>
    <xf numFmtId="4" fontId="3" fillId="43" borderId="0" xfId="0" applyNumberFormat="1" applyFont="1" applyFill="1" applyAlignment="1">
      <alignment/>
    </xf>
    <xf numFmtId="0" fontId="7" fillId="43" borderId="32" xfId="0" applyFont="1" applyFill="1" applyBorder="1" applyAlignment="1">
      <alignment/>
    </xf>
    <xf numFmtId="3" fontId="3" fillId="43" borderId="47" xfId="0" applyNumberFormat="1" applyFont="1" applyFill="1" applyBorder="1" applyAlignment="1">
      <alignment/>
    </xf>
    <xf numFmtId="3" fontId="3" fillId="43" borderId="30" xfId="0" applyNumberFormat="1" applyFont="1" applyFill="1" applyBorder="1" applyAlignment="1">
      <alignment/>
    </xf>
    <xf numFmtId="0" fontId="3" fillId="43" borderId="32" xfId="0" applyFont="1" applyFill="1" applyBorder="1" applyAlignment="1">
      <alignment/>
    </xf>
    <xf numFmtId="0" fontId="36" fillId="43" borderId="32" xfId="0" applyFont="1" applyFill="1" applyBorder="1" applyAlignment="1">
      <alignment/>
    </xf>
    <xf numFmtId="0" fontId="5" fillId="43" borderId="32" xfId="0" applyFont="1" applyFill="1" applyBorder="1" applyAlignment="1">
      <alignment/>
    </xf>
    <xf numFmtId="0" fontId="0" fillId="0" borderId="37" xfId="61" applyNumberFormat="1" applyFont="1" applyBorder="1" applyAlignment="1" quotePrefix="1">
      <alignment vertical="center" wrapText="1"/>
      <protection/>
    </xf>
    <xf numFmtId="0" fontId="0" fillId="0" borderId="42" xfId="61" applyFont="1" applyFill="1" applyBorder="1" applyAlignment="1">
      <alignment horizontal="left" vertical="center" wrapText="1"/>
      <protection/>
    </xf>
    <xf numFmtId="0" fontId="0" fillId="0" borderId="43" xfId="61" applyFont="1" applyBorder="1" applyAlignment="1">
      <alignment horizontal="left" vertical="center" wrapText="1"/>
      <protection/>
    </xf>
    <xf numFmtId="0" fontId="84" fillId="0" borderId="0" xfId="62" applyFont="1" applyAlignment="1">
      <alignment/>
      <protection/>
    </xf>
    <xf numFmtId="0" fontId="3" fillId="0" borderId="0" xfId="67" applyFont="1" applyAlignment="1">
      <alignment horizontal="right"/>
      <protection/>
    </xf>
    <xf numFmtId="0" fontId="0" fillId="0" borderId="32" xfId="67" applyFont="1" applyBorder="1">
      <alignment/>
      <protection/>
    </xf>
    <xf numFmtId="0" fontId="3" fillId="0" borderId="32" xfId="67" applyFont="1" applyBorder="1">
      <alignment/>
      <protection/>
    </xf>
    <xf numFmtId="0" fontId="0" fillId="0" borderId="0" xfId="67">
      <alignment/>
      <protection/>
    </xf>
    <xf numFmtId="0" fontId="3" fillId="0" borderId="0" xfId="0" applyFont="1" applyFill="1" applyAlignment="1">
      <alignment horizontal="right"/>
    </xf>
    <xf numFmtId="180" fontId="3" fillId="0" borderId="32" xfId="47" applyNumberFormat="1" applyFont="1" applyFill="1" applyBorder="1" applyAlignment="1">
      <alignment/>
    </xf>
    <xf numFmtId="180" fontId="3" fillId="0" borderId="0" xfId="47" applyNumberFormat="1" applyFont="1" applyFill="1" applyAlignment="1">
      <alignment/>
    </xf>
    <xf numFmtId="0" fontId="3" fillId="0" borderId="32" xfId="67" applyFont="1" applyBorder="1" applyAlignment="1">
      <alignment horizontal="center"/>
      <protection/>
    </xf>
    <xf numFmtId="9" fontId="0" fillId="0" borderId="32" xfId="67" applyNumberFormat="1" applyFont="1" applyBorder="1" applyAlignment="1">
      <alignment horizontal="center"/>
      <protection/>
    </xf>
    <xf numFmtId="14" fontId="0" fillId="0" borderId="32" xfId="65" applyNumberFormat="1" applyFont="1" applyBorder="1" applyAlignment="1">
      <alignment horizontal="center" vertical="center" wrapText="1"/>
      <protection/>
    </xf>
    <xf numFmtId="0" fontId="0" fillId="43" borderId="48" xfId="0" applyFill="1" applyBorder="1" applyAlignment="1">
      <alignment/>
    </xf>
    <xf numFmtId="0" fontId="0" fillId="43" borderId="35" xfId="0" applyFont="1" applyFill="1" applyBorder="1" applyAlignment="1">
      <alignment/>
    </xf>
    <xf numFmtId="3" fontId="3" fillId="43" borderId="29" xfId="0" applyNumberFormat="1" applyFont="1" applyFill="1" applyBorder="1" applyAlignment="1">
      <alignment/>
    </xf>
    <xf numFmtId="9" fontId="0" fillId="43" borderId="31" xfId="0" applyNumberFormat="1" applyFill="1" applyBorder="1" applyAlignment="1">
      <alignment/>
    </xf>
    <xf numFmtId="174" fontId="0" fillId="43" borderId="29" xfId="0" applyNumberFormat="1" applyFont="1" applyFill="1" applyBorder="1" applyAlignment="1">
      <alignment/>
    </xf>
    <xf numFmtId="9" fontId="0" fillId="43" borderId="10" xfId="0" applyNumberFormat="1" applyFill="1" applyBorder="1" applyAlignment="1">
      <alignment/>
    </xf>
    <xf numFmtId="0" fontId="0" fillId="43" borderId="34" xfId="0" applyFont="1" applyFill="1" applyBorder="1" applyAlignment="1">
      <alignment/>
    </xf>
    <xf numFmtId="165" fontId="3" fillId="43" borderId="45" xfId="0" applyNumberFormat="1" applyFont="1" applyFill="1" applyBorder="1" applyAlignment="1">
      <alignment/>
    </xf>
    <xf numFmtId="180" fontId="3" fillId="43" borderId="45" xfId="45" applyNumberFormat="1" applyFont="1" applyFill="1" applyBorder="1" applyAlignment="1">
      <alignment/>
    </xf>
    <xf numFmtId="0" fontId="0" fillId="8" borderId="47" xfId="0" applyFont="1" applyFill="1" applyBorder="1" applyAlignment="1">
      <alignment/>
    </xf>
    <xf numFmtId="0" fontId="0" fillId="8" borderId="31" xfId="0" applyFill="1" applyBorder="1" applyAlignment="1">
      <alignment/>
    </xf>
    <xf numFmtId="0" fontId="0" fillId="8" borderId="48" xfId="0" applyFill="1" applyBorder="1" applyAlignment="1">
      <alignment/>
    </xf>
    <xf numFmtId="0" fontId="0" fillId="0" borderId="0" xfId="0" applyFont="1" applyAlignment="1">
      <alignment horizontal="center"/>
    </xf>
    <xf numFmtId="0" fontId="19" fillId="43" borderId="0" xfId="0" applyFont="1" applyFill="1" applyBorder="1" applyAlignment="1">
      <alignment horizontal="center" vertical="center"/>
    </xf>
    <xf numFmtId="0" fontId="21" fillId="43" borderId="16" xfId="64" applyFont="1" applyFill="1" applyBorder="1" applyAlignment="1">
      <alignment horizontal="center" wrapText="1"/>
    </xf>
    <xf numFmtId="0" fontId="16" fillId="43" borderId="0" xfId="64" applyFont="1" applyFill="1" applyBorder="1" applyAlignment="1">
      <alignment horizontal="right"/>
    </xf>
    <xf numFmtId="0" fontId="15" fillId="43" borderId="0" xfId="64" applyFont="1" applyFill="1" applyBorder="1" applyAlignment="1">
      <alignment horizontal="center"/>
    </xf>
    <xf numFmtId="0" fontId="15" fillId="43" borderId="0" xfId="64" applyFont="1" applyFill="1" applyBorder="1" applyAlignment="1">
      <alignment horizontal="center" vertical="center"/>
    </xf>
    <xf numFmtId="0" fontId="85" fillId="0" borderId="0" xfId="0" applyFont="1" applyAlignment="1">
      <alignment horizontal="center" vertical="center"/>
    </xf>
    <xf numFmtId="0" fontId="0" fillId="0" borderId="35" xfId="61" applyFont="1" applyBorder="1" applyAlignment="1">
      <alignment horizontal="left" vertical="center" wrapText="1"/>
      <protection/>
    </xf>
    <xf numFmtId="0" fontId="0" fillId="0" borderId="29" xfId="61" applyFont="1" applyBorder="1" applyAlignment="1">
      <alignment horizontal="left" vertical="center" wrapText="1"/>
      <protection/>
    </xf>
    <xf numFmtId="0" fontId="0" fillId="0" borderId="34" xfId="61" applyFont="1" applyBorder="1" applyAlignment="1">
      <alignment horizontal="left" vertical="center" wrapText="1"/>
      <protection/>
    </xf>
    <xf numFmtId="0" fontId="35" fillId="0" borderId="0" xfId="66" applyFont="1" applyAlignment="1">
      <alignment horizontal="left" vertical="center" wrapText="1"/>
    </xf>
    <xf numFmtId="0" fontId="16" fillId="0" borderId="0" xfId="62" applyFont="1" applyAlignment="1">
      <alignment horizontal="left" vertical="center"/>
      <protection/>
    </xf>
    <xf numFmtId="0" fontId="86" fillId="0" borderId="0" xfId="60" applyFont="1" applyFill="1" applyAlignment="1">
      <alignment horizontal="left" vertical="center" wrapText="1"/>
    </xf>
    <xf numFmtId="0" fontId="0" fillId="0" borderId="0" xfId="66" applyFont="1" applyAlignment="1">
      <alignment horizontal="left" vertical="center"/>
    </xf>
    <xf numFmtId="0" fontId="28" fillId="0" borderId="0" xfId="66" applyFont="1" applyAlignment="1">
      <alignment horizontal="center" vertical="center" wrapText="1"/>
    </xf>
    <xf numFmtId="0" fontId="16" fillId="0" borderId="0" xfId="66" applyFont="1" applyAlignment="1">
      <alignment horizontal="left" vertical="center" wrapText="1"/>
    </xf>
    <xf numFmtId="0" fontId="84" fillId="0" borderId="0" xfId="66" applyFont="1" applyAlignment="1">
      <alignment horizontal="right" vertical="center" wrapText="1"/>
    </xf>
    <xf numFmtId="0" fontId="30" fillId="0" borderId="0" xfId="66" applyFont="1" applyBorder="1" applyAlignment="1">
      <alignment horizontal="left" vertical="center" wrapText="1"/>
    </xf>
    <xf numFmtId="0" fontId="0" fillId="33" borderId="49" xfId="66" applyFont="1" applyFill="1" applyBorder="1" applyAlignment="1">
      <alignment horizontal="left" vertical="center" wrapText="1"/>
    </xf>
    <xf numFmtId="0" fontId="0" fillId="33" borderId="0" xfId="66" applyFont="1" applyFill="1" applyBorder="1" applyAlignment="1">
      <alignment horizontal="left" vertical="center" wrapText="1"/>
    </xf>
    <xf numFmtId="0" fontId="0" fillId="33" borderId="50" xfId="66" applyFont="1" applyFill="1" applyBorder="1" applyAlignment="1">
      <alignment horizontal="left" vertical="center" wrapText="1"/>
    </xf>
    <xf numFmtId="0" fontId="0" fillId="33" borderId="51" xfId="66" applyFont="1" applyFill="1" applyBorder="1" applyAlignment="1">
      <alignment horizontal="left" vertical="center" wrapText="1"/>
    </xf>
    <xf numFmtId="0" fontId="0" fillId="33" borderId="52" xfId="66" applyFont="1" applyFill="1" applyBorder="1" applyAlignment="1">
      <alignment horizontal="left" vertical="center" wrapText="1"/>
    </xf>
    <xf numFmtId="0" fontId="0" fillId="33" borderId="36" xfId="66" applyFont="1" applyFill="1" applyBorder="1" applyAlignment="1">
      <alignment horizontal="left" vertical="center" wrapText="1"/>
    </xf>
    <xf numFmtId="0" fontId="15" fillId="0" borderId="35" xfId="66" applyFont="1" applyBorder="1" applyAlignment="1">
      <alignment horizontal="center" vertical="center"/>
    </xf>
    <xf numFmtId="0" fontId="15" fillId="0" borderId="53" xfId="66" applyFont="1" applyBorder="1" applyAlignment="1">
      <alignment horizontal="center" vertical="center"/>
    </xf>
    <xf numFmtId="0" fontId="15" fillId="0" borderId="35" xfId="66" applyFont="1" applyBorder="1" applyAlignment="1">
      <alignment horizontal="center" vertical="center" wrapText="1"/>
    </xf>
    <xf numFmtId="0" fontId="15" fillId="0" borderId="53" xfId="66" applyFont="1" applyBorder="1" applyAlignment="1">
      <alignment horizontal="center" vertical="center" wrapText="1"/>
    </xf>
    <xf numFmtId="0" fontId="15" fillId="0" borderId="47" xfId="66" applyFont="1" applyBorder="1" applyAlignment="1">
      <alignment horizontal="center" vertical="center"/>
    </xf>
    <xf numFmtId="0" fontId="15" fillId="0" borderId="31" xfId="66" applyFont="1" applyBorder="1" applyAlignment="1">
      <alignment horizontal="center" vertical="center"/>
    </xf>
    <xf numFmtId="0" fontId="15" fillId="0" borderId="48" xfId="66" applyFont="1" applyBorder="1" applyAlignment="1">
      <alignment horizontal="center" vertical="center"/>
    </xf>
    <xf numFmtId="0" fontId="16" fillId="43" borderId="0" xfId="62" applyFont="1" applyFill="1" applyAlignment="1">
      <alignment horizontal="center" vertical="center"/>
      <protection/>
    </xf>
    <xf numFmtId="0" fontId="35" fillId="43" borderId="0" xfId="0" applyFont="1" applyFill="1" applyAlignment="1">
      <alignment horizontal="center"/>
    </xf>
    <xf numFmtId="0" fontId="35" fillId="0" borderId="0" xfId="0" applyFont="1" applyAlignment="1">
      <alignment horizontal="center"/>
    </xf>
    <xf numFmtId="0" fontId="16" fillId="0" borderId="0" xfId="62" applyFont="1" applyAlignment="1">
      <alignment horizontal="center"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Hyperlink 2" xfId="55"/>
    <cellStyle name="Hyperlink_mcc-err-namibia_mkt" xfId="56"/>
    <cellStyle name="Input" xfId="57"/>
    <cellStyle name="Linked Cell" xfId="58"/>
    <cellStyle name="Neutral" xfId="59"/>
    <cellStyle name="Normal 2" xfId="60"/>
    <cellStyle name="Normal 3" xfId="61"/>
    <cellStyle name="Normal 3 2" xfId="62"/>
    <cellStyle name="Normal_47_Schools_ERR_Finalized" xfId="63"/>
    <cellStyle name="Normal_Beneficiary Analysis - Poverty Scorecard - 10.28.08" xfId="64"/>
    <cellStyle name="Normal_ConsolidatedAg_IM_Clean" xfId="65"/>
    <cellStyle name="Normal_mcc-err-namibia_mkt" xfId="66"/>
    <cellStyle name="Normal_Mongolia Health ERR.IM Cleaned - v15" xfId="67"/>
    <cellStyle name="Note" xfId="68"/>
    <cellStyle name="Output" xfId="69"/>
    <cellStyle name="Percent" xfId="70"/>
    <cellStyle name="Percent 2" xfId="71"/>
    <cellStyle name="Title" xfId="72"/>
    <cellStyle name="Total" xfId="73"/>
    <cellStyle name="Warning Text" xfId="74"/>
  </cellStyles>
  <dxfs count="2">
    <dxf>
      <font>
        <b/>
        <i val="0"/>
        <color indexed="10"/>
      </font>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Undiscounted annual net benefits of Irrigation Rehabilitation Project
</a:t>
            </a:r>
          </a:p>
        </c:rich>
      </c:tx>
      <c:layout>
        <c:manualLayout>
          <c:xMode val="factor"/>
          <c:yMode val="factor"/>
          <c:x val="0.03075"/>
          <c:y val="-0.00175"/>
        </c:manualLayout>
      </c:layout>
      <c:spPr>
        <a:noFill/>
        <a:ln w="3175">
          <a:noFill/>
        </a:ln>
      </c:spPr>
    </c:title>
    <c:plotArea>
      <c:layout>
        <c:manualLayout>
          <c:xMode val="edge"/>
          <c:yMode val="edge"/>
          <c:x val="0.086"/>
          <c:y val="0.105"/>
          <c:w val="0.903"/>
          <c:h val="0.826"/>
        </c:manualLayout>
      </c:layout>
      <c:areaChart>
        <c:grouping val="standard"/>
        <c:varyColors val="0"/>
        <c:ser>
          <c:idx val="0"/>
          <c:order val="0"/>
          <c:tx>
            <c:v>Net Benefits</c:v>
          </c:tx>
          <c:spPr>
            <a:solidFill>
              <a:srgbClr val="0066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'Combined Cost-Benefit'!$C$6:$V$6</c:f>
              <c:numCach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'Combined Cost-Benefit'!$C$22:$V$22</c:f>
              <c:numCache>
                <c:ptCount val="20"/>
                <c:pt idx="0">
                  <c:v>-10206935.955255417</c:v>
                </c:pt>
                <c:pt idx="1">
                  <c:v>-36573521.52553337</c:v>
                </c:pt>
                <c:pt idx="2">
                  <c:v>-28767104.38162276</c:v>
                </c:pt>
                <c:pt idx="3">
                  <c:v>-10919751.652852181</c:v>
                </c:pt>
                <c:pt idx="4">
                  <c:v>-10006141.947863076</c:v>
                </c:pt>
                <c:pt idx="5">
                  <c:v>23306783.568303715</c:v>
                </c:pt>
                <c:pt idx="6">
                  <c:v>24510189.753363743</c:v>
                </c:pt>
                <c:pt idx="7">
                  <c:v>25758083.119646348</c:v>
                </c:pt>
                <c:pt idx="8">
                  <c:v>27051928.00355533</c:v>
                </c:pt>
                <c:pt idx="9">
                  <c:v>32450298.620137867</c:v>
                </c:pt>
                <c:pt idx="10">
                  <c:v>33667446.16111466</c:v>
                </c:pt>
                <c:pt idx="11">
                  <c:v>34927449.38359358</c:v>
                </c:pt>
                <c:pt idx="12">
                  <c:v>36231836.21589582</c:v>
                </c:pt>
                <c:pt idx="13">
                  <c:v>37582190.08079732</c:v>
                </c:pt>
                <c:pt idx="14">
                  <c:v>44344593.8397198</c:v>
                </c:pt>
                <c:pt idx="15">
                  <c:v>42807779.561012894</c:v>
                </c:pt>
                <c:pt idx="16">
                  <c:v>44306121.52515143</c:v>
                </c:pt>
                <c:pt idx="17">
                  <c:v>45857361.759668894</c:v>
                </c:pt>
                <c:pt idx="18">
                  <c:v>47271153.7314147</c:v>
                </c:pt>
                <c:pt idx="19">
                  <c:v>47271153.7314147</c:v>
                </c:pt>
              </c:numCache>
            </c:numRef>
          </c:val>
        </c:ser>
        <c:axId val="32898288"/>
        <c:axId val="27649137"/>
      </c:areaChart>
      <c:catAx>
        <c:axId val="3289828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a:t>
                </a:r>
              </a:p>
            </c:rich>
          </c:tx>
          <c:layout>
            <c:manualLayout>
              <c:xMode val="factor"/>
              <c:yMode val="factor"/>
              <c:x val="0.0062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7649137"/>
        <c:crosses val="autoZero"/>
        <c:auto val="1"/>
        <c:lblOffset val="100"/>
        <c:tickLblSkip val="1"/>
        <c:noMultiLvlLbl val="0"/>
      </c:catAx>
      <c:valAx>
        <c:axId val="2764913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In millions US Dollars, PPP</a:t>
                </a:r>
              </a:p>
            </c:rich>
          </c:tx>
          <c:layout>
            <c:manualLayout>
              <c:xMode val="factor"/>
              <c:yMode val="factor"/>
              <c:x val="-0.01825"/>
              <c:y val="-0.007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2898288"/>
        <c:crossesAt val="1"/>
        <c:crossBetween val="midCat"/>
        <c:dispUnits>
          <c:builtInUnit val="millions"/>
        </c:dispUnits>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3.png" /><Relationship Id="rId5"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123825</xdr:rowOff>
    </xdr:from>
    <xdr:to>
      <xdr:col>1</xdr:col>
      <xdr:colOff>2638425</xdr:colOff>
      <xdr:row>4</xdr:row>
      <xdr:rowOff>171450</xdr:rowOff>
    </xdr:to>
    <xdr:pic>
      <xdr:nvPicPr>
        <xdr:cNvPr id="1" name="Picture 1" descr="content-branding-logo-horz"/>
        <xdr:cNvPicPr preferRelativeResize="1">
          <a:picLocks noChangeAspect="1"/>
        </xdr:cNvPicPr>
      </xdr:nvPicPr>
      <xdr:blipFill>
        <a:blip r:embed="rId1"/>
        <a:stretch>
          <a:fillRect/>
        </a:stretch>
      </xdr:blipFill>
      <xdr:spPr>
        <a:xfrm>
          <a:off x="123825" y="123825"/>
          <a:ext cx="263842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0</xdr:col>
      <xdr:colOff>2619375</xdr:colOff>
      <xdr:row>6</xdr:row>
      <xdr:rowOff>76200</xdr:rowOff>
    </xdr:to>
    <xdr:pic>
      <xdr:nvPicPr>
        <xdr:cNvPr id="1" name="Picture 2"/>
        <xdr:cNvPicPr preferRelativeResize="1">
          <a:picLocks noChangeAspect="1"/>
        </xdr:cNvPicPr>
      </xdr:nvPicPr>
      <xdr:blipFill>
        <a:blip r:embed="rId1"/>
        <a:stretch>
          <a:fillRect/>
        </a:stretch>
      </xdr:blipFill>
      <xdr:spPr>
        <a:xfrm>
          <a:off x="0" y="123825"/>
          <a:ext cx="26193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21</xdr:row>
      <xdr:rowOff>19050</xdr:rowOff>
    </xdr:from>
    <xdr:to>
      <xdr:col>1</xdr:col>
      <xdr:colOff>2276475</xdr:colOff>
      <xdr:row>22</xdr:row>
      <xdr:rowOff>9525</xdr:rowOff>
    </xdr:to>
    <xdr:pic>
      <xdr:nvPicPr>
        <xdr:cNvPr id="1" name="Picture 2" descr="MCC horizontal"/>
        <xdr:cNvPicPr preferRelativeResize="1">
          <a:picLocks noChangeAspect="1"/>
        </xdr:cNvPicPr>
      </xdr:nvPicPr>
      <xdr:blipFill>
        <a:blip r:embed="rId1"/>
        <a:stretch>
          <a:fillRect/>
        </a:stretch>
      </xdr:blipFill>
      <xdr:spPr>
        <a:xfrm>
          <a:off x="476250" y="5638800"/>
          <a:ext cx="2181225"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37</xdr:row>
      <xdr:rowOff>152400</xdr:rowOff>
    </xdr:from>
    <xdr:to>
      <xdr:col>7</xdr:col>
      <xdr:colOff>238125</xdr:colOff>
      <xdr:row>70</xdr:row>
      <xdr:rowOff>19050</xdr:rowOff>
    </xdr:to>
    <xdr:graphicFrame>
      <xdr:nvGraphicFramePr>
        <xdr:cNvPr id="1" name="Chart 5"/>
        <xdr:cNvGraphicFramePr/>
      </xdr:nvGraphicFramePr>
      <xdr:xfrm>
        <a:off x="619125" y="8486775"/>
        <a:ext cx="10629900" cy="5210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7</xdr:row>
      <xdr:rowOff>0</xdr:rowOff>
    </xdr:from>
    <xdr:to>
      <xdr:col>0</xdr:col>
      <xdr:colOff>28575</xdr:colOff>
      <xdr:row>7</xdr:row>
      <xdr:rowOff>28575</xdr:rowOff>
    </xdr:to>
    <xdr:pic>
      <xdr:nvPicPr>
        <xdr:cNvPr id="2" name="CB_00000000000000000000000000000001"/>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7</xdr:row>
      <xdr:rowOff>0</xdr:rowOff>
    </xdr:from>
    <xdr:to>
      <xdr:col>0</xdr:col>
      <xdr:colOff>28575</xdr:colOff>
      <xdr:row>7</xdr:row>
      <xdr:rowOff>28575</xdr:rowOff>
    </xdr:to>
    <xdr:pic>
      <xdr:nvPicPr>
        <xdr:cNvPr id="3" name="CB_00000000000000000000000000000003"/>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7</xdr:row>
      <xdr:rowOff>0</xdr:rowOff>
    </xdr:from>
    <xdr:to>
      <xdr:col>0</xdr:col>
      <xdr:colOff>28575</xdr:colOff>
      <xdr:row>7</xdr:row>
      <xdr:rowOff>28575</xdr:rowOff>
    </xdr:to>
    <xdr:pic>
      <xdr:nvPicPr>
        <xdr:cNvPr id="4" name="CB_00000000000000000000000000000000"/>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28575</xdr:colOff>
      <xdr:row>0</xdr:row>
      <xdr:rowOff>28575</xdr:rowOff>
    </xdr:to>
    <xdr:pic>
      <xdr:nvPicPr>
        <xdr:cNvPr id="5" name="CB_Block_0"/>
        <xdr:cNvPicPr preferRelativeResize="1">
          <a:picLocks noChangeAspect="1"/>
        </xdr:cNvPicPr>
      </xdr:nvPicPr>
      <xdr:blipFill>
        <a:blip r:embed="rId2"/>
        <a:stretch>
          <a:fillRect/>
        </a:stretch>
      </xdr:blipFill>
      <xdr:spPr>
        <a:xfrm>
          <a:off x="0" y="0"/>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7</xdr:row>
      <xdr:rowOff>0</xdr:rowOff>
    </xdr:from>
    <xdr:to>
      <xdr:col>0</xdr:col>
      <xdr:colOff>28575</xdr:colOff>
      <xdr:row>7</xdr:row>
      <xdr:rowOff>28575</xdr:rowOff>
    </xdr:to>
    <xdr:pic>
      <xdr:nvPicPr>
        <xdr:cNvPr id="7" name="Picture 6"/>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7</xdr:row>
      <xdr:rowOff>0</xdr:rowOff>
    </xdr:from>
    <xdr:to>
      <xdr:col>0</xdr:col>
      <xdr:colOff>28575</xdr:colOff>
      <xdr:row>7</xdr:row>
      <xdr:rowOff>28575</xdr:rowOff>
    </xdr:to>
    <xdr:pic>
      <xdr:nvPicPr>
        <xdr:cNvPr id="8" name="Picture 7"/>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7</xdr:row>
      <xdr:rowOff>0</xdr:rowOff>
    </xdr:from>
    <xdr:to>
      <xdr:col>0</xdr:col>
      <xdr:colOff>28575</xdr:colOff>
      <xdr:row>7</xdr:row>
      <xdr:rowOff>28575</xdr:rowOff>
    </xdr:to>
    <xdr:pic>
      <xdr:nvPicPr>
        <xdr:cNvPr id="9" name="Picture 8"/>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28575</xdr:colOff>
      <xdr:row>0</xdr:row>
      <xdr:rowOff>28575</xdr:rowOff>
    </xdr:to>
    <xdr:pic>
      <xdr:nvPicPr>
        <xdr:cNvPr id="10" name="Picture 9"/>
        <xdr:cNvPicPr preferRelativeResize="1">
          <a:picLocks noChangeAspect="1"/>
        </xdr:cNvPicPr>
      </xdr:nvPicPr>
      <xdr:blipFill>
        <a:blip r:embed="rId2"/>
        <a:stretch>
          <a:fillRect/>
        </a:stretch>
      </xdr:blipFill>
      <xdr:spPr>
        <a:xfrm>
          <a:off x="0" y="0"/>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1" name="Picture 10"/>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7</xdr:row>
      <xdr:rowOff>0</xdr:rowOff>
    </xdr:from>
    <xdr:to>
      <xdr:col>0</xdr:col>
      <xdr:colOff>28575</xdr:colOff>
      <xdr:row>7</xdr:row>
      <xdr:rowOff>28575</xdr:rowOff>
    </xdr:to>
    <xdr:pic>
      <xdr:nvPicPr>
        <xdr:cNvPr id="12" name="Picture 11"/>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7</xdr:row>
      <xdr:rowOff>0</xdr:rowOff>
    </xdr:from>
    <xdr:to>
      <xdr:col>0</xdr:col>
      <xdr:colOff>28575</xdr:colOff>
      <xdr:row>7</xdr:row>
      <xdr:rowOff>28575</xdr:rowOff>
    </xdr:to>
    <xdr:pic>
      <xdr:nvPicPr>
        <xdr:cNvPr id="13" name="Picture 12"/>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7</xdr:row>
      <xdr:rowOff>0</xdr:rowOff>
    </xdr:from>
    <xdr:to>
      <xdr:col>0</xdr:col>
      <xdr:colOff>28575</xdr:colOff>
      <xdr:row>7</xdr:row>
      <xdr:rowOff>28575</xdr:rowOff>
    </xdr:to>
    <xdr:pic>
      <xdr:nvPicPr>
        <xdr:cNvPr id="14" name="Picture 13"/>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28575</xdr:colOff>
      <xdr:row>0</xdr:row>
      <xdr:rowOff>28575</xdr:rowOff>
    </xdr:to>
    <xdr:pic>
      <xdr:nvPicPr>
        <xdr:cNvPr id="15" name="Picture 14"/>
        <xdr:cNvPicPr preferRelativeResize="1">
          <a:picLocks noChangeAspect="1"/>
        </xdr:cNvPicPr>
      </xdr:nvPicPr>
      <xdr:blipFill>
        <a:blip r:embed="rId2"/>
        <a:stretch>
          <a:fillRect/>
        </a:stretch>
      </xdr:blipFill>
      <xdr:spPr>
        <a:xfrm>
          <a:off x="0" y="0"/>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6" name="Picture 15"/>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7</xdr:row>
      <xdr:rowOff>0</xdr:rowOff>
    </xdr:from>
    <xdr:to>
      <xdr:col>0</xdr:col>
      <xdr:colOff>28575</xdr:colOff>
      <xdr:row>7</xdr:row>
      <xdr:rowOff>28575</xdr:rowOff>
    </xdr:to>
    <xdr:pic>
      <xdr:nvPicPr>
        <xdr:cNvPr id="17" name="Picture 16"/>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7</xdr:row>
      <xdr:rowOff>0</xdr:rowOff>
    </xdr:from>
    <xdr:to>
      <xdr:col>0</xdr:col>
      <xdr:colOff>28575</xdr:colOff>
      <xdr:row>7</xdr:row>
      <xdr:rowOff>28575</xdr:rowOff>
    </xdr:to>
    <xdr:pic>
      <xdr:nvPicPr>
        <xdr:cNvPr id="18" name="Picture 17"/>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7</xdr:row>
      <xdr:rowOff>0</xdr:rowOff>
    </xdr:from>
    <xdr:to>
      <xdr:col>0</xdr:col>
      <xdr:colOff>28575</xdr:colOff>
      <xdr:row>7</xdr:row>
      <xdr:rowOff>28575</xdr:rowOff>
    </xdr:to>
    <xdr:pic>
      <xdr:nvPicPr>
        <xdr:cNvPr id="19" name="Picture 18"/>
        <xdr:cNvPicPr preferRelativeResize="1">
          <a:picLocks noChangeAspect="1"/>
        </xdr:cNvPicPr>
      </xdr:nvPicPr>
      <xdr:blipFill>
        <a:blip r:embed="rId2"/>
        <a:stretch>
          <a:fillRect/>
        </a:stretch>
      </xdr:blipFill>
      <xdr:spPr>
        <a:xfrm>
          <a:off x="0" y="1228725"/>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28575</xdr:colOff>
      <xdr:row>0</xdr:row>
      <xdr:rowOff>28575</xdr:rowOff>
    </xdr:to>
    <xdr:pic>
      <xdr:nvPicPr>
        <xdr:cNvPr id="20" name="Picture 20"/>
        <xdr:cNvPicPr preferRelativeResize="1">
          <a:picLocks noChangeAspect="1"/>
        </xdr:cNvPicPr>
      </xdr:nvPicPr>
      <xdr:blipFill>
        <a:blip r:embed="rId2"/>
        <a:stretch>
          <a:fillRect/>
        </a:stretch>
      </xdr:blipFill>
      <xdr:spPr>
        <a:xfrm>
          <a:off x="0" y="0"/>
          <a:ext cx="28575" cy="2857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1" name="Picture 2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5</xdr:col>
      <xdr:colOff>476250</xdr:colOff>
      <xdr:row>3</xdr:row>
      <xdr:rowOff>95250</xdr:rowOff>
    </xdr:from>
    <xdr:to>
      <xdr:col>6</xdr:col>
      <xdr:colOff>1200150</xdr:colOff>
      <xdr:row>4</xdr:row>
      <xdr:rowOff>85725</xdr:rowOff>
    </xdr:to>
    <xdr:pic>
      <xdr:nvPicPr>
        <xdr:cNvPr id="22" name="Picture 4" descr="MCC horizontal"/>
        <xdr:cNvPicPr preferRelativeResize="1">
          <a:picLocks noChangeAspect="1"/>
        </xdr:cNvPicPr>
      </xdr:nvPicPr>
      <xdr:blipFill>
        <a:blip r:embed="rId4"/>
        <a:stretch>
          <a:fillRect/>
        </a:stretch>
      </xdr:blipFill>
      <xdr:spPr>
        <a:xfrm>
          <a:off x="8820150" y="676275"/>
          <a:ext cx="2171700" cy="152400"/>
        </a:xfrm>
        <a:prstGeom prst="rect">
          <a:avLst/>
        </a:prstGeom>
        <a:noFill/>
        <a:ln w="9525" cmpd="sng">
          <a:noFill/>
        </a:ln>
      </xdr:spPr>
    </xdr:pic>
    <xdr:clientData/>
  </xdr:twoCellAnchor>
  <xdr:twoCellAnchor editAs="oneCell">
    <xdr:from>
      <xdr:col>1</xdr:col>
      <xdr:colOff>438150</xdr:colOff>
      <xdr:row>71</xdr:row>
      <xdr:rowOff>114300</xdr:rowOff>
    </xdr:from>
    <xdr:to>
      <xdr:col>6</xdr:col>
      <xdr:colOff>1190625</xdr:colOff>
      <xdr:row>110</xdr:row>
      <xdr:rowOff>0</xdr:rowOff>
    </xdr:to>
    <xdr:pic>
      <xdr:nvPicPr>
        <xdr:cNvPr id="23" name="Picture 1"/>
        <xdr:cNvPicPr preferRelativeResize="1">
          <a:picLocks noChangeAspect="1"/>
        </xdr:cNvPicPr>
      </xdr:nvPicPr>
      <xdr:blipFill>
        <a:blip r:embed="rId5"/>
        <a:stretch>
          <a:fillRect/>
        </a:stretch>
      </xdr:blipFill>
      <xdr:spPr>
        <a:xfrm>
          <a:off x="723900" y="13954125"/>
          <a:ext cx="10258425" cy="6200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123825</xdr:rowOff>
    </xdr:from>
    <xdr:to>
      <xdr:col>1</xdr:col>
      <xdr:colOff>2638425</xdr:colOff>
      <xdr:row>4</xdr:row>
      <xdr:rowOff>171450</xdr:rowOff>
    </xdr:to>
    <xdr:pic>
      <xdr:nvPicPr>
        <xdr:cNvPr id="1" name="Picture 1" descr="content-branding-logo-horz"/>
        <xdr:cNvPicPr preferRelativeResize="1">
          <a:picLocks noChangeAspect="1"/>
        </xdr:cNvPicPr>
      </xdr:nvPicPr>
      <xdr:blipFill>
        <a:blip r:embed="rId1"/>
        <a:stretch>
          <a:fillRect/>
        </a:stretch>
      </xdr:blipFill>
      <xdr:spPr>
        <a:xfrm>
          <a:off x="123825" y="123825"/>
          <a:ext cx="26384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divisions\Economic%20Analysis\Research\Conditional%20Cash%20Transfers\CCT%20ERR%20and%20BA%20-%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R"/>
      <sheetName val="Poverty Scorecard"/>
      <sheetName val="Assumption &amp; Data"/>
      <sheetName val="Sheet3"/>
    </sheetNames>
    <sheetDataSet>
      <sheetData sheetId="2">
        <row r="46">
          <cell r="B46">
            <v>5.833333333333334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B77"/>
  <sheetViews>
    <sheetView zoomScalePageLayoutView="0" workbookViewId="0" topLeftCell="A58">
      <selection activeCell="L34" sqref="L34"/>
    </sheetView>
  </sheetViews>
  <sheetFormatPr defaultColWidth="9.140625" defaultRowHeight="12.75"/>
  <cols>
    <col min="1" max="1" width="18.140625" style="8" customWidth="1"/>
    <col min="2" max="2" width="19.421875" style="7" customWidth="1"/>
    <col min="3" max="3" width="9.140625" style="7" customWidth="1"/>
    <col min="4" max="4" width="15.00390625" style="7" customWidth="1"/>
    <col min="5" max="5" width="14.00390625" style="0" customWidth="1"/>
    <col min="6" max="6" width="14.421875" style="7" customWidth="1"/>
    <col min="7" max="7" width="15.8515625" style="7" customWidth="1"/>
    <col min="8" max="8" width="13.7109375" style="8" customWidth="1"/>
    <col min="9" max="9" width="15.00390625" style="0" customWidth="1"/>
    <col min="10" max="10" width="15.57421875" style="0" customWidth="1"/>
    <col min="12" max="12" width="14.00390625" style="0" customWidth="1"/>
    <col min="14" max="14" width="13.140625" style="0" customWidth="1"/>
  </cols>
  <sheetData>
    <row r="1" ht="12.75">
      <c r="A1" s="10" t="s">
        <v>60</v>
      </c>
    </row>
    <row r="2" ht="12.75">
      <c r="A2" s="8" t="s">
        <v>111</v>
      </c>
    </row>
    <row r="3" ht="12.75">
      <c r="A3" s="81" t="s">
        <v>236</v>
      </c>
    </row>
    <row r="4" ht="12.75">
      <c r="A4" s="81" t="s">
        <v>237</v>
      </c>
    </row>
    <row r="5" ht="12.75">
      <c r="E5" s="7"/>
    </row>
    <row r="6" spans="2:4" ht="12.75">
      <c r="B6" s="11"/>
      <c r="D6" s="11"/>
    </row>
    <row r="7" ht="12.75">
      <c r="A7" s="7"/>
    </row>
    <row r="8" spans="1:10" s="1" customFormat="1" ht="12.75">
      <c r="A8" s="10" t="s">
        <v>13</v>
      </c>
      <c r="B8" s="9" t="s">
        <v>13</v>
      </c>
      <c r="C8" s="9"/>
      <c r="D8" s="9" t="s">
        <v>17</v>
      </c>
      <c r="E8" s="1" t="s">
        <v>18</v>
      </c>
      <c r="F8" s="9" t="s">
        <v>17</v>
      </c>
      <c r="G8" s="9" t="s">
        <v>19</v>
      </c>
      <c r="H8" s="10"/>
      <c r="I8" s="9"/>
      <c r="J8" s="9"/>
    </row>
    <row r="9" spans="1:10" s="1" customFormat="1" ht="12.75">
      <c r="A9" s="10" t="s">
        <v>15</v>
      </c>
      <c r="B9" s="9" t="s">
        <v>14</v>
      </c>
      <c r="C9" s="9"/>
      <c r="D9" s="9" t="s">
        <v>16</v>
      </c>
      <c r="E9" s="1" t="s">
        <v>11</v>
      </c>
      <c r="F9" s="9" t="s">
        <v>11</v>
      </c>
      <c r="G9" s="9" t="s">
        <v>11</v>
      </c>
      <c r="H9" s="10"/>
      <c r="I9" s="9"/>
      <c r="J9" s="9"/>
    </row>
    <row r="10" spans="1:10" s="1" customFormat="1" ht="12.75">
      <c r="A10" s="10"/>
      <c r="B10" s="9"/>
      <c r="C10" s="9"/>
      <c r="D10" s="9"/>
      <c r="F10" s="9" t="s">
        <v>12</v>
      </c>
      <c r="G10" s="9" t="s">
        <v>12</v>
      </c>
      <c r="H10" s="10"/>
      <c r="I10" s="9"/>
      <c r="J10" s="9"/>
    </row>
    <row r="11" spans="1:10" ht="12.75">
      <c r="A11" s="8">
        <v>2</v>
      </c>
      <c r="B11" s="17">
        <f>A11*B$15</f>
        <v>0.76</v>
      </c>
      <c r="C11" s="7">
        <v>365</v>
      </c>
      <c r="D11" s="7">
        <f>B11*C11</f>
        <v>277.4</v>
      </c>
      <c r="E11">
        <v>6</v>
      </c>
      <c r="F11" s="7">
        <f>D11*E11</f>
        <v>1664.3999999999999</v>
      </c>
      <c r="G11" s="7">
        <f>F11/12</f>
        <v>138.7</v>
      </c>
      <c r="I11" s="7"/>
      <c r="J11" s="7"/>
    </row>
    <row r="12" spans="1:10" ht="12.75">
      <c r="A12" s="8">
        <v>4</v>
      </c>
      <c r="B12" s="17">
        <f>A12*B$15</f>
        <v>1.52</v>
      </c>
      <c r="C12" s="7">
        <v>365</v>
      </c>
      <c r="D12" s="7">
        <f>B12*C12</f>
        <v>554.8</v>
      </c>
      <c r="E12">
        <v>6</v>
      </c>
      <c r="F12" s="7">
        <f>D12*E12</f>
        <v>3328.7999999999997</v>
      </c>
      <c r="G12" s="7">
        <f>F12/12</f>
        <v>277.4</v>
      </c>
      <c r="I12" s="7"/>
      <c r="J12" s="7"/>
    </row>
    <row r="14" spans="1:4" ht="12.75">
      <c r="A14" s="8" t="s">
        <v>136</v>
      </c>
      <c r="D14" s="7">
        <v>0.7</v>
      </c>
    </row>
    <row r="15" spans="1:2" ht="12.75">
      <c r="A15" s="8" t="s">
        <v>137</v>
      </c>
      <c r="B15" s="66">
        <v>0.38</v>
      </c>
    </row>
    <row r="16" spans="7:28" ht="12.75">
      <c r="G16" s="7" t="s">
        <v>436</v>
      </c>
      <c r="J16" t="s">
        <v>437</v>
      </c>
      <c r="N16" s="106" t="s">
        <v>438</v>
      </c>
      <c r="R16" s="106" t="s">
        <v>442</v>
      </c>
      <c r="S16" s="106"/>
      <c r="T16" s="106"/>
      <c r="U16" s="106"/>
      <c r="V16" t="s">
        <v>443</v>
      </c>
      <c r="X16" s="106"/>
      <c r="Z16" t="s">
        <v>444</v>
      </c>
      <c r="AB16" s="106"/>
    </row>
    <row r="17" spans="1:28" ht="12.75">
      <c r="A17" s="10" t="s">
        <v>13</v>
      </c>
      <c r="B17" s="9" t="s">
        <v>17</v>
      </c>
      <c r="D17" s="7" t="s">
        <v>23</v>
      </c>
      <c r="E17" s="7" t="s">
        <v>23</v>
      </c>
      <c r="G17" s="7" t="s">
        <v>23</v>
      </c>
      <c r="H17" s="7" t="s">
        <v>23</v>
      </c>
      <c r="J17" s="7" t="s">
        <v>23</v>
      </c>
      <c r="K17" s="7" t="s">
        <v>23</v>
      </c>
      <c r="N17" s="7" t="s">
        <v>23</v>
      </c>
      <c r="O17" s="7" t="s">
        <v>23</v>
      </c>
      <c r="R17" s="7" t="s">
        <v>23</v>
      </c>
      <c r="S17" s="7" t="s">
        <v>23</v>
      </c>
      <c r="T17" s="7"/>
      <c r="U17" s="7"/>
      <c r="V17" s="7" t="s">
        <v>23</v>
      </c>
      <c r="W17" s="7" t="s">
        <v>23</v>
      </c>
      <c r="X17" s="7"/>
      <c r="Y17" s="7"/>
      <c r="Z17" s="7" t="s">
        <v>23</v>
      </c>
      <c r="AA17" s="7" t="s">
        <v>23</v>
      </c>
      <c r="AB17" s="7"/>
    </row>
    <row r="18" spans="1:28" ht="12.75">
      <c r="A18" s="10" t="s">
        <v>15</v>
      </c>
      <c r="B18" s="9" t="s">
        <v>11</v>
      </c>
      <c r="E18" t="s">
        <v>41</v>
      </c>
      <c r="H18" t="s">
        <v>41</v>
      </c>
      <c r="J18" s="7"/>
      <c r="K18" t="s">
        <v>41</v>
      </c>
      <c r="N18" s="7"/>
      <c r="O18" t="s">
        <v>41</v>
      </c>
      <c r="R18" s="7"/>
      <c r="S18" t="s">
        <v>41</v>
      </c>
      <c r="T18" s="7"/>
      <c r="U18" s="7"/>
      <c r="V18" s="7"/>
      <c r="W18" t="s">
        <v>41</v>
      </c>
      <c r="X18" s="7"/>
      <c r="Z18" s="7"/>
      <c r="AA18" t="s">
        <v>41</v>
      </c>
      <c r="AB18" s="7"/>
    </row>
    <row r="19" spans="1:11" ht="12.75">
      <c r="A19" s="10"/>
      <c r="B19" s="9" t="s">
        <v>12</v>
      </c>
      <c r="J19" s="7"/>
      <c r="K19" s="8"/>
    </row>
    <row r="20" spans="1:27" ht="12.75">
      <c r="A20" s="8" t="s">
        <v>20</v>
      </c>
      <c r="B20" s="7" t="s">
        <v>138</v>
      </c>
      <c r="D20" s="11">
        <f>E58</f>
        <v>0.06179515406468532</v>
      </c>
      <c r="E20" s="11">
        <f>D20</f>
        <v>0.06179515406468532</v>
      </c>
      <c r="G20" s="11">
        <f>H58</f>
        <v>0.05059946075754029</v>
      </c>
      <c r="H20" s="11">
        <f>G20</f>
        <v>0.05059946075754029</v>
      </c>
      <c r="J20" s="11">
        <f>K58</f>
        <v>0.07860716628816553</v>
      </c>
      <c r="K20" s="11">
        <f>J20</f>
        <v>0.07860716628816553</v>
      </c>
      <c r="N20" s="11">
        <f>O58</f>
        <v>0.03775901005413766</v>
      </c>
      <c r="O20" s="11">
        <f>N20</f>
        <v>0.03775901005413766</v>
      </c>
      <c r="R20" s="11">
        <f>S58</f>
        <v>0.04089171876205912</v>
      </c>
      <c r="S20" s="11">
        <f>R20</f>
        <v>0.04089171876205912</v>
      </c>
      <c r="V20" s="11">
        <f>W58</f>
        <v>0.07968027671253478</v>
      </c>
      <c r="W20" s="11">
        <f>V20</f>
        <v>0.07968027671253478</v>
      </c>
      <c r="Z20" s="11">
        <f>AA58</f>
        <v>0.14682207207207207</v>
      </c>
      <c r="AA20" s="11">
        <f>Z20</f>
        <v>0.14682207207207207</v>
      </c>
    </row>
    <row r="21" spans="4:27" ht="12.75">
      <c r="D21" s="11"/>
      <c r="E21" s="11"/>
      <c r="G21" s="11"/>
      <c r="H21" s="11"/>
      <c r="J21" s="11"/>
      <c r="K21" s="11"/>
      <c r="N21" s="11"/>
      <c r="O21" s="11"/>
      <c r="R21" s="11"/>
      <c r="S21" s="11"/>
      <c r="V21" s="11"/>
      <c r="W21" s="11"/>
      <c r="Z21" s="11"/>
      <c r="AA21" s="11"/>
    </row>
    <row r="22" spans="1:27" ht="12.75">
      <c r="A22" s="8" t="s">
        <v>21</v>
      </c>
      <c r="B22" s="7" t="s">
        <v>139</v>
      </c>
      <c r="D22" s="11">
        <f>(SUM(D35:D36)+D59+D61)/D$49</f>
        <v>0.3228670236013985</v>
      </c>
      <c r="E22" s="11">
        <f>D20+D22</f>
        <v>0.38466217766608385</v>
      </c>
      <c r="G22" s="11">
        <f>(SUM(G35:G36)+G59+G61)/G$49</f>
        <v>0.2704260015431697</v>
      </c>
      <c r="H22" s="11">
        <f>G20+G22</f>
        <v>0.32102546230071</v>
      </c>
      <c r="J22" s="11">
        <f>(SUM(J35:J36)+J59+J61)/J$49</f>
        <v>0.4064412818571789</v>
      </c>
      <c r="K22" s="11">
        <f>J20+J22</f>
        <v>0.4850484481453444</v>
      </c>
      <c r="N22" s="11">
        <f>(SUM(N35:N36)+N59+N61)/N$49</f>
        <v>0.37198391337973696</v>
      </c>
      <c r="O22" s="11">
        <f>N20+N22</f>
        <v>0.40974292343387464</v>
      </c>
      <c r="R22" s="11">
        <f>(SUM(R35:R36)+R59+R61)/R$49</f>
        <v>0.22397237014741064</v>
      </c>
      <c r="S22" s="11">
        <f>R20+R22</f>
        <v>0.2648640889094698</v>
      </c>
      <c r="V22" s="11">
        <f>(SUM(V35:V36)+V59+V61)/V$49</f>
        <v>0.39291074516880964</v>
      </c>
      <c r="W22" s="11">
        <f>V20+V22</f>
        <v>0.4725910218813444</v>
      </c>
      <c r="Z22" s="11">
        <f>(SUM(Z35:Z36)+Z59+Z61)/Z$49</f>
        <v>0.3803671171171171</v>
      </c>
      <c r="AA22" s="11">
        <f>Z20+Z22</f>
        <v>0.5271891891891892</v>
      </c>
    </row>
    <row r="23" spans="4:27" ht="12.75">
      <c r="D23" s="11"/>
      <c r="E23" s="11"/>
      <c r="G23" s="11"/>
      <c r="H23" s="11"/>
      <c r="J23" s="11"/>
      <c r="K23" s="11"/>
      <c r="N23" s="11"/>
      <c r="O23" s="11"/>
      <c r="R23" s="11"/>
      <c r="S23" s="11"/>
      <c r="V23" s="11"/>
      <c r="W23" s="11"/>
      <c r="Z23" s="11"/>
      <c r="AA23" s="11"/>
    </row>
    <row r="24" spans="4:27" ht="12.75">
      <c r="D24" s="11"/>
      <c r="E24" s="11"/>
      <c r="G24" s="11"/>
      <c r="H24" s="11"/>
      <c r="J24" s="11"/>
      <c r="K24" s="11"/>
      <c r="N24" s="11"/>
      <c r="O24" s="11"/>
      <c r="R24" s="11"/>
      <c r="S24" s="11"/>
      <c r="V24" s="11"/>
      <c r="W24" s="11"/>
      <c r="Z24" s="11"/>
      <c r="AA24" s="11"/>
    </row>
    <row r="25" spans="1:27" ht="12.75">
      <c r="A25" s="8" t="s">
        <v>22</v>
      </c>
      <c r="B25" s="7" t="s">
        <v>140</v>
      </c>
      <c r="D25" s="11">
        <f>(D62+SUM(D38:D48))/D$49</f>
        <v>0.6153378223339162</v>
      </c>
      <c r="E25" s="11">
        <f>E22+D25</f>
        <v>1</v>
      </c>
      <c r="G25" s="11">
        <f>(G62+SUM(G38:G48))/G$49</f>
        <v>0.6789745376992901</v>
      </c>
      <c r="H25" s="11">
        <f>H22+G25</f>
        <v>1</v>
      </c>
      <c r="J25" s="11">
        <f>(J62+SUM(J38:J48))/J$49</f>
        <v>0.5149515518546556</v>
      </c>
      <c r="K25" s="11">
        <f>K22+J25</f>
        <v>1</v>
      </c>
      <c r="N25" s="11">
        <f>(N62+SUM(N38:N48))/N$49</f>
        <v>0.5902570765661254</v>
      </c>
      <c r="O25" s="11">
        <f>O22+N25</f>
        <v>1</v>
      </c>
      <c r="R25" s="11">
        <f>(R62+SUM(R38:R48))/R$49</f>
        <v>0.7351359110905302</v>
      </c>
      <c r="S25" s="11">
        <f>S22+R25</f>
        <v>1</v>
      </c>
      <c r="V25" s="11">
        <f>(V62+SUM(V38:V48))/V$49</f>
        <v>0.5274089781186556</v>
      </c>
      <c r="W25" s="11">
        <f>W22+V25</f>
        <v>1</v>
      </c>
      <c r="Z25" s="11">
        <f>(Z62+SUM(Z38:Z48))/Z$49</f>
        <v>0.4728108108108108</v>
      </c>
      <c r="AA25" s="11">
        <f>AA22+Z25</f>
        <v>1</v>
      </c>
    </row>
    <row r="26" spans="4:27" ht="12.75">
      <c r="D26" s="11"/>
      <c r="E26" s="11"/>
      <c r="G26" s="11"/>
      <c r="H26" s="11"/>
      <c r="J26" s="11"/>
      <c r="K26" s="11"/>
      <c r="N26" s="11"/>
      <c r="O26" s="11"/>
      <c r="R26" s="11"/>
      <c r="S26" s="11"/>
      <c r="V26" s="11"/>
      <c r="W26" s="11"/>
      <c r="Z26" s="11"/>
      <c r="AA26" s="11"/>
    </row>
    <row r="27" spans="4:27" ht="12.75">
      <c r="D27" s="11">
        <f>D20+D22+D25</f>
        <v>1</v>
      </c>
      <c r="E27" s="11"/>
      <c r="G27" s="11">
        <f>G20+G22+G25</f>
        <v>1</v>
      </c>
      <c r="H27" s="11"/>
      <c r="J27" s="11">
        <f>J20+J22+J25</f>
        <v>1</v>
      </c>
      <c r="K27" s="11"/>
      <c r="N27" s="11">
        <f>N20+N22+N25</f>
        <v>1</v>
      </c>
      <c r="O27" s="11"/>
      <c r="R27" s="11">
        <f>R20+R22+R25</f>
        <v>1</v>
      </c>
      <c r="S27" s="11"/>
      <c r="V27" s="11">
        <f>V20+V22+V25</f>
        <v>1</v>
      </c>
      <c r="W27" s="11"/>
      <c r="Z27" s="11">
        <f>Z20+Z22+Z25</f>
        <v>1</v>
      </c>
      <c r="AA27" s="11"/>
    </row>
    <row r="31" spans="1:26" ht="12.75">
      <c r="A31" s="10" t="s">
        <v>37</v>
      </c>
      <c r="G31" s="7" t="s">
        <v>439</v>
      </c>
      <c r="J31" t="s">
        <v>440</v>
      </c>
      <c r="N31" s="106" t="s">
        <v>438</v>
      </c>
      <c r="R31" t="s">
        <v>445</v>
      </c>
      <c r="V31" t="s">
        <v>446</v>
      </c>
      <c r="Z31" t="s">
        <v>447</v>
      </c>
    </row>
    <row r="32" spans="4:27" ht="12.75">
      <c r="D32" s="7" t="s">
        <v>107</v>
      </c>
      <c r="E32" t="s">
        <v>23</v>
      </c>
      <c r="F32" s="7" t="s">
        <v>23</v>
      </c>
      <c r="G32" t="s">
        <v>23</v>
      </c>
      <c r="H32" s="7" t="s">
        <v>23</v>
      </c>
      <c r="J32" t="s">
        <v>23</v>
      </c>
      <c r="K32" s="7" t="s">
        <v>23</v>
      </c>
      <c r="N32" s="7" t="s">
        <v>23</v>
      </c>
      <c r="O32" s="7" t="s">
        <v>23</v>
      </c>
      <c r="R32" s="7" t="s">
        <v>107</v>
      </c>
      <c r="S32" s="7" t="s">
        <v>23</v>
      </c>
      <c r="V32" s="7" t="s">
        <v>107</v>
      </c>
      <c r="W32" s="7" t="s">
        <v>23</v>
      </c>
      <c r="Z32" s="7" t="s">
        <v>107</v>
      </c>
      <c r="AA32" s="7" t="s">
        <v>23</v>
      </c>
    </row>
    <row r="33" spans="6:27" ht="12.75">
      <c r="F33" s="7" t="s">
        <v>41</v>
      </c>
      <c r="G33"/>
      <c r="H33" s="7" t="s">
        <v>41</v>
      </c>
      <c r="K33" s="7" t="s">
        <v>41</v>
      </c>
      <c r="N33" s="7"/>
      <c r="O33" t="s">
        <v>41</v>
      </c>
      <c r="R33" s="7"/>
      <c r="S33" t="s">
        <v>41</v>
      </c>
      <c r="W33" t="s">
        <v>41</v>
      </c>
      <c r="AA33" t="s">
        <v>41</v>
      </c>
    </row>
    <row r="34" spans="1:28" ht="12.75">
      <c r="A34" s="73" t="s">
        <v>36</v>
      </c>
      <c r="B34" s="7" t="s">
        <v>141</v>
      </c>
      <c r="C34" s="7">
        <v>1800</v>
      </c>
      <c r="D34" s="7">
        <v>9786</v>
      </c>
      <c r="E34" s="11">
        <f>D34/D$49</f>
        <v>0.06682965472027973</v>
      </c>
      <c r="F34" s="11">
        <f>E34</f>
        <v>0.06682965472027973</v>
      </c>
      <c r="G34" s="7">
        <v>4208</v>
      </c>
      <c r="H34" s="11">
        <f>G34/G$49</f>
        <v>0.054721839319618194</v>
      </c>
      <c r="I34" s="11">
        <f>H34</f>
        <v>0.054721839319618194</v>
      </c>
      <c r="J34" s="7">
        <v>4492</v>
      </c>
      <c r="K34" s="11">
        <f>J34/J$49</f>
        <v>0.08501135503406511</v>
      </c>
      <c r="L34" s="11">
        <f>K34</f>
        <v>0.08501135503406511</v>
      </c>
      <c r="N34">
        <v>88</v>
      </c>
      <c r="O34" s="11">
        <f>N34/N$49</f>
        <v>0.04083526682134571</v>
      </c>
      <c r="P34" s="11">
        <f>O34</f>
        <v>0.04083526682134571</v>
      </c>
      <c r="R34">
        <v>382</v>
      </c>
      <c r="S34" s="11">
        <f>R34/R$49</f>
        <v>0.044223199814771935</v>
      </c>
      <c r="T34" s="11">
        <f>S34</f>
        <v>0.044223199814771935</v>
      </c>
      <c r="V34">
        <v>382</v>
      </c>
      <c r="W34" s="11">
        <f>V34/V$49</f>
        <v>0.08617189262350552</v>
      </c>
      <c r="X34" s="11">
        <f>W34</f>
        <v>0.08617189262350552</v>
      </c>
      <c r="Z34">
        <v>235</v>
      </c>
      <c r="AA34" s="11">
        <f>Z34/Z$49</f>
        <v>0.15878378378378377</v>
      </c>
      <c r="AB34" s="11">
        <f>AA34</f>
        <v>0.15878378378378377</v>
      </c>
    </row>
    <row r="35" spans="1:28" ht="12.75">
      <c r="A35" s="11">
        <f>SUM(D34:D39)/D$49</f>
        <v>0.6441761363636364</v>
      </c>
      <c r="B35" s="7">
        <v>1800</v>
      </c>
      <c r="C35" s="7">
        <v>2400</v>
      </c>
      <c r="D35" s="7">
        <v>14742</v>
      </c>
      <c r="E35" s="11">
        <f aca="true" t="shared" si="0" ref="E35:E50">D35/D$49</f>
        <v>0.10067471590909091</v>
      </c>
      <c r="F35" s="11">
        <f>F34+E35</f>
        <v>0.16750437062937062</v>
      </c>
      <c r="G35" s="7">
        <v>5749</v>
      </c>
      <c r="H35" s="11">
        <f aca="true" t="shared" si="1" ref="H35:H48">G35/G$49</f>
        <v>0.0747613722073396</v>
      </c>
      <c r="I35" s="11">
        <f>I34+H35</f>
        <v>0.1294832115269578</v>
      </c>
      <c r="J35" s="7">
        <v>7563</v>
      </c>
      <c r="K35" s="11">
        <f aca="true" t="shared" si="2" ref="K35:K48">J35/J$49</f>
        <v>0.14313020439061316</v>
      </c>
      <c r="L35" s="11">
        <f>L34+K35</f>
        <v>0.2281415594246783</v>
      </c>
      <c r="N35">
        <v>280</v>
      </c>
      <c r="O35" s="11">
        <f aca="true" t="shared" si="3" ref="O35:O48">N35/N$49</f>
        <v>0.12993039443155452</v>
      </c>
      <c r="P35" s="11">
        <f>P34+O35</f>
        <v>0.1707656612529002</v>
      </c>
      <c r="R35">
        <v>545</v>
      </c>
      <c r="S35" s="11">
        <f aca="true" t="shared" si="4" ref="S35:S48">R35/R$49</f>
        <v>0.0630933086362584</v>
      </c>
      <c r="T35" s="11">
        <f>T34+S35</f>
        <v>0.10731650845103033</v>
      </c>
      <c r="V35">
        <v>383</v>
      </c>
      <c r="W35" s="11">
        <f aca="true" t="shared" si="5" ref="W35:W48">V35/V$49</f>
        <v>0.08639747349424769</v>
      </c>
      <c r="X35" s="11">
        <f>X34+W35</f>
        <v>0.1725693661177532</v>
      </c>
      <c r="Z35">
        <v>236</v>
      </c>
      <c r="AA35" s="11">
        <f aca="true" t="shared" si="6" ref="AA35:AA48">Z35/Z$49</f>
        <v>0.15945945945945947</v>
      </c>
      <c r="AB35" s="11">
        <f>AB34+AA35</f>
        <v>0.31824324324324327</v>
      </c>
    </row>
    <row r="36" spans="1:28" ht="12.75">
      <c r="A36" s="11"/>
      <c r="B36" s="7">
        <v>2400</v>
      </c>
      <c r="C36" s="7">
        <v>3000</v>
      </c>
      <c r="D36" s="7">
        <v>21634</v>
      </c>
      <c r="E36" s="11">
        <f t="shared" si="0"/>
        <v>0.14774093094405594</v>
      </c>
      <c r="F36" s="11">
        <f aca="true" t="shared" si="7" ref="F36:F48">F35+E36</f>
        <v>0.31524530157342656</v>
      </c>
      <c r="G36" s="7">
        <v>9281</v>
      </c>
      <c r="H36" s="11">
        <f t="shared" si="1"/>
        <v>0.12069234570469974</v>
      </c>
      <c r="I36" s="11">
        <f aca="true" t="shared" si="8" ref="I36:I48">I35+H36</f>
        <v>0.2501755572316575</v>
      </c>
      <c r="J36" s="7">
        <v>9865</v>
      </c>
      <c r="K36" s="11">
        <f t="shared" si="2"/>
        <v>0.18669568508705525</v>
      </c>
      <c r="L36" s="11">
        <f aca="true" t="shared" si="9" ref="L36:L48">L35+K36</f>
        <v>0.41483724451173354</v>
      </c>
      <c r="N36">
        <v>281</v>
      </c>
      <c r="O36" s="11">
        <f t="shared" si="3"/>
        <v>0.13039443155452435</v>
      </c>
      <c r="P36" s="11">
        <f aca="true" t="shared" si="10" ref="P36:P48">P35+O36</f>
        <v>0.30116009280742456</v>
      </c>
      <c r="R36">
        <v>1168</v>
      </c>
      <c r="S36" s="11">
        <f t="shared" si="4"/>
        <v>0.1352164852975226</v>
      </c>
      <c r="T36" s="11">
        <f aca="true" t="shared" si="11" ref="T36:T48">T35+S36</f>
        <v>0.24253299374855292</v>
      </c>
      <c r="V36">
        <v>822</v>
      </c>
      <c r="W36" s="11">
        <f t="shared" si="5"/>
        <v>0.1854274757500564</v>
      </c>
      <c r="X36" s="11">
        <f aca="true" t="shared" si="12" ref="X36:X48">X35+W36</f>
        <v>0.35799684186780956</v>
      </c>
      <c r="Z36">
        <v>238</v>
      </c>
      <c r="AA36" s="11">
        <f t="shared" si="6"/>
        <v>0.1608108108108108</v>
      </c>
      <c r="AB36" s="11">
        <f aca="true" t="shared" si="13" ref="AB36:AB48">AB35+AA36</f>
        <v>0.4790540540540541</v>
      </c>
    </row>
    <row r="37" spans="1:28" ht="12.75">
      <c r="A37" s="11"/>
      <c r="B37" s="7">
        <v>3000</v>
      </c>
      <c r="C37" s="7">
        <v>3600</v>
      </c>
      <c r="D37" s="7">
        <v>18549</v>
      </c>
      <c r="E37" s="11">
        <f t="shared" si="0"/>
        <v>0.12667313155594406</v>
      </c>
      <c r="F37" s="11">
        <f t="shared" si="7"/>
        <v>0.4419184331293706</v>
      </c>
      <c r="G37" s="7">
        <v>9942</v>
      </c>
      <c r="H37" s="11">
        <f t="shared" si="1"/>
        <v>0.1292881479362272</v>
      </c>
      <c r="I37" s="11">
        <f t="shared" si="8"/>
        <v>0.37946370516788475</v>
      </c>
      <c r="J37" s="7">
        <v>6770</v>
      </c>
      <c r="K37" s="11">
        <f t="shared" si="2"/>
        <v>0.1281226343679031</v>
      </c>
      <c r="L37" s="11">
        <f t="shared" si="9"/>
        <v>0.5429598788796366</v>
      </c>
      <c r="N37">
        <v>427</v>
      </c>
      <c r="O37" s="11">
        <f t="shared" si="3"/>
        <v>0.19814385150812064</v>
      </c>
      <c r="P37" s="11">
        <f t="shared" si="10"/>
        <v>0.4993039443155452</v>
      </c>
      <c r="R37">
        <v>352</v>
      </c>
      <c r="S37" s="11">
        <f t="shared" si="4"/>
        <v>0.040750173651308175</v>
      </c>
      <c r="T37" s="11">
        <f t="shared" si="11"/>
        <v>0.2832831673998611</v>
      </c>
      <c r="V37">
        <v>927</v>
      </c>
      <c r="W37" s="11">
        <f t="shared" si="5"/>
        <v>0.20911346717798332</v>
      </c>
      <c r="X37" s="11">
        <f t="shared" si="12"/>
        <v>0.5671103090457928</v>
      </c>
      <c r="Z37">
        <v>130</v>
      </c>
      <c r="AA37" s="11">
        <f t="shared" si="6"/>
        <v>0.08783783783783784</v>
      </c>
      <c r="AB37" s="11">
        <f t="shared" si="13"/>
        <v>0.5668918918918919</v>
      </c>
    </row>
    <row r="38" spans="1:28" ht="12.75">
      <c r="A38" s="11"/>
      <c r="B38" s="7">
        <v>3600</v>
      </c>
      <c r="C38" s="7">
        <v>4200</v>
      </c>
      <c r="D38" s="7">
        <v>16389</v>
      </c>
      <c r="E38" s="11">
        <f t="shared" si="0"/>
        <v>0.11192225743006994</v>
      </c>
      <c r="F38" s="11">
        <f t="shared" si="7"/>
        <v>0.5538406905594405</v>
      </c>
      <c r="G38" s="7">
        <v>8276</v>
      </c>
      <c r="H38" s="11">
        <f t="shared" si="1"/>
        <v>0.107623085125751</v>
      </c>
      <c r="I38" s="11">
        <f t="shared" si="8"/>
        <v>0.4870867902936358</v>
      </c>
      <c r="J38" s="7">
        <v>6572</v>
      </c>
      <c r="K38" s="11">
        <f t="shared" si="2"/>
        <v>0.12437547312641938</v>
      </c>
      <c r="L38" s="11">
        <f t="shared" si="9"/>
        <v>0.667335352006056</v>
      </c>
      <c r="N38">
        <v>426</v>
      </c>
      <c r="O38" s="11">
        <f t="shared" si="3"/>
        <v>0.1976798143851508</v>
      </c>
      <c r="P38" s="11">
        <f t="shared" si="10"/>
        <v>0.696983758700696</v>
      </c>
      <c r="R38">
        <v>541</v>
      </c>
      <c r="S38" s="11">
        <f t="shared" si="4"/>
        <v>0.06263023848112989</v>
      </c>
      <c r="T38" s="11">
        <f t="shared" si="11"/>
        <v>0.34591340588099095</v>
      </c>
      <c r="V38">
        <v>475</v>
      </c>
      <c r="W38" s="11">
        <f t="shared" si="5"/>
        <v>0.1071509136025265</v>
      </c>
      <c r="X38" s="11">
        <f t="shared" si="12"/>
        <v>0.6742612226483193</v>
      </c>
      <c r="Z38">
        <v>98</v>
      </c>
      <c r="AA38" s="11">
        <f t="shared" si="6"/>
        <v>0.06621621621621622</v>
      </c>
      <c r="AB38" s="11">
        <f t="shared" si="13"/>
        <v>0.6331081081081081</v>
      </c>
    </row>
    <row r="39" spans="1:28" ht="12.75">
      <c r="A39" s="11"/>
      <c r="B39" s="7">
        <v>4200</v>
      </c>
      <c r="C39" s="7">
        <v>4800</v>
      </c>
      <c r="D39" s="7">
        <v>13228</v>
      </c>
      <c r="E39" s="11">
        <f t="shared" si="0"/>
        <v>0.09033544580419581</v>
      </c>
      <c r="F39" s="11">
        <f t="shared" si="7"/>
        <v>0.6441761363636364</v>
      </c>
      <c r="G39" s="7">
        <v>7566</v>
      </c>
      <c r="H39" s="11">
        <f t="shared" si="1"/>
        <v>0.09839007516450363</v>
      </c>
      <c r="I39" s="11">
        <f t="shared" si="8"/>
        <v>0.5854768654581394</v>
      </c>
      <c r="J39" s="7">
        <v>3863</v>
      </c>
      <c r="K39" s="11">
        <f t="shared" si="2"/>
        <v>0.07310749432248297</v>
      </c>
      <c r="L39" s="11">
        <f t="shared" si="9"/>
        <v>0.740442846328539</v>
      </c>
      <c r="N39">
        <v>238</v>
      </c>
      <c r="O39" s="11">
        <f t="shared" si="3"/>
        <v>0.11044083526682134</v>
      </c>
      <c r="P39" s="11">
        <f t="shared" si="10"/>
        <v>0.8074245939675173</v>
      </c>
      <c r="R39">
        <v>1177</v>
      </c>
      <c r="S39" s="11">
        <f t="shared" si="4"/>
        <v>0.1362583931465617</v>
      </c>
      <c r="T39" s="11">
        <f t="shared" si="11"/>
        <v>0.4821717990275527</v>
      </c>
      <c r="V39">
        <v>278</v>
      </c>
      <c r="W39" s="11">
        <f t="shared" si="5"/>
        <v>0.06271148206632078</v>
      </c>
      <c r="X39" s="11">
        <f t="shared" si="12"/>
        <v>0.7369727047146402</v>
      </c>
      <c r="Z39">
        <v>93</v>
      </c>
      <c r="AA39" s="11">
        <f t="shared" si="6"/>
        <v>0.06283783783783783</v>
      </c>
      <c r="AB39" s="11">
        <f t="shared" si="13"/>
        <v>0.6959459459459459</v>
      </c>
    </row>
    <row r="40" spans="1:28" ht="12.75">
      <c r="A40" s="73" t="s">
        <v>38</v>
      </c>
      <c r="B40" s="7">
        <f>C39</f>
        <v>4800</v>
      </c>
      <c r="C40" s="7">
        <v>5400</v>
      </c>
      <c r="D40" s="7">
        <v>11578</v>
      </c>
      <c r="E40" s="11">
        <f t="shared" si="0"/>
        <v>0.07906741695804195</v>
      </c>
      <c r="F40" s="11">
        <f t="shared" si="7"/>
        <v>0.7232435533216783</v>
      </c>
      <c r="G40" s="7">
        <v>6900</v>
      </c>
      <c r="H40" s="11">
        <f t="shared" si="1"/>
        <v>0.08972925173606595</v>
      </c>
      <c r="I40" s="11">
        <f t="shared" si="8"/>
        <v>0.6752061171942053</v>
      </c>
      <c r="J40" s="7">
        <v>3265</v>
      </c>
      <c r="K40" s="11">
        <f t="shared" si="2"/>
        <v>0.06179031037093111</v>
      </c>
      <c r="L40" s="11">
        <f t="shared" si="9"/>
        <v>0.80223315669947</v>
      </c>
      <c r="N40">
        <v>139</v>
      </c>
      <c r="O40" s="11">
        <f t="shared" si="3"/>
        <v>0.06450116009280743</v>
      </c>
      <c r="P40" s="11">
        <f t="shared" si="10"/>
        <v>0.8719257540603247</v>
      </c>
      <c r="R40">
        <v>741</v>
      </c>
      <c r="S40" s="11">
        <f t="shared" si="4"/>
        <v>0.08578374623755498</v>
      </c>
      <c r="T40" s="11">
        <f t="shared" si="11"/>
        <v>0.5679555452651077</v>
      </c>
      <c r="V40">
        <v>463</v>
      </c>
      <c r="W40" s="11">
        <f t="shared" si="5"/>
        <v>0.10444394315362057</v>
      </c>
      <c r="X40" s="11">
        <f t="shared" si="12"/>
        <v>0.8414166478682608</v>
      </c>
      <c r="Z40">
        <v>58</v>
      </c>
      <c r="AA40" s="11">
        <f t="shared" si="6"/>
        <v>0.03918918918918919</v>
      </c>
      <c r="AB40" s="11">
        <f t="shared" si="13"/>
        <v>0.7351351351351352</v>
      </c>
    </row>
    <row r="41" spans="1:28" ht="12.75">
      <c r="A41" s="11">
        <f>SUM(D40:D44)/D$49</f>
        <v>0.28415920017482516</v>
      </c>
      <c r="B41" s="7">
        <f>C40</f>
        <v>5400</v>
      </c>
      <c r="C41" s="7">
        <v>6000</v>
      </c>
      <c r="D41" s="7">
        <v>7386</v>
      </c>
      <c r="E41" s="11">
        <f t="shared" si="0"/>
        <v>0.050439794580419584</v>
      </c>
      <c r="F41" s="11">
        <f t="shared" si="7"/>
        <v>0.7736833479020979</v>
      </c>
      <c r="G41" s="7">
        <v>4306</v>
      </c>
      <c r="H41" s="11">
        <f t="shared" si="1"/>
        <v>0.05599625477905797</v>
      </c>
      <c r="I41" s="11">
        <f t="shared" si="8"/>
        <v>0.7312023719732633</v>
      </c>
      <c r="J41" s="7">
        <v>2083</v>
      </c>
      <c r="K41" s="11">
        <f t="shared" si="2"/>
        <v>0.039420893262679786</v>
      </c>
      <c r="L41" s="11">
        <f t="shared" si="9"/>
        <v>0.8416540499621499</v>
      </c>
      <c r="N41">
        <v>44</v>
      </c>
      <c r="O41" s="11">
        <f t="shared" si="3"/>
        <v>0.020417633410672854</v>
      </c>
      <c r="P41" s="11">
        <f t="shared" si="10"/>
        <v>0.8923433874709975</v>
      </c>
      <c r="R41">
        <v>569</v>
      </c>
      <c r="S41" s="11">
        <f t="shared" si="4"/>
        <v>0.0658717295670294</v>
      </c>
      <c r="T41" s="11">
        <f t="shared" si="11"/>
        <v>0.6338272748321371</v>
      </c>
      <c r="V41">
        <v>288</v>
      </c>
      <c r="W41" s="11">
        <f t="shared" si="5"/>
        <v>0.06496729077374239</v>
      </c>
      <c r="X41" s="11">
        <f t="shared" si="12"/>
        <v>0.9063839386420032</v>
      </c>
      <c r="Z41">
        <v>96</v>
      </c>
      <c r="AA41" s="11">
        <f t="shared" si="6"/>
        <v>0.06486486486486487</v>
      </c>
      <c r="AB41" s="11">
        <f t="shared" si="13"/>
        <v>0.8</v>
      </c>
    </row>
    <row r="42" spans="1:28" ht="12.75">
      <c r="A42" s="11"/>
      <c r="B42" s="7">
        <f aca="true" t="shared" si="14" ref="B42:B47">C41</f>
        <v>6000</v>
      </c>
      <c r="C42" s="7">
        <v>7000</v>
      </c>
      <c r="D42" s="7">
        <v>11141</v>
      </c>
      <c r="E42" s="11">
        <f t="shared" si="0"/>
        <v>0.07608309659090909</v>
      </c>
      <c r="F42" s="11">
        <f t="shared" si="7"/>
        <v>0.849766444493007</v>
      </c>
      <c r="G42" s="7">
        <v>6272</v>
      </c>
      <c r="H42" s="11">
        <f t="shared" si="1"/>
        <v>0.08156258940414575</v>
      </c>
      <c r="I42" s="11">
        <f t="shared" si="8"/>
        <v>0.8127649613774091</v>
      </c>
      <c r="J42" s="7">
        <v>3220</v>
      </c>
      <c r="K42" s="11">
        <f t="shared" si="2"/>
        <v>0.060938682816048445</v>
      </c>
      <c r="L42" s="11">
        <f t="shared" si="9"/>
        <v>0.9025927327781983</v>
      </c>
      <c r="N42">
        <v>0</v>
      </c>
      <c r="O42" s="11">
        <f t="shared" si="3"/>
        <v>0</v>
      </c>
      <c r="P42" s="11">
        <f t="shared" si="10"/>
        <v>0.8923433874709975</v>
      </c>
      <c r="R42">
        <v>1315</v>
      </c>
      <c r="S42" s="11">
        <f t="shared" si="4"/>
        <v>0.15223431349849503</v>
      </c>
      <c r="T42" s="11">
        <f t="shared" si="11"/>
        <v>0.7860615883306321</v>
      </c>
      <c r="V42">
        <v>201</v>
      </c>
      <c r="W42" s="11">
        <f t="shared" si="5"/>
        <v>0.045341755019174375</v>
      </c>
      <c r="X42" s="11">
        <f t="shared" si="12"/>
        <v>0.9517256936611775</v>
      </c>
      <c r="Z42">
        <v>134</v>
      </c>
      <c r="AA42" s="11">
        <f t="shared" si="6"/>
        <v>0.09054054054054055</v>
      </c>
      <c r="AB42" s="11">
        <f t="shared" si="13"/>
        <v>0.8905405405405405</v>
      </c>
    </row>
    <row r="43" spans="1:28" ht="12.75">
      <c r="A43" s="11"/>
      <c r="B43" s="7">
        <f t="shared" si="14"/>
        <v>7000</v>
      </c>
      <c r="C43" s="7">
        <v>8000</v>
      </c>
      <c r="D43" s="7">
        <v>6365</v>
      </c>
      <c r="E43" s="11">
        <f t="shared" si="0"/>
        <v>0.043467274912587416</v>
      </c>
      <c r="F43" s="11">
        <f t="shared" si="7"/>
        <v>0.8932337194055944</v>
      </c>
      <c r="G43" s="7">
        <v>4265</v>
      </c>
      <c r="H43" s="11">
        <f t="shared" si="1"/>
        <v>0.055463080964394396</v>
      </c>
      <c r="I43" s="11">
        <f t="shared" si="8"/>
        <v>0.8682280423418034</v>
      </c>
      <c r="J43" s="7">
        <v>1674</v>
      </c>
      <c r="K43" s="11">
        <f t="shared" si="2"/>
        <v>0.03168054504163512</v>
      </c>
      <c r="L43" s="11">
        <f t="shared" si="9"/>
        <v>0.9342732778198334</v>
      </c>
      <c r="N43">
        <v>45</v>
      </c>
      <c r="O43" s="11">
        <f t="shared" si="3"/>
        <v>0.02088167053364269</v>
      </c>
      <c r="P43" s="11">
        <f t="shared" si="10"/>
        <v>0.9132250580046402</v>
      </c>
      <c r="R43">
        <v>178</v>
      </c>
      <c r="S43" s="11">
        <f t="shared" si="4"/>
        <v>0.02060662190321834</v>
      </c>
      <c r="T43" s="11">
        <f t="shared" si="11"/>
        <v>0.8066682102338505</v>
      </c>
      <c r="V43">
        <v>108</v>
      </c>
      <c r="W43" s="11">
        <f t="shared" si="5"/>
        <v>0.024362734040153395</v>
      </c>
      <c r="X43" s="11">
        <f t="shared" si="12"/>
        <v>0.976088427701331</v>
      </c>
      <c r="Z43">
        <v>95</v>
      </c>
      <c r="AA43" s="11">
        <f t="shared" si="6"/>
        <v>0.06418918918918919</v>
      </c>
      <c r="AB43" s="11">
        <f t="shared" si="13"/>
        <v>0.9547297297297297</v>
      </c>
    </row>
    <row r="44" spans="1:28" ht="12.75">
      <c r="A44" s="11"/>
      <c r="B44" s="7">
        <f t="shared" si="14"/>
        <v>8000</v>
      </c>
      <c r="C44" s="7">
        <v>9000</v>
      </c>
      <c r="D44" s="7">
        <v>5140</v>
      </c>
      <c r="E44" s="11">
        <f t="shared" si="0"/>
        <v>0.035101617132867136</v>
      </c>
      <c r="F44" s="11">
        <f t="shared" si="7"/>
        <v>0.9283353365384615</v>
      </c>
      <c r="G44" s="7">
        <v>3691</v>
      </c>
      <c r="H44" s="11">
        <f t="shared" si="1"/>
        <v>0.04799864755910427</v>
      </c>
      <c r="I44" s="11">
        <f t="shared" si="8"/>
        <v>0.9162266899009077</v>
      </c>
      <c r="J44" s="7">
        <v>771</v>
      </c>
      <c r="K44" s="11">
        <f t="shared" si="2"/>
        <v>0.01459121877365632</v>
      </c>
      <c r="L44" s="11">
        <f t="shared" si="9"/>
        <v>0.9488644965934897</v>
      </c>
      <c r="N44">
        <v>46</v>
      </c>
      <c r="O44" s="11">
        <f t="shared" si="3"/>
        <v>0.02134570765661253</v>
      </c>
      <c r="P44" s="11">
        <f t="shared" si="10"/>
        <v>0.9345707656612526</v>
      </c>
      <c r="R44">
        <v>565</v>
      </c>
      <c r="S44" s="11">
        <f t="shared" si="4"/>
        <v>0.0654086594119009</v>
      </c>
      <c r="T44" s="11">
        <f t="shared" si="11"/>
        <v>0.8720768696457514</v>
      </c>
      <c r="V44">
        <v>0</v>
      </c>
      <c r="W44" s="11">
        <f t="shared" si="5"/>
        <v>0</v>
      </c>
      <c r="X44" s="11">
        <f t="shared" si="12"/>
        <v>0.976088427701331</v>
      </c>
      <c r="Z44">
        <v>67</v>
      </c>
      <c r="AA44" s="11">
        <f t="shared" si="6"/>
        <v>0.04527027027027027</v>
      </c>
      <c r="AB44" s="11">
        <f t="shared" si="13"/>
        <v>1</v>
      </c>
    </row>
    <row r="45" spans="1:28" ht="12.75">
      <c r="A45" s="73" t="s">
        <v>39</v>
      </c>
      <c r="B45" s="7">
        <f t="shared" si="14"/>
        <v>9000</v>
      </c>
      <c r="C45" s="7">
        <v>10000</v>
      </c>
      <c r="D45" s="7">
        <v>3025</v>
      </c>
      <c r="E45" s="11">
        <f t="shared" si="0"/>
        <v>0.020658052884615384</v>
      </c>
      <c r="F45" s="11">
        <f t="shared" si="7"/>
        <v>0.9489933894230769</v>
      </c>
      <c r="G45" s="7">
        <v>1755</v>
      </c>
      <c r="H45" s="11">
        <f t="shared" si="1"/>
        <v>0.022822440115477644</v>
      </c>
      <c r="I45" s="11">
        <f t="shared" si="8"/>
        <v>0.9390491300163853</v>
      </c>
      <c r="J45" s="7">
        <v>1116</v>
      </c>
      <c r="K45" s="11">
        <f t="shared" si="2"/>
        <v>0.021120363361090085</v>
      </c>
      <c r="L45" s="11">
        <f t="shared" si="9"/>
        <v>0.9699848599545798</v>
      </c>
      <c r="N45">
        <v>51</v>
      </c>
      <c r="O45" s="11">
        <f t="shared" si="3"/>
        <v>0.023665893271461718</v>
      </c>
      <c r="P45" s="11">
        <f t="shared" si="10"/>
        <v>0.9582366589327144</v>
      </c>
      <c r="R45">
        <v>0</v>
      </c>
      <c r="S45" s="11">
        <f t="shared" si="4"/>
        <v>0</v>
      </c>
      <c r="T45" s="11">
        <f t="shared" si="11"/>
        <v>0.8720768696457514</v>
      </c>
      <c r="V45">
        <v>106</v>
      </c>
      <c r="W45" s="11">
        <f t="shared" si="5"/>
        <v>0.023911572298669075</v>
      </c>
      <c r="X45" s="11">
        <f t="shared" si="12"/>
        <v>1</v>
      </c>
      <c r="Z45">
        <v>0</v>
      </c>
      <c r="AA45" s="11">
        <f t="shared" si="6"/>
        <v>0</v>
      </c>
      <c r="AB45" s="11">
        <f t="shared" si="13"/>
        <v>1</v>
      </c>
    </row>
    <row r="46" spans="1:28" ht="12.75">
      <c r="A46" s="11">
        <f>SUM(D45:D48)/D$49</f>
        <v>0.07166466346153846</v>
      </c>
      <c r="B46" s="7">
        <f t="shared" si="14"/>
        <v>10000</v>
      </c>
      <c r="C46" s="7">
        <v>12000</v>
      </c>
      <c r="D46" s="7">
        <v>3007</v>
      </c>
      <c r="E46" s="11">
        <f t="shared" si="0"/>
        <v>0.020535128933566432</v>
      </c>
      <c r="F46" s="11">
        <f t="shared" si="7"/>
        <v>0.9695285183566433</v>
      </c>
      <c r="G46" s="7">
        <v>1431</v>
      </c>
      <c r="H46" s="11">
        <f t="shared" si="1"/>
        <v>0.01860906655569716</v>
      </c>
      <c r="I46" s="11">
        <f t="shared" si="8"/>
        <v>0.9576581965720825</v>
      </c>
      <c r="J46" s="7">
        <v>965</v>
      </c>
      <c r="K46" s="11">
        <f t="shared" si="2"/>
        <v>0.018262679788039363</v>
      </c>
      <c r="L46" s="11">
        <f t="shared" si="9"/>
        <v>0.9882475397426193</v>
      </c>
      <c r="N46">
        <v>45</v>
      </c>
      <c r="O46" s="11">
        <f t="shared" si="3"/>
        <v>0.02088167053364269</v>
      </c>
      <c r="P46" s="11">
        <f t="shared" si="10"/>
        <v>0.979118329466357</v>
      </c>
      <c r="R46">
        <v>565</v>
      </c>
      <c r="S46" s="11">
        <f t="shared" si="4"/>
        <v>0.0654086594119009</v>
      </c>
      <c r="T46" s="11">
        <f t="shared" si="11"/>
        <v>0.9374855290576523</v>
      </c>
      <c r="V46">
        <v>0</v>
      </c>
      <c r="W46" s="11">
        <f t="shared" si="5"/>
        <v>0</v>
      </c>
      <c r="X46" s="11">
        <f t="shared" si="12"/>
        <v>1</v>
      </c>
      <c r="Z46">
        <v>0</v>
      </c>
      <c r="AA46" s="11">
        <f t="shared" si="6"/>
        <v>0</v>
      </c>
      <c r="AB46" s="11">
        <f t="shared" si="13"/>
        <v>1</v>
      </c>
    </row>
    <row r="47" spans="1:28" ht="12.75">
      <c r="A47" s="11"/>
      <c r="B47" s="7">
        <f t="shared" si="14"/>
        <v>12000</v>
      </c>
      <c r="C47" s="7">
        <v>14000</v>
      </c>
      <c r="D47" s="7">
        <v>2093</v>
      </c>
      <c r="E47" s="11">
        <f t="shared" si="0"/>
        <v>0.014293323863636364</v>
      </c>
      <c r="F47" s="11">
        <f t="shared" si="7"/>
        <v>0.9838218422202797</v>
      </c>
      <c r="G47" s="7">
        <v>1614</v>
      </c>
      <c r="H47" s="11">
        <f t="shared" si="1"/>
        <v>0.02098884236261021</v>
      </c>
      <c r="I47" s="11">
        <f t="shared" si="8"/>
        <v>0.9786470389346927</v>
      </c>
      <c r="J47" s="7">
        <v>299</v>
      </c>
      <c r="K47" s="11">
        <f t="shared" si="2"/>
        <v>0.005658591975775927</v>
      </c>
      <c r="L47" s="11">
        <f t="shared" si="9"/>
        <v>0.9939061317183951</v>
      </c>
      <c r="N47">
        <v>0</v>
      </c>
      <c r="O47" s="11">
        <f t="shared" si="3"/>
        <v>0</v>
      </c>
      <c r="P47" s="11">
        <f t="shared" si="10"/>
        <v>0.979118329466357</v>
      </c>
      <c r="R47">
        <v>180</v>
      </c>
      <c r="S47" s="11">
        <f t="shared" si="4"/>
        <v>0.020838156980782587</v>
      </c>
      <c r="T47" s="11">
        <f t="shared" si="11"/>
        <v>0.9583236860384349</v>
      </c>
      <c r="V47">
        <v>0</v>
      </c>
      <c r="W47" s="11">
        <f t="shared" si="5"/>
        <v>0</v>
      </c>
      <c r="X47" s="11">
        <f t="shared" si="12"/>
        <v>1</v>
      </c>
      <c r="Z47">
        <v>0</v>
      </c>
      <c r="AA47" s="11">
        <f t="shared" si="6"/>
        <v>0</v>
      </c>
      <c r="AB47" s="11">
        <f t="shared" si="13"/>
        <v>1</v>
      </c>
    </row>
    <row r="48" spans="3:28" ht="12.75">
      <c r="C48" s="7" t="s">
        <v>40</v>
      </c>
      <c r="D48" s="7">
        <v>2369</v>
      </c>
      <c r="E48" s="11">
        <f t="shared" si="0"/>
        <v>0.01617815777972028</v>
      </c>
      <c r="F48" s="11">
        <f t="shared" si="7"/>
        <v>1</v>
      </c>
      <c r="G48" s="7">
        <v>1642</v>
      </c>
      <c r="H48" s="11">
        <f t="shared" si="1"/>
        <v>0.02135296106530729</v>
      </c>
      <c r="I48" s="11">
        <f t="shared" si="8"/>
        <v>1</v>
      </c>
      <c r="J48" s="7">
        <v>322</v>
      </c>
      <c r="K48" s="11">
        <f t="shared" si="2"/>
        <v>0.006093868281604845</v>
      </c>
      <c r="L48" s="11">
        <f t="shared" si="9"/>
        <v>1</v>
      </c>
      <c r="N48">
        <v>45</v>
      </c>
      <c r="O48" s="11">
        <f t="shared" si="3"/>
        <v>0.02088167053364269</v>
      </c>
      <c r="P48" s="11">
        <f t="shared" si="10"/>
        <v>0.9999999999999997</v>
      </c>
      <c r="R48">
        <v>360</v>
      </c>
      <c r="S48" s="11">
        <f t="shared" si="4"/>
        <v>0.041676313961565174</v>
      </c>
      <c r="T48" s="11">
        <f t="shared" si="11"/>
        <v>1</v>
      </c>
      <c r="V48">
        <v>0</v>
      </c>
      <c r="W48" s="11">
        <f t="shared" si="5"/>
        <v>0</v>
      </c>
      <c r="X48" s="11">
        <f t="shared" si="12"/>
        <v>1</v>
      </c>
      <c r="Z48">
        <v>0</v>
      </c>
      <c r="AA48" s="11">
        <f t="shared" si="6"/>
        <v>0</v>
      </c>
      <c r="AB48" s="11">
        <f t="shared" si="13"/>
        <v>1</v>
      </c>
    </row>
    <row r="49" spans="4:26" ht="12.75">
      <c r="D49" s="7">
        <f>SUM(D34:D48)</f>
        <v>146432</v>
      </c>
      <c r="E49" s="11">
        <f t="shared" si="0"/>
        <v>1</v>
      </c>
      <c r="F49" s="11"/>
      <c r="G49" s="7">
        <f>SUM(G34:G48)</f>
        <v>76898</v>
      </c>
      <c r="J49" s="7">
        <f>SUM(J34:J48)</f>
        <v>52840</v>
      </c>
      <c r="N49" s="7">
        <f>SUM(N34:N48)</f>
        <v>2155</v>
      </c>
      <c r="R49" s="7">
        <f>SUM(R34:R48)</f>
        <v>8638</v>
      </c>
      <c r="V49" s="7">
        <f>SUM(V34:V48)</f>
        <v>4433</v>
      </c>
      <c r="Z49" s="7">
        <f>SUM(Z34:Z48)</f>
        <v>1480</v>
      </c>
    </row>
    <row r="50" spans="4:5" ht="12.75">
      <c r="D50" s="7">
        <f>G49+J49+N49+R49+Z49+V49</f>
        <v>146444</v>
      </c>
      <c r="E50" s="11">
        <f t="shared" si="0"/>
        <v>1.0000819493006994</v>
      </c>
    </row>
    <row r="51" ht="12.75">
      <c r="A51" s="8" t="s">
        <v>151</v>
      </c>
    </row>
    <row r="54" spans="1:4" ht="12.75">
      <c r="A54" s="72"/>
      <c r="B54" s="31"/>
      <c r="C54" s="31"/>
      <c r="D54" s="31"/>
    </row>
    <row r="55" spans="1:26" ht="12.75">
      <c r="A55" s="74" t="s">
        <v>110</v>
      </c>
      <c r="G55" s="7" t="s">
        <v>436</v>
      </c>
      <c r="J55" s="106" t="s">
        <v>441</v>
      </c>
      <c r="N55" s="106" t="s">
        <v>438</v>
      </c>
      <c r="R55" t="s">
        <v>448</v>
      </c>
      <c r="V55" t="s">
        <v>449</v>
      </c>
      <c r="Z55" t="s">
        <v>450</v>
      </c>
    </row>
    <row r="56" spans="4:27" ht="12.75">
      <c r="D56" s="7" t="s">
        <v>107</v>
      </c>
      <c r="E56" t="s">
        <v>23</v>
      </c>
      <c r="G56" s="7" t="s">
        <v>107</v>
      </c>
      <c r="H56" t="s">
        <v>23</v>
      </c>
      <c r="J56" s="7" t="s">
        <v>107</v>
      </c>
      <c r="K56" t="s">
        <v>23</v>
      </c>
      <c r="N56" s="7" t="s">
        <v>107</v>
      </c>
      <c r="O56" s="7" t="s">
        <v>23</v>
      </c>
      <c r="R56" s="7" t="s">
        <v>107</v>
      </c>
      <c r="S56" s="7" t="s">
        <v>23</v>
      </c>
      <c r="V56" s="7" t="s">
        <v>107</v>
      </c>
      <c r="W56" s="7" t="s">
        <v>23</v>
      </c>
      <c r="Z56" s="7" t="s">
        <v>107</v>
      </c>
      <c r="AA56" s="7" t="s">
        <v>23</v>
      </c>
    </row>
    <row r="57" spans="2:27" ht="12.75">
      <c r="B57" s="7" t="s">
        <v>142</v>
      </c>
      <c r="C57" s="7">
        <f>C34</f>
        <v>1800</v>
      </c>
      <c r="D57" s="7">
        <f>D34</f>
        <v>9786</v>
      </c>
      <c r="E57" s="11">
        <f aca="true" t="shared" si="15" ref="E57:E62">D57/D$49</f>
        <v>0.06682965472027973</v>
      </c>
      <c r="G57" s="7">
        <f>G34</f>
        <v>4208</v>
      </c>
      <c r="H57" s="11">
        <f aca="true" t="shared" si="16" ref="H57:H62">G57/G$49</f>
        <v>0.054721839319618194</v>
      </c>
      <c r="J57" s="7">
        <f>J34</f>
        <v>4492</v>
      </c>
      <c r="K57" s="11">
        <f aca="true" t="shared" si="17" ref="K57:K62">J57/J$49</f>
        <v>0.08501135503406511</v>
      </c>
      <c r="N57" s="7">
        <f>N34</f>
        <v>88</v>
      </c>
      <c r="O57" s="11">
        <f aca="true" t="shared" si="18" ref="O57:O62">N57/N$49</f>
        <v>0.04083526682134571</v>
      </c>
      <c r="R57" s="7">
        <f>R34</f>
        <v>382</v>
      </c>
      <c r="S57" s="11">
        <f aca="true" t="shared" si="19" ref="S57:S62">R57/R$49</f>
        <v>0.044223199814771935</v>
      </c>
      <c r="V57" s="7">
        <f>V34</f>
        <v>382</v>
      </c>
      <c r="W57" s="11">
        <f aca="true" t="shared" si="20" ref="W57:W62">V57/V$49</f>
        <v>0.08617189262350552</v>
      </c>
      <c r="Z57" s="7">
        <f>Z34</f>
        <v>235</v>
      </c>
      <c r="AA57" s="11">
        <f aca="true" t="shared" si="21" ref="AA57:AA62">Z57/Z$49</f>
        <v>0.15878378378378377</v>
      </c>
    </row>
    <row r="58" spans="2:27" ht="12.75">
      <c r="B58" s="7" t="s">
        <v>142</v>
      </c>
      <c r="C58" s="7">
        <f>F11</f>
        <v>1664.3999999999999</v>
      </c>
      <c r="D58" s="7">
        <f>(C58/C57)*D57</f>
        <v>9048.788</v>
      </c>
      <c r="E58" s="11">
        <f t="shared" si="15"/>
        <v>0.06179515406468532</v>
      </c>
      <c r="G58" s="7">
        <f>($C58/$C57)*G57</f>
        <v>3890.9973333333332</v>
      </c>
      <c r="H58" s="11">
        <f t="shared" si="16"/>
        <v>0.05059946075754029</v>
      </c>
      <c r="J58" s="7">
        <f>($C58/$C57)*J57</f>
        <v>4153.602666666667</v>
      </c>
      <c r="K58" s="11">
        <f t="shared" si="17"/>
        <v>0.07860716628816553</v>
      </c>
      <c r="N58" s="7">
        <f>($C58/$C57)*N57</f>
        <v>81.37066666666666</v>
      </c>
      <c r="O58" s="11">
        <f t="shared" si="18"/>
        <v>0.03775901005413766</v>
      </c>
      <c r="R58" s="7">
        <f>($C58/$C57)*R57</f>
        <v>353.22266666666667</v>
      </c>
      <c r="S58" s="11">
        <f t="shared" si="19"/>
        <v>0.04089171876205912</v>
      </c>
      <c r="V58" s="7">
        <f>($C58/$C57)*V57</f>
        <v>353.22266666666667</v>
      </c>
      <c r="W58" s="11">
        <f t="shared" si="20"/>
        <v>0.07968027671253478</v>
      </c>
      <c r="Z58" s="7">
        <f>($C58/$C57)*Z57</f>
        <v>217.29666666666665</v>
      </c>
      <c r="AA58" s="11">
        <f t="shared" si="21"/>
        <v>0.14682207207207207</v>
      </c>
    </row>
    <row r="59" spans="2:27" ht="12.75">
      <c r="B59" s="7">
        <v>1664</v>
      </c>
      <c r="C59" s="7">
        <v>1800</v>
      </c>
      <c r="D59" s="7">
        <f>D57-D58</f>
        <v>737.2119999999995</v>
      </c>
      <c r="E59" s="11">
        <f t="shared" si="15"/>
        <v>0.0050345006555944025</v>
      </c>
      <c r="G59" s="7">
        <f>G57-G58</f>
        <v>317.00266666666676</v>
      </c>
      <c r="H59" s="11">
        <f t="shared" si="16"/>
        <v>0.004122378562077905</v>
      </c>
      <c r="J59" s="7">
        <f>J57-J58</f>
        <v>338.39733333333334</v>
      </c>
      <c r="K59" s="11">
        <f t="shared" si="17"/>
        <v>0.006404188745899571</v>
      </c>
      <c r="N59" s="7">
        <f>N57-N58</f>
        <v>6.629333333333335</v>
      </c>
      <c r="O59" s="11">
        <f t="shared" si="18"/>
        <v>0.003076256767208044</v>
      </c>
      <c r="R59" s="7">
        <f>R57-R58</f>
        <v>28.77733333333333</v>
      </c>
      <c r="S59" s="11">
        <f t="shared" si="19"/>
        <v>0.003331481052712819</v>
      </c>
      <c r="V59" s="7">
        <f>V57-V58</f>
        <v>28.77733333333333</v>
      </c>
      <c r="W59" s="11">
        <f t="shared" si="20"/>
        <v>0.006491615910970749</v>
      </c>
      <c r="Z59" s="7">
        <f>Z57-Z58</f>
        <v>17.703333333333347</v>
      </c>
      <c r="AA59" s="11">
        <f t="shared" si="21"/>
        <v>0.01196171171171172</v>
      </c>
    </row>
    <row r="60" spans="2:27" ht="12.75">
      <c r="B60" s="7">
        <f>B37</f>
        <v>3000</v>
      </c>
      <c r="C60" s="7">
        <f>C37</f>
        <v>3600</v>
      </c>
      <c r="D60" s="7">
        <f>D37</f>
        <v>18549</v>
      </c>
      <c r="E60" s="11">
        <f t="shared" si="15"/>
        <v>0.12667313155594406</v>
      </c>
      <c r="G60" s="7">
        <f>G37</f>
        <v>9942</v>
      </c>
      <c r="H60" s="11">
        <f t="shared" si="16"/>
        <v>0.1292881479362272</v>
      </c>
      <c r="J60" s="7">
        <f>J37</f>
        <v>6770</v>
      </c>
      <c r="K60" s="11">
        <f t="shared" si="17"/>
        <v>0.1281226343679031</v>
      </c>
      <c r="N60" s="7">
        <f>N37</f>
        <v>427</v>
      </c>
      <c r="O60" s="11">
        <f t="shared" si="18"/>
        <v>0.19814385150812064</v>
      </c>
      <c r="R60" s="7">
        <f>R37</f>
        <v>352</v>
      </c>
      <c r="S60" s="11">
        <f t="shared" si="19"/>
        <v>0.040750173651308175</v>
      </c>
      <c r="V60" s="7">
        <f>V37</f>
        <v>927</v>
      </c>
      <c r="W60" s="11">
        <f t="shared" si="20"/>
        <v>0.20911346717798332</v>
      </c>
      <c r="Z60" s="7">
        <f>Z37</f>
        <v>130</v>
      </c>
      <c r="AA60" s="11">
        <f t="shared" si="21"/>
        <v>0.08783783783783784</v>
      </c>
    </row>
    <row r="61" spans="2:27" ht="12.75">
      <c r="B61" s="7">
        <f>B37</f>
        <v>3000</v>
      </c>
      <c r="C61" s="7">
        <f>F12</f>
        <v>3328.7999999999997</v>
      </c>
      <c r="D61" s="7">
        <f>((C61-B61)/(C60-B60))*D60</f>
        <v>10164.851999999992</v>
      </c>
      <c r="E61" s="11">
        <f t="shared" si="15"/>
        <v>0.06941687609265729</v>
      </c>
      <c r="G61" s="7">
        <f>(($C61-$B61)/($C60-$B60))*G60</f>
        <v>5448.215999999996</v>
      </c>
      <c r="H61" s="11">
        <f t="shared" si="16"/>
        <v>0.07084990506905246</v>
      </c>
      <c r="J61" s="7">
        <f>(($C61-$B61)/($C60-$B60))*J60</f>
        <v>3709.9599999999973</v>
      </c>
      <c r="K61" s="11">
        <f t="shared" si="17"/>
        <v>0.07021120363361084</v>
      </c>
      <c r="N61" s="7">
        <f>(($C61-$B61)/($C60-$B60))*N60</f>
        <v>233.99599999999984</v>
      </c>
      <c r="O61" s="11">
        <f t="shared" si="18"/>
        <v>0.10858283062645004</v>
      </c>
      <c r="R61" s="7">
        <f>(($C61-$B61)/($C60-$B60))*R60</f>
        <v>192.89599999999984</v>
      </c>
      <c r="S61" s="11">
        <f t="shared" si="19"/>
        <v>0.022331095160916862</v>
      </c>
      <c r="V61" s="7">
        <f>(($C61-$B61)/($C60-$B60))*V60</f>
        <v>507.99599999999964</v>
      </c>
      <c r="W61" s="11">
        <f t="shared" si="20"/>
        <v>0.11459418001353477</v>
      </c>
      <c r="Z61" s="7">
        <f>(($C61-$B61)/($C60-$B60))*Z60</f>
        <v>71.23999999999995</v>
      </c>
      <c r="AA61" s="11">
        <f t="shared" si="21"/>
        <v>0.0481351351351351</v>
      </c>
    </row>
    <row r="62" spans="2:27" ht="12.75">
      <c r="B62" s="7">
        <v>3329</v>
      </c>
      <c r="C62" s="7">
        <v>3600</v>
      </c>
      <c r="D62" s="7">
        <f>D60-D61</f>
        <v>8384.148000000008</v>
      </c>
      <c r="E62" s="11">
        <f t="shared" si="15"/>
        <v>0.05725625546328677</v>
      </c>
      <c r="G62" s="7">
        <f>G60-G61</f>
        <v>4493.784000000004</v>
      </c>
      <c r="H62" s="11">
        <f t="shared" si="16"/>
        <v>0.05843824286717476</v>
      </c>
      <c r="J62" s="7">
        <f>J60-J61</f>
        <v>3060.0400000000027</v>
      </c>
      <c r="K62" s="11">
        <f t="shared" si="17"/>
        <v>0.05791143073429225</v>
      </c>
      <c r="N62" s="7">
        <f>N60-N61</f>
        <v>193.00400000000016</v>
      </c>
      <c r="O62" s="11">
        <f t="shared" si="18"/>
        <v>0.0895610208816706</v>
      </c>
      <c r="R62" s="7">
        <f>R60-R61</f>
        <v>159.10400000000016</v>
      </c>
      <c r="S62" s="11">
        <f t="shared" si="19"/>
        <v>0.018419078490391313</v>
      </c>
      <c r="V62" s="7">
        <f>V60-V61</f>
        <v>419.00400000000036</v>
      </c>
      <c r="W62" s="11">
        <f t="shared" si="20"/>
        <v>0.09451928716444853</v>
      </c>
      <c r="Z62" s="7">
        <f>Z60-Z61</f>
        <v>58.76000000000005</v>
      </c>
      <c r="AA62" s="11">
        <f t="shared" si="21"/>
        <v>0.039702702702702736</v>
      </c>
    </row>
    <row r="64" ht="12.75">
      <c r="A64" s="10" t="s">
        <v>504</v>
      </c>
    </row>
    <row r="65" spans="1:17" ht="12.75">
      <c r="A65" s="124" t="s">
        <v>461</v>
      </c>
      <c r="B65" s="107" t="s">
        <v>462</v>
      </c>
      <c r="C65" s="107" t="s">
        <v>463</v>
      </c>
      <c r="D65" s="107" t="s">
        <v>464</v>
      </c>
      <c r="E65" s="107" t="s">
        <v>464</v>
      </c>
      <c r="F65" s="107" t="s">
        <v>464</v>
      </c>
      <c r="G65" s="107" t="s">
        <v>464</v>
      </c>
      <c r="H65" s="124" t="s">
        <v>465</v>
      </c>
      <c r="I65" s="107" t="s">
        <v>465</v>
      </c>
      <c r="J65" s="107" t="s">
        <v>465</v>
      </c>
      <c r="K65" s="107" t="s">
        <v>465</v>
      </c>
      <c r="L65" s="107" t="s">
        <v>495</v>
      </c>
      <c r="M65" s="107" t="s">
        <v>495</v>
      </c>
      <c r="N65" s="107" t="s">
        <v>495</v>
      </c>
      <c r="O65" s="107" t="s">
        <v>495</v>
      </c>
      <c r="Q65" s="107" t="s">
        <v>466</v>
      </c>
    </row>
    <row r="66" spans="2:19" ht="12.75">
      <c r="B66" s="107" t="s">
        <v>467</v>
      </c>
      <c r="C66" s="107" t="s">
        <v>468</v>
      </c>
      <c r="D66" s="107" t="s">
        <v>469</v>
      </c>
      <c r="E66" s="107" t="s">
        <v>27</v>
      </c>
      <c r="F66" s="107" t="s">
        <v>470</v>
      </c>
      <c r="G66" s="107" t="s">
        <v>29</v>
      </c>
      <c r="H66" s="124" t="s">
        <v>471</v>
      </c>
      <c r="I66" s="107" t="s">
        <v>27</v>
      </c>
      <c r="J66" s="107" t="s">
        <v>470</v>
      </c>
      <c r="K66" s="107" t="s">
        <v>29</v>
      </c>
      <c r="L66" s="124" t="s">
        <v>471</v>
      </c>
      <c r="M66" s="107" t="s">
        <v>27</v>
      </c>
      <c r="N66" s="107" t="s">
        <v>470</v>
      </c>
      <c r="O66" s="107" t="s">
        <v>29</v>
      </c>
      <c r="Q66" s="107" t="s">
        <v>27</v>
      </c>
      <c r="R66" s="107" t="s">
        <v>28</v>
      </c>
      <c r="S66" s="107" t="s">
        <v>29</v>
      </c>
    </row>
    <row r="67" spans="1:7" ht="12.75">
      <c r="A67" s="124" t="s">
        <v>472</v>
      </c>
      <c r="B67" s="7">
        <v>8501</v>
      </c>
      <c r="C67" s="7">
        <f>B67/$B$74</f>
        <v>8672.895677874345</v>
      </c>
      <c r="D67" s="7">
        <f>C67</f>
        <v>8672.895677874345</v>
      </c>
      <c r="E67" s="7">
        <f>D67*$G$20</f>
        <v>438.84384450684377</v>
      </c>
      <c r="F67" s="7">
        <f>D67*$G$22</f>
        <v>2345.3764999685973</v>
      </c>
      <c r="G67" s="7">
        <f>D67*$G$25</f>
        <v>5888.6753333989045</v>
      </c>
    </row>
    <row r="68" spans="1:7" ht="12.75">
      <c r="A68" s="124" t="s">
        <v>473</v>
      </c>
      <c r="B68" s="7">
        <v>226821</v>
      </c>
      <c r="C68" s="7">
        <f>B68/$B$74</f>
        <v>231407.46624528136</v>
      </c>
      <c r="D68" s="7">
        <f>C68</f>
        <v>231407.46624528136</v>
      </c>
      <c r="E68" s="7">
        <f>D68*$G$20</f>
        <v>11709.093007279944</v>
      </c>
      <c r="F68" s="7">
        <f>D68*$G$22</f>
        <v>62578.59582394745</v>
      </c>
      <c r="G68" s="7">
        <f>D68*$G$25</f>
        <v>157119.77741405397</v>
      </c>
    </row>
    <row r="69" spans="1:7" ht="12.75">
      <c r="A69" s="124" t="s">
        <v>474</v>
      </c>
      <c r="B69" s="7">
        <v>149171</v>
      </c>
      <c r="C69" s="7">
        <f>B69/$B$74</f>
        <v>152187.33339185908</v>
      </c>
      <c r="D69" s="7">
        <f>C69</f>
        <v>152187.33339185908</v>
      </c>
      <c r="E69" s="7">
        <f>D69*$G$20</f>
        <v>7700.597003756075</v>
      </c>
      <c r="F69" s="7">
        <f>D69*$G$22</f>
        <v>41155.41205467776</v>
      </c>
      <c r="G69" s="7">
        <f>D69*$G$25</f>
        <v>103331.32433342525</v>
      </c>
    </row>
    <row r="70" spans="1:11" ht="12.75">
      <c r="A70" s="124" t="s">
        <v>465</v>
      </c>
      <c r="B70" s="7">
        <v>227586</v>
      </c>
      <c r="C70" s="7">
        <f>B70/$B$74</f>
        <v>232187.9350364323</v>
      </c>
      <c r="E70" s="7"/>
      <c r="H70" s="7">
        <f>C70</f>
        <v>232187.9350364323</v>
      </c>
      <c r="I70" s="7">
        <f>H70*$J$20</f>
        <v>18251.635619514607</v>
      </c>
      <c r="J70" s="7">
        <f>H70*$J$22</f>
        <v>94370.76194797893</v>
      </c>
      <c r="K70" s="7">
        <f>H70*$J$25</f>
        <v>119565.53746893877</v>
      </c>
    </row>
    <row r="71" spans="1:15" ht="12.75">
      <c r="A71" s="124" t="s">
        <v>495</v>
      </c>
      <c r="B71" s="7">
        <v>31589</v>
      </c>
      <c r="C71" s="7">
        <f>B71/$B$74</f>
        <v>32227.749861001375</v>
      </c>
      <c r="E71" s="7"/>
      <c r="H71" s="7"/>
      <c r="I71" s="7"/>
      <c r="J71" s="7"/>
      <c r="K71" s="7"/>
      <c r="L71" s="7">
        <f>C71</f>
        <v>32227.749861001375</v>
      </c>
      <c r="M71" s="7">
        <f>L71*R20</f>
        <v>1317.848083650058</v>
      </c>
      <c r="N71" s="7">
        <f>L71*R22</f>
        <v>7218.125520886362</v>
      </c>
      <c r="O71" s="7">
        <f>L71*R25</f>
        <v>23691.776256464957</v>
      </c>
    </row>
    <row r="72" spans="1:20" ht="12.75">
      <c r="A72" s="124" t="s">
        <v>26</v>
      </c>
      <c r="B72" s="7">
        <f>SUM(B67:B71)</f>
        <v>643668</v>
      </c>
      <c r="C72" s="7">
        <f>SUM(C67:C71)</f>
        <v>656683.3802124484</v>
      </c>
      <c r="D72" s="7">
        <f aca="true" t="shared" si="22" ref="D72:J72">SUM(D67:D70)</f>
        <v>392267.6953150148</v>
      </c>
      <c r="E72" s="7">
        <f t="shared" si="22"/>
        <v>19848.53385554286</v>
      </c>
      <c r="F72" s="7">
        <f t="shared" si="22"/>
        <v>106079.38437859381</v>
      </c>
      <c r="G72" s="7">
        <f t="shared" si="22"/>
        <v>266339.77708087815</v>
      </c>
      <c r="H72" s="7">
        <f t="shared" si="22"/>
        <v>232187.9350364323</v>
      </c>
      <c r="I72" s="7">
        <f t="shared" si="22"/>
        <v>18251.635619514607</v>
      </c>
      <c r="J72" s="7">
        <f t="shared" si="22"/>
        <v>94370.76194797893</v>
      </c>
      <c r="K72" s="7">
        <f>SUM(K67:K70)</f>
        <v>119565.53746893877</v>
      </c>
      <c r="L72" s="7">
        <f>SUM(L67:L71)</f>
        <v>32227.749861001375</v>
      </c>
      <c r="M72" s="7">
        <f>SUM(M67:M71)</f>
        <v>1317.848083650058</v>
      </c>
      <c r="N72" s="7">
        <f>SUM(N67:N71)</f>
        <v>7218.125520886362</v>
      </c>
      <c r="O72" s="7">
        <f>SUM(O67:O71)</f>
        <v>23691.776256464957</v>
      </c>
      <c r="Q72" s="7">
        <f>E72+I72+M72</f>
        <v>39418.01755870753</v>
      </c>
      <c r="R72" s="7">
        <f>F72+J72+N72</f>
        <v>207668.2718474591</v>
      </c>
      <c r="S72" s="7">
        <f>G72+K72+O72</f>
        <v>409597.09080628183</v>
      </c>
      <c r="T72" s="106" t="s">
        <v>475</v>
      </c>
    </row>
    <row r="73" spans="17:20" ht="12.75">
      <c r="Q73" s="125">
        <f>Q72/SUM($Q$72:$S$72)</f>
        <v>0.06002591012118368</v>
      </c>
      <c r="R73" s="125">
        <f>R72/SUM($Q$72:$S$72)</f>
        <v>0.31623805033755353</v>
      </c>
      <c r="S73" s="125">
        <f>S72/SUM($Q$72:$S$72)</f>
        <v>0.6237360395412627</v>
      </c>
      <c r="T73" s="106" t="s">
        <v>476</v>
      </c>
    </row>
    <row r="74" spans="1:17" ht="12.75">
      <c r="A74" s="124" t="s">
        <v>477</v>
      </c>
      <c r="B74" s="75">
        <f>854325/871600</f>
        <v>0.9801801284993116</v>
      </c>
      <c r="L74" s="7"/>
      <c r="Q74" s="75"/>
    </row>
    <row r="76" ht="12.75">
      <c r="A76" s="124" t="s">
        <v>481</v>
      </c>
    </row>
    <row r="77" ht="12.75">
      <c r="A77" s="124" t="s">
        <v>482</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X55"/>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7" sqref="B7"/>
    </sheetView>
  </sheetViews>
  <sheetFormatPr defaultColWidth="9.140625" defaultRowHeight="12.75"/>
  <cols>
    <col min="1" max="1" width="58.140625" style="0" customWidth="1"/>
    <col min="2" max="2" width="7.140625" style="0" customWidth="1"/>
    <col min="3" max="3" width="11.7109375" style="0" customWidth="1"/>
    <col min="4" max="4" width="14.00390625" style="0" customWidth="1"/>
    <col min="5" max="5" width="10.57421875" style="0" customWidth="1"/>
    <col min="6" max="7" width="10.7109375" style="0" customWidth="1"/>
    <col min="8" max="8" width="11.140625" style="0" customWidth="1"/>
    <col min="9" max="9" width="10.421875" style="0" customWidth="1"/>
    <col min="10" max="10" width="10.8515625" style="0" customWidth="1"/>
    <col min="11" max="11" width="11.00390625" style="0" customWidth="1"/>
    <col min="12" max="12" width="10.7109375" style="0" customWidth="1"/>
    <col min="13" max="13" width="10.28125" style="0" customWidth="1"/>
    <col min="14" max="14" width="10.7109375" style="0" customWidth="1"/>
    <col min="15" max="15" width="10.140625" style="0" bestFit="1" customWidth="1"/>
    <col min="16" max="16" width="12.57421875" style="0" bestFit="1" customWidth="1"/>
    <col min="17" max="17" width="10.140625" style="0" customWidth="1"/>
    <col min="18" max="18" width="10.57421875" style="0" customWidth="1"/>
    <col min="19" max="19" width="11.28125" style="0" customWidth="1"/>
    <col min="20" max="20" width="10.57421875" style="0" customWidth="1"/>
    <col min="21" max="21" width="11.421875" style="0" customWidth="1"/>
    <col min="22" max="22" width="10.421875" style="0" customWidth="1"/>
    <col min="23" max="23" width="11.28125" style="0" customWidth="1"/>
    <col min="24" max="24" width="13.8515625" style="0" bestFit="1" customWidth="1"/>
  </cols>
  <sheetData>
    <row r="1" spans="1:24" ht="12.75">
      <c r="A1" s="1" t="s">
        <v>115</v>
      </c>
      <c r="B1" s="1"/>
      <c r="C1" s="4" t="s">
        <v>483</v>
      </c>
      <c r="D1" t="s">
        <v>104</v>
      </c>
      <c r="E1" t="s">
        <v>104</v>
      </c>
      <c r="F1" t="s">
        <v>104</v>
      </c>
      <c r="G1" t="s">
        <v>104</v>
      </c>
      <c r="H1" t="s">
        <v>104</v>
      </c>
      <c r="I1" t="s">
        <v>104</v>
      </c>
      <c r="J1" t="s">
        <v>104</v>
      </c>
      <c r="K1" t="s">
        <v>104</v>
      </c>
      <c r="L1" t="s">
        <v>104</v>
      </c>
      <c r="M1" t="s">
        <v>104</v>
      </c>
      <c r="N1" t="s">
        <v>104</v>
      </c>
      <c r="O1" t="s">
        <v>104</v>
      </c>
      <c r="P1" t="s">
        <v>104</v>
      </c>
      <c r="Q1" t="s">
        <v>104</v>
      </c>
      <c r="R1" t="s">
        <v>104</v>
      </c>
      <c r="S1" t="s">
        <v>104</v>
      </c>
      <c r="T1" t="s">
        <v>104</v>
      </c>
      <c r="U1" t="s">
        <v>104</v>
      </c>
      <c r="V1" t="s">
        <v>104</v>
      </c>
      <c r="W1" t="s">
        <v>104</v>
      </c>
      <c r="X1" t="s">
        <v>104</v>
      </c>
    </row>
    <row r="2" spans="1:24" ht="12.75">
      <c r="A2" s="127" t="s">
        <v>671</v>
      </c>
      <c r="B2" s="1"/>
      <c r="C2" s="4" t="s">
        <v>452</v>
      </c>
      <c r="D2">
        <v>0</v>
      </c>
      <c r="E2">
        <f>D2+1</f>
        <v>1</v>
      </c>
      <c r="F2">
        <f aca="true" t="shared" si="0" ref="F2:X3">E2+1</f>
        <v>2</v>
      </c>
      <c r="G2">
        <f t="shared" si="0"/>
        <v>3</v>
      </c>
      <c r="H2">
        <f t="shared" si="0"/>
        <v>4</v>
      </c>
      <c r="I2">
        <f t="shared" si="0"/>
        <v>5</v>
      </c>
      <c r="J2">
        <f t="shared" si="0"/>
        <v>6</v>
      </c>
      <c r="K2">
        <f t="shared" si="0"/>
        <v>7</v>
      </c>
      <c r="L2">
        <f t="shared" si="0"/>
        <v>8</v>
      </c>
      <c r="M2">
        <f t="shared" si="0"/>
        <v>9</v>
      </c>
      <c r="N2">
        <f t="shared" si="0"/>
        <v>10</v>
      </c>
      <c r="O2">
        <f t="shared" si="0"/>
        <v>11</v>
      </c>
      <c r="P2">
        <f t="shared" si="0"/>
        <v>12</v>
      </c>
      <c r="Q2">
        <f t="shared" si="0"/>
        <v>13</v>
      </c>
      <c r="R2">
        <f t="shared" si="0"/>
        <v>14</v>
      </c>
      <c r="S2">
        <f t="shared" si="0"/>
        <v>15</v>
      </c>
      <c r="T2">
        <f t="shared" si="0"/>
        <v>16</v>
      </c>
      <c r="U2">
        <f t="shared" si="0"/>
        <v>17</v>
      </c>
      <c r="V2">
        <f t="shared" si="0"/>
        <v>18</v>
      </c>
      <c r="W2">
        <f t="shared" si="0"/>
        <v>19</v>
      </c>
      <c r="X2">
        <f t="shared" si="0"/>
        <v>20</v>
      </c>
    </row>
    <row r="3" spans="1:24" ht="12.75">
      <c r="A3" s="1" t="s">
        <v>543</v>
      </c>
      <c r="B3" s="1"/>
      <c r="C3" s="4" t="s">
        <v>484</v>
      </c>
      <c r="D3">
        <v>2010</v>
      </c>
      <c r="E3">
        <f>D3+1</f>
        <v>2011</v>
      </c>
      <c r="F3">
        <f t="shared" si="0"/>
        <v>2012</v>
      </c>
      <c r="G3">
        <f t="shared" si="0"/>
        <v>2013</v>
      </c>
      <c r="H3">
        <f t="shared" si="0"/>
        <v>2014</v>
      </c>
      <c r="I3">
        <f t="shared" si="0"/>
        <v>2015</v>
      </c>
      <c r="J3">
        <f t="shared" si="0"/>
        <v>2016</v>
      </c>
      <c r="K3">
        <f t="shared" si="0"/>
        <v>2017</v>
      </c>
      <c r="L3">
        <f t="shared" si="0"/>
        <v>2018</v>
      </c>
      <c r="M3">
        <f t="shared" si="0"/>
        <v>2019</v>
      </c>
      <c r="N3">
        <f t="shared" si="0"/>
        <v>2020</v>
      </c>
      <c r="O3">
        <f t="shared" si="0"/>
        <v>2021</v>
      </c>
      <c r="P3">
        <f t="shared" si="0"/>
        <v>2022</v>
      </c>
      <c r="Q3">
        <f t="shared" si="0"/>
        <v>2023</v>
      </c>
      <c r="R3">
        <f t="shared" si="0"/>
        <v>2024</v>
      </c>
      <c r="S3">
        <f t="shared" si="0"/>
        <v>2025</v>
      </c>
      <c r="T3">
        <f t="shared" si="0"/>
        <v>2026</v>
      </c>
      <c r="U3">
        <f t="shared" si="0"/>
        <v>2027</v>
      </c>
      <c r="V3">
        <f t="shared" si="0"/>
        <v>2028</v>
      </c>
      <c r="W3">
        <f t="shared" si="0"/>
        <v>2029</v>
      </c>
      <c r="X3">
        <f t="shared" si="0"/>
        <v>2030</v>
      </c>
    </row>
    <row r="4" spans="1:3" ht="12.75">
      <c r="A4" s="1"/>
      <c r="B4" s="1"/>
      <c r="C4" s="4" t="s">
        <v>485</v>
      </c>
    </row>
    <row r="5" spans="1:24" ht="12.75">
      <c r="A5" s="1" t="s">
        <v>305</v>
      </c>
      <c r="B5" s="1"/>
      <c r="C5" s="1"/>
      <c r="D5" s="132">
        <f aca="true" t="shared" si="1" ref="D5:R5">$B$7*50000000/13</f>
        <v>2942307.6923076925</v>
      </c>
      <c r="E5" s="132">
        <f t="shared" si="1"/>
        <v>2942307.6923076925</v>
      </c>
      <c r="F5" s="132">
        <f t="shared" si="1"/>
        <v>2942307.6923076925</v>
      </c>
      <c r="G5" s="132">
        <f t="shared" si="1"/>
        <v>2942307.6923076925</v>
      </c>
      <c r="H5" s="132">
        <f t="shared" si="1"/>
        <v>2942307.6923076925</v>
      </c>
      <c r="I5" s="132">
        <f t="shared" si="1"/>
        <v>2942307.6923076925</v>
      </c>
      <c r="J5" s="132">
        <f t="shared" si="1"/>
        <v>2942307.6923076925</v>
      </c>
      <c r="K5" s="132">
        <f t="shared" si="1"/>
        <v>2942307.6923076925</v>
      </c>
      <c r="L5" s="132">
        <f t="shared" si="1"/>
        <v>2942307.6923076925</v>
      </c>
      <c r="M5" s="132">
        <f t="shared" si="1"/>
        <v>2942307.6923076925</v>
      </c>
      <c r="N5" s="132">
        <f t="shared" si="1"/>
        <v>2942307.6923076925</v>
      </c>
      <c r="O5" s="132">
        <f t="shared" si="1"/>
        <v>2942307.6923076925</v>
      </c>
      <c r="P5" s="132">
        <f t="shared" si="1"/>
        <v>2942307.6923076925</v>
      </c>
      <c r="Q5" s="132">
        <f t="shared" si="1"/>
        <v>2942307.6923076925</v>
      </c>
      <c r="R5" s="132">
        <f t="shared" si="1"/>
        <v>2942307.6923076925</v>
      </c>
      <c r="S5" s="132"/>
      <c r="T5" s="132"/>
      <c r="U5" s="132"/>
      <c r="V5" s="132"/>
      <c r="W5" s="132"/>
      <c r="X5" s="132"/>
    </row>
    <row r="6" spans="1:24" ht="12.75">
      <c r="A6" s="106" t="s">
        <v>323</v>
      </c>
      <c r="B6" s="1"/>
      <c r="C6" s="1"/>
      <c r="D6" s="132"/>
      <c r="E6" s="132"/>
      <c r="F6" s="132"/>
      <c r="G6" s="132"/>
      <c r="H6" s="132"/>
      <c r="I6" s="132"/>
      <c r="J6" s="132"/>
      <c r="K6" s="132"/>
      <c r="L6" s="132"/>
      <c r="M6" s="132"/>
      <c r="N6" s="132"/>
      <c r="O6" s="132"/>
      <c r="P6" s="132"/>
      <c r="Q6" s="132"/>
      <c r="R6" s="132"/>
      <c r="S6" s="132"/>
      <c r="T6" s="132"/>
      <c r="U6" s="132"/>
      <c r="V6" s="132"/>
      <c r="W6" s="132"/>
      <c r="X6" s="132"/>
    </row>
    <row r="7" spans="1:24" ht="12.75">
      <c r="A7" s="106" t="s">
        <v>492</v>
      </c>
      <c r="B7" s="12">
        <f>'ERR &amp; Sensitivity Analysis'!D23</f>
        <v>0.765</v>
      </c>
      <c r="C7" s="9"/>
      <c r="D7" s="132"/>
      <c r="E7" s="132"/>
      <c r="F7" s="132"/>
      <c r="G7" s="132"/>
      <c r="H7" s="132"/>
      <c r="I7" s="132"/>
      <c r="J7" s="132"/>
      <c r="K7" s="132"/>
      <c r="L7" s="132"/>
      <c r="M7" s="132"/>
      <c r="N7" s="132"/>
      <c r="O7" s="132"/>
      <c r="P7" s="132"/>
      <c r="Q7" s="132"/>
      <c r="R7" s="132"/>
      <c r="S7" s="132"/>
      <c r="T7" s="132"/>
      <c r="U7" s="132"/>
      <c r="V7" s="132"/>
      <c r="W7" s="132"/>
      <c r="X7" s="132"/>
    </row>
    <row r="8" spans="1:24" ht="12.75">
      <c r="A8" s="106" t="s">
        <v>491</v>
      </c>
      <c r="B8" s="1"/>
      <c r="C8" s="14"/>
      <c r="D8" s="132"/>
      <c r="E8" s="132"/>
      <c r="F8" s="132"/>
      <c r="G8" s="132"/>
      <c r="H8" s="132"/>
      <c r="I8" s="132"/>
      <c r="J8" s="132"/>
      <c r="K8" s="132"/>
      <c r="L8" s="132"/>
      <c r="M8" s="132"/>
      <c r="N8" s="132"/>
      <c r="O8" s="132"/>
      <c r="P8" s="132"/>
      <c r="Q8" s="132"/>
      <c r="R8" s="132"/>
      <c r="S8" s="132"/>
      <c r="T8" s="132"/>
      <c r="U8" s="132"/>
      <c r="V8" s="132"/>
      <c r="W8" s="132"/>
      <c r="X8" s="132"/>
    </row>
    <row r="9" spans="1:24" ht="12.75">
      <c r="A9" s="106"/>
      <c r="B9" s="1"/>
      <c r="C9" s="132">
        <f>C11*1.4</f>
        <v>141164430.39999998</v>
      </c>
      <c r="D9" s="132"/>
      <c r="E9" s="132"/>
      <c r="F9" s="132"/>
      <c r="G9" s="132"/>
      <c r="H9" s="132"/>
      <c r="I9" s="132"/>
      <c r="J9" s="132"/>
      <c r="K9" s="132"/>
      <c r="L9" s="132"/>
      <c r="M9" s="132"/>
      <c r="N9" s="132"/>
      <c r="O9" s="132"/>
      <c r="P9" s="132"/>
      <c r="Q9" s="132"/>
      <c r="R9" s="132"/>
      <c r="S9" s="132"/>
      <c r="T9" s="132"/>
      <c r="U9" s="132"/>
      <c r="V9" s="132"/>
      <c r="W9" s="132"/>
      <c r="X9" s="132"/>
    </row>
    <row r="10" spans="1:24" ht="12.75">
      <c r="A10" s="6" t="s">
        <v>304</v>
      </c>
      <c r="B10" s="1"/>
      <c r="C10" s="132">
        <f aca="true" t="shared" si="2" ref="C10:C18">SUM(D10:W10)</f>
        <v>173726494.66500005</v>
      </c>
      <c r="D10" s="132"/>
      <c r="E10" s="132">
        <f>SUM(E11:E18)</f>
        <v>8066136</v>
      </c>
      <c r="F10" s="132">
        <f>SUM(F11:F18)</f>
        <v>28930395</v>
      </c>
      <c r="G10" s="132">
        <f aca="true" t="shared" si="3" ref="G10:W10">SUM(G11:G18)</f>
        <v>25658472</v>
      </c>
      <c r="H10" s="132">
        <f t="shared" si="3"/>
        <v>24395302</v>
      </c>
      <c r="I10" s="132">
        <f t="shared" si="3"/>
        <v>23071043.0442</v>
      </c>
      <c r="J10" s="132">
        <f t="shared" si="3"/>
        <v>9289612.0442</v>
      </c>
      <c r="K10" s="132">
        <f t="shared" si="3"/>
        <v>9289612.0442</v>
      </c>
      <c r="L10" s="132">
        <f t="shared" si="3"/>
        <v>9289612.0442</v>
      </c>
      <c r="M10" s="132">
        <f t="shared" si="3"/>
        <v>9289612.0442</v>
      </c>
      <c r="N10" s="132">
        <f t="shared" si="3"/>
        <v>5289339.6888</v>
      </c>
      <c r="O10" s="132">
        <f t="shared" si="3"/>
        <v>5289339.6888</v>
      </c>
      <c r="P10" s="132">
        <f t="shared" si="3"/>
        <v>5289339.6888</v>
      </c>
      <c r="Q10" s="132">
        <f t="shared" si="3"/>
        <v>5289339.6888</v>
      </c>
      <c r="R10" s="132">
        <f t="shared" si="3"/>
        <v>5289339.6888</v>
      </c>
      <c r="S10" s="132">
        <f t="shared" si="3"/>
        <v>0</v>
      </c>
      <c r="T10" s="132">
        <f t="shared" si="3"/>
        <v>0</v>
      </c>
      <c r="U10" s="132">
        <f t="shared" si="3"/>
        <v>0</v>
      </c>
      <c r="V10" s="132">
        <f t="shared" si="3"/>
        <v>0</v>
      </c>
      <c r="W10" s="132">
        <f t="shared" si="3"/>
        <v>0</v>
      </c>
      <c r="X10" s="132"/>
    </row>
    <row r="11" spans="1:24" ht="12.75">
      <c r="A11" s="106" t="s">
        <v>451</v>
      </c>
      <c r="B11" s="1" t="s">
        <v>487</v>
      </c>
      <c r="C11" s="132">
        <f>SUM(E11:W11)</f>
        <v>100831736</v>
      </c>
      <c r="D11" s="132"/>
      <c r="E11" s="133">
        <f>3*1263170+2*1236916+1802794</f>
        <v>8066136</v>
      </c>
      <c r="F11" s="132">
        <f>4*1263170+4*1236916+4*1802794+4*1672913+3*1675741</f>
        <v>28930395</v>
      </c>
      <c r="G11" s="132">
        <f>4*1263170+4*1802794+4*1672913+4*1675741</f>
        <v>25658472</v>
      </c>
      <c r="H11" s="132">
        <f>3*1263170+4*1802794+4*1672913+4*1675741</f>
        <v>24395302</v>
      </c>
      <c r="I11" s="132">
        <f>3*1802794+2*1672913+3*1675741</f>
        <v>13781431</v>
      </c>
      <c r="J11" s="132"/>
      <c r="K11" s="132"/>
      <c r="L11" s="132"/>
      <c r="M11" s="132"/>
      <c r="N11" s="132"/>
      <c r="O11" s="132"/>
      <c r="P11" s="132"/>
      <c r="Q11" s="132"/>
      <c r="R11" s="132"/>
      <c r="S11" s="132"/>
      <c r="T11" s="132"/>
      <c r="U11" s="132"/>
      <c r="V11" s="132"/>
      <c r="W11" s="132"/>
      <c r="X11" s="132"/>
    </row>
    <row r="12" spans="1:24" ht="12.75">
      <c r="A12" s="106" t="s">
        <v>456</v>
      </c>
      <c r="B12" s="1" t="s">
        <v>487</v>
      </c>
      <c r="C12" s="132">
        <f t="shared" si="2"/>
        <v>0</v>
      </c>
      <c r="D12" s="133"/>
      <c r="E12" s="132"/>
      <c r="F12" s="132"/>
      <c r="G12" s="132"/>
      <c r="H12" s="132"/>
      <c r="I12" s="132"/>
      <c r="J12" s="132"/>
      <c r="K12" s="132"/>
      <c r="L12" s="132"/>
      <c r="M12" s="132"/>
      <c r="N12" s="132"/>
      <c r="O12" s="132"/>
      <c r="P12" s="132"/>
      <c r="Q12" s="132"/>
      <c r="R12" s="132"/>
      <c r="S12" s="132"/>
      <c r="T12" s="132"/>
      <c r="U12" s="132"/>
      <c r="V12" s="132"/>
      <c r="W12" s="132"/>
      <c r="X12" s="132"/>
    </row>
    <row r="13" spans="1:24" ht="12.75">
      <c r="A13" s="106" t="s">
        <v>453</v>
      </c>
      <c r="B13" s="1" t="s">
        <v>488</v>
      </c>
      <c r="C13" s="132"/>
      <c r="D13" s="132"/>
      <c r="E13" s="132"/>
      <c r="F13" s="132"/>
      <c r="G13" s="132"/>
      <c r="H13" s="132"/>
      <c r="I13" s="132"/>
      <c r="J13" s="132"/>
      <c r="K13" s="132"/>
      <c r="L13" s="132"/>
      <c r="M13" s="132"/>
      <c r="N13" s="132"/>
      <c r="O13" s="132"/>
      <c r="P13" s="132"/>
      <c r="Q13" s="132"/>
      <c r="R13" s="132"/>
      <c r="S13" s="132"/>
      <c r="T13" s="132"/>
      <c r="U13" s="132"/>
      <c r="V13" s="132"/>
      <c r="W13" s="132"/>
      <c r="X13" s="132"/>
    </row>
    <row r="14" spans="1:24" ht="12.75">
      <c r="A14" s="106" t="s">
        <v>479</v>
      </c>
      <c r="B14" s="1" t="s">
        <v>487</v>
      </c>
      <c r="C14" s="132">
        <f t="shared" si="2"/>
        <v>0</v>
      </c>
      <c r="D14" s="132"/>
      <c r="E14" s="132"/>
      <c r="F14" s="132"/>
      <c r="G14" s="132"/>
      <c r="H14" s="132"/>
      <c r="I14" s="132"/>
      <c r="J14" s="132"/>
      <c r="K14" s="132"/>
      <c r="L14" s="132"/>
      <c r="M14" s="132"/>
      <c r="N14" s="132"/>
      <c r="O14" s="132"/>
      <c r="P14" s="132"/>
      <c r="Q14" s="132"/>
      <c r="R14" s="132"/>
      <c r="S14" s="132"/>
      <c r="T14" s="132"/>
      <c r="U14" s="132"/>
      <c r="V14" s="132"/>
      <c r="W14" s="132"/>
      <c r="X14" s="132"/>
    </row>
    <row r="15" spans="1:24" ht="12.75">
      <c r="A15" s="106" t="s">
        <v>480</v>
      </c>
      <c r="B15" s="1" t="s">
        <v>489</v>
      </c>
      <c r="C15" s="132">
        <f t="shared" si="2"/>
        <v>23642252.776</v>
      </c>
      <c r="D15" s="132"/>
      <c r="E15" s="132"/>
      <c r="F15" s="132"/>
      <c r="G15" s="132"/>
      <c r="H15" s="132"/>
      <c r="I15" s="132">
        <f>(80476+0.8*5319600+8622030+0.75*11926148+0.612*2842248)/5</f>
        <v>4728450.5552</v>
      </c>
      <c r="J15" s="132">
        <f>(80476+0.8*5319600+8622030+0.75*11926148+0.612*2842248)/5</f>
        <v>4728450.5552</v>
      </c>
      <c r="K15" s="132">
        <f>(80476+0.8*5319600+8622030+0.75*11926148+0.612*2842248)/5</f>
        <v>4728450.5552</v>
      </c>
      <c r="L15" s="132">
        <f>(80476+0.8*5319600+8622030+0.75*11926148+0.612*2842248)/5</f>
        <v>4728450.5552</v>
      </c>
      <c r="M15" s="132">
        <f>(80476+0.8*5319600+8622030+0.75*11926148+0.612*2842248)/5</f>
        <v>4728450.5552</v>
      </c>
      <c r="N15" s="132"/>
      <c r="O15" s="132"/>
      <c r="P15" s="132"/>
      <c r="Q15" s="132"/>
      <c r="R15" s="132"/>
      <c r="S15" s="132"/>
      <c r="T15" s="132"/>
      <c r="U15" s="132"/>
      <c r="V15" s="132"/>
      <c r="W15" s="132"/>
      <c r="X15" s="132"/>
    </row>
    <row r="16" spans="1:24" ht="12.75">
      <c r="A16" s="106" t="s">
        <v>457</v>
      </c>
      <c r="B16" s="1" t="s">
        <v>487</v>
      </c>
      <c r="C16" s="132">
        <f t="shared" si="2"/>
        <v>22805807.445</v>
      </c>
      <c r="D16" s="132"/>
      <c r="E16" s="132"/>
      <c r="F16" s="132"/>
      <c r="G16" s="132"/>
      <c r="H16" s="132"/>
      <c r="I16" s="132">
        <f>$B$7*29811513/5</f>
        <v>4561161.489</v>
      </c>
      <c r="J16" s="132">
        <f>$B$7*29811513/5</f>
        <v>4561161.489</v>
      </c>
      <c r="K16" s="132">
        <f>$B$7*29811513/5</f>
        <v>4561161.489</v>
      </c>
      <c r="L16" s="132">
        <f>$B$7*29811513/5</f>
        <v>4561161.489</v>
      </c>
      <c r="M16" s="132">
        <f>$B$7*29811513/5</f>
        <v>4561161.489</v>
      </c>
      <c r="N16" s="132"/>
      <c r="O16" s="132"/>
      <c r="P16" s="132"/>
      <c r="Q16" s="132"/>
      <c r="R16" s="132"/>
      <c r="S16" s="132"/>
      <c r="T16" s="132"/>
      <c r="U16" s="132"/>
      <c r="V16" s="132"/>
      <c r="W16" s="132"/>
      <c r="X16" s="132"/>
    </row>
    <row r="17" spans="1:24" ht="12.75">
      <c r="A17" s="106" t="s">
        <v>454</v>
      </c>
      <c r="B17" s="1" t="s">
        <v>489</v>
      </c>
      <c r="C17" s="132">
        <f t="shared" si="2"/>
        <v>1411360.464</v>
      </c>
      <c r="D17" s="132"/>
      <c r="E17" s="132"/>
      <c r="F17" s="132"/>
      <c r="G17" s="132"/>
      <c r="H17" s="132"/>
      <c r="I17" s="132"/>
      <c r="J17" s="132"/>
      <c r="K17" s="132"/>
      <c r="L17" s="132"/>
      <c r="M17" s="132"/>
      <c r="N17" s="132">
        <f>(0.8*740652+0.612*1337972)/5</f>
        <v>282272.0928</v>
      </c>
      <c r="O17" s="132">
        <f>(0.8*740652+0.612*1337972)/5</f>
        <v>282272.0928</v>
      </c>
      <c r="P17" s="132">
        <f>(0.8*740652+0.612*1337972)/5</f>
        <v>282272.0928</v>
      </c>
      <c r="Q17" s="132">
        <f>(0.8*740652+0.612*1337972)/5</f>
        <v>282272.0928</v>
      </c>
      <c r="R17" s="132">
        <f>(0.8*740652+0.612*1337972)/5</f>
        <v>282272.0928</v>
      </c>
      <c r="S17" s="132"/>
      <c r="T17" s="132"/>
      <c r="U17" s="132"/>
      <c r="V17" s="132"/>
      <c r="W17" s="132"/>
      <c r="X17" s="132"/>
    </row>
    <row r="18" spans="1:24" ht="12.75">
      <c r="A18" s="106" t="s">
        <v>455</v>
      </c>
      <c r="B18" s="1" t="s">
        <v>487</v>
      </c>
      <c r="C18" s="132">
        <f t="shared" si="2"/>
        <v>25035337.98</v>
      </c>
      <c r="D18" s="132"/>
      <c r="E18" s="132"/>
      <c r="F18" s="132"/>
      <c r="G18" s="132"/>
      <c r="H18" s="132"/>
      <c r="I18" s="132"/>
      <c r="J18" s="132"/>
      <c r="K18" s="132"/>
      <c r="L18" s="132"/>
      <c r="M18" s="132"/>
      <c r="N18" s="132">
        <f>$B$7*32725932/5</f>
        <v>5007067.596</v>
      </c>
      <c r="O18" s="132">
        <f>$B$7*32725932/5</f>
        <v>5007067.596</v>
      </c>
      <c r="P18" s="132">
        <f>$B$7*32725932/5</f>
        <v>5007067.596</v>
      </c>
      <c r="Q18" s="132">
        <f>$B$7*32725932/5</f>
        <v>5007067.596</v>
      </c>
      <c r="R18" s="132">
        <f>$B$7*32725932/5</f>
        <v>5007067.596</v>
      </c>
      <c r="S18" s="132"/>
      <c r="T18" s="132"/>
      <c r="U18" s="132"/>
      <c r="V18" s="132"/>
      <c r="W18" s="132"/>
      <c r="X18" s="132"/>
    </row>
    <row r="19" spans="1:24" ht="12.75">
      <c r="A19" s="106" t="s">
        <v>383</v>
      </c>
      <c r="B19" s="1"/>
      <c r="C19" s="132"/>
      <c r="D19" s="132"/>
      <c r="E19" s="132"/>
      <c r="F19" s="132"/>
      <c r="G19" s="132"/>
      <c r="H19" s="132"/>
      <c r="I19" s="132"/>
      <c r="J19" s="132"/>
      <c r="K19" s="132"/>
      <c r="L19" s="132"/>
      <c r="M19" s="132"/>
      <c r="N19" s="132"/>
      <c r="O19" s="132"/>
      <c r="P19" s="132"/>
      <c r="Q19" s="132"/>
      <c r="R19" s="132"/>
      <c r="S19" s="132"/>
      <c r="T19" s="132"/>
      <c r="U19" s="132"/>
      <c r="V19" s="132"/>
      <c r="W19" s="132"/>
      <c r="X19" s="132"/>
    </row>
    <row r="20" spans="1:24" ht="12.75">
      <c r="A20" s="106" t="s">
        <v>389</v>
      </c>
      <c r="B20" s="1"/>
      <c r="C20" s="132"/>
      <c r="D20" s="132"/>
      <c r="E20" s="132"/>
      <c r="F20" s="132"/>
      <c r="G20" s="132"/>
      <c r="H20" s="132"/>
      <c r="I20" s="132"/>
      <c r="J20" s="132"/>
      <c r="K20" s="132"/>
      <c r="L20" s="132"/>
      <c r="M20" s="132"/>
      <c r="N20" s="132"/>
      <c r="O20" s="132"/>
      <c r="P20" s="132"/>
      <c r="Q20" s="132"/>
      <c r="R20" s="132"/>
      <c r="S20" s="132"/>
      <c r="T20" s="132"/>
      <c r="U20" s="132"/>
      <c r="V20" s="132"/>
      <c r="W20" s="132"/>
      <c r="X20" s="132"/>
    </row>
    <row r="21" spans="1:24" ht="12.75">
      <c r="A21" s="106" t="s">
        <v>458</v>
      </c>
      <c r="B21" s="1"/>
      <c r="C21" s="132"/>
      <c r="D21" s="132"/>
      <c r="E21" s="132"/>
      <c r="F21" s="132"/>
      <c r="G21" s="132"/>
      <c r="H21" s="132"/>
      <c r="I21" s="132"/>
      <c r="J21" s="132"/>
      <c r="K21" s="132"/>
      <c r="L21" s="132"/>
      <c r="M21" s="132"/>
      <c r="N21" s="132"/>
      <c r="O21" s="132"/>
      <c r="P21" s="132"/>
      <c r="Q21" s="132"/>
      <c r="R21" s="132"/>
      <c r="S21" s="132"/>
      <c r="T21" s="132"/>
      <c r="U21" s="132"/>
      <c r="V21" s="132"/>
      <c r="W21" s="132"/>
      <c r="X21" s="132"/>
    </row>
    <row r="22" spans="1:24" ht="12.75">
      <c r="A22" s="106" t="s">
        <v>587</v>
      </c>
      <c r="B22" s="1"/>
      <c r="C22" s="132">
        <f>C11*1.05</f>
        <v>105873322.80000001</v>
      </c>
      <c r="D22" s="132"/>
      <c r="E22" s="132"/>
      <c r="F22" s="132"/>
      <c r="G22" s="132"/>
      <c r="H22" s="132"/>
      <c r="I22" s="132"/>
      <c r="J22" s="132"/>
      <c r="K22" s="132"/>
      <c r="L22" s="132"/>
      <c r="M22" s="132"/>
      <c r="N22" s="132"/>
      <c r="O22" s="132"/>
      <c r="P22" s="132"/>
      <c r="Q22" s="132"/>
      <c r="R22" s="132"/>
      <c r="S22" s="132"/>
      <c r="T22" s="132"/>
      <c r="U22" s="132"/>
      <c r="V22" s="132"/>
      <c r="W22" s="132"/>
      <c r="X22" s="132"/>
    </row>
    <row r="23" spans="1:24" ht="12.75">
      <c r="A23" s="106" t="s">
        <v>588</v>
      </c>
      <c r="B23" s="1"/>
      <c r="C23" s="132">
        <f>C22*1.4</f>
        <v>148222651.92000002</v>
      </c>
      <c r="D23" s="132"/>
      <c r="E23" s="132"/>
      <c r="F23" s="132"/>
      <c r="G23" s="132"/>
      <c r="H23" s="132"/>
      <c r="I23" s="132"/>
      <c r="J23" s="132"/>
      <c r="K23" s="132"/>
      <c r="L23" s="132"/>
      <c r="M23" s="132"/>
      <c r="N23" s="132"/>
      <c r="O23" s="132"/>
      <c r="P23" s="132"/>
      <c r="Q23" s="132"/>
      <c r="R23" s="132"/>
      <c r="S23" s="132"/>
      <c r="T23" s="132"/>
      <c r="U23" s="132"/>
      <c r="V23" s="132"/>
      <c r="W23" s="132"/>
      <c r="X23" s="132"/>
    </row>
    <row r="24" spans="1:24" ht="12.75">
      <c r="A24" s="106" t="s">
        <v>434</v>
      </c>
      <c r="B24" s="16">
        <v>1</v>
      </c>
      <c r="C24" s="132">
        <f>SUM(D24:W24)</f>
        <v>176668802.35730773</v>
      </c>
      <c r="D24" s="132">
        <f>D5</f>
        <v>2942307.6923076925</v>
      </c>
      <c r="E24" s="132">
        <f aca="true" t="shared" si="4" ref="E24:W24">(E10)*$B$24</f>
        <v>8066136</v>
      </c>
      <c r="F24" s="132">
        <f t="shared" si="4"/>
        <v>28930395</v>
      </c>
      <c r="G24" s="132">
        <f t="shared" si="4"/>
        <v>25658472</v>
      </c>
      <c r="H24" s="132">
        <f t="shared" si="4"/>
        <v>24395302</v>
      </c>
      <c r="I24" s="132">
        <f t="shared" si="4"/>
        <v>23071043.0442</v>
      </c>
      <c r="J24" s="132">
        <f t="shared" si="4"/>
        <v>9289612.0442</v>
      </c>
      <c r="K24" s="132">
        <f t="shared" si="4"/>
        <v>9289612.0442</v>
      </c>
      <c r="L24" s="132">
        <f t="shared" si="4"/>
        <v>9289612.0442</v>
      </c>
      <c r="M24" s="132">
        <f t="shared" si="4"/>
        <v>9289612.0442</v>
      </c>
      <c r="N24" s="132">
        <f t="shared" si="4"/>
        <v>5289339.6888</v>
      </c>
      <c r="O24" s="132">
        <f t="shared" si="4"/>
        <v>5289339.6888</v>
      </c>
      <c r="P24" s="132">
        <f t="shared" si="4"/>
        <v>5289339.6888</v>
      </c>
      <c r="Q24" s="132">
        <f t="shared" si="4"/>
        <v>5289339.6888</v>
      </c>
      <c r="R24" s="132">
        <f t="shared" si="4"/>
        <v>5289339.6888</v>
      </c>
      <c r="S24" s="132">
        <f t="shared" si="4"/>
        <v>0</v>
      </c>
      <c r="T24" s="132">
        <f t="shared" si="4"/>
        <v>0</v>
      </c>
      <c r="U24" s="132">
        <f t="shared" si="4"/>
        <v>0</v>
      </c>
      <c r="V24" s="132">
        <f t="shared" si="4"/>
        <v>0</v>
      </c>
      <c r="W24" s="132">
        <f t="shared" si="4"/>
        <v>0</v>
      </c>
      <c r="X24" s="132">
        <f>W24</f>
        <v>0</v>
      </c>
    </row>
    <row r="25" spans="1:24" ht="12.75">
      <c r="A25" s="248" t="s">
        <v>672</v>
      </c>
      <c r="B25" s="117"/>
      <c r="C25" s="132"/>
      <c r="D25" s="132"/>
      <c r="E25" s="132">
        <f>7400000/1.4*0.34</f>
        <v>1797142.8571428575</v>
      </c>
      <c r="F25" s="132">
        <f>7400000/1.4*0.33</f>
        <v>1744285.7142857146</v>
      </c>
      <c r="G25" s="132">
        <f>7400000/1.4*0.33</f>
        <v>1744285.7142857146</v>
      </c>
      <c r="H25" s="132"/>
      <c r="I25" s="132"/>
      <c r="J25" s="132"/>
      <c r="K25" s="132"/>
      <c r="L25" s="132"/>
      <c r="M25" s="132"/>
      <c r="N25" s="132"/>
      <c r="O25" s="132"/>
      <c r="P25" s="132"/>
      <c r="Q25" s="132"/>
      <c r="R25" s="132"/>
      <c r="S25" s="132"/>
      <c r="T25" s="132"/>
      <c r="U25" s="132"/>
      <c r="V25" s="132"/>
      <c r="W25" s="132"/>
      <c r="X25" s="132"/>
    </row>
    <row r="26" spans="1:24" ht="12.75">
      <c r="A26" s="131" t="s">
        <v>523</v>
      </c>
      <c r="B26" s="117"/>
      <c r="C26" s="132">
        <f>C23*1.2</f>
        <v>177867182.30400002</v>
      </c>
      <c r="D26" s="132">
        <f>D24-D5</f>
        <v>0</v>
      </c>
      <c r="E26" s="132">
        <f>E24+E25-E5</f>
        <v>6920971.164835166</v>
      </c>
      <c r="F26" s="132">
        <f aca="true" t="shared" si="5" ref="F26:X26">F24+F25-F5</f>
        <v>27732373.021978024</v>
      </c>
      <c r="G26" s="132">
        <f t="shared" si="5"/>
        <v>24460450.021978024</v>
      </c>
      <c r="H26" s="132">
        <f t="shared" si="5"/>
        <v>21452994.307692308</v>
      </c>
      <c r="I26" s="132">
        <f t="shared" si="5"/>
        <v>20128735.351892307</v>
      </c>
      <c r="J26" s="132">
        <f t="shared" si="5"/>
        <v>6347304.351892307</v>
      </c>
      <c r="K26" s="132">
        <f t="shared" si="5"/>
        <v>6347304.351892307</v>
      </c>
      <c r="L26" s="132">
        <f t="shared" si="5"/>
        <v>6347304.351892307</v>
      </c>
      <c r="M26" s="132">
        <f t="shared" si="5"/>
        <v>6347304.351892307</v>
      </c>
      <c r="N26" s="132">
        <f t="shared" si="5"/>
        <v>2347031.996492307</v>
      </c>
      <c r="O26" s="132">
        <f t="shared" si="5"/>
        <v>2347031.996492307</v>
      </c>
      <c r="P26" s="132">
        <f t="shared" si="5"/>
        <v>2347031.996492307</v>
      </c>
      <c r="Q26" s="132">
        <f t="shared" si="5"/>
        <v>2347031.996492307</v>
      </c>
      <c r="R26" s="132">
        <f t="shared" si="5"/>
        <v>2347031.996492307</v>
      </c>
      <c r="S26" s="132">
        <f t="shared" si="5"/>
        <v>0</v>
      </c>
      <c r="T26" s="132">
        <f t="shared" si="5"/>
        <v>0</v>
      </c>
      <c r="U26" s="132">
        <f t="shared" si="5"/>
        <v>0</v>
      </c>
      <c r="V26" s="132">
        <f t="shared" si="5"/>
        <v>0</v>
      </c>
      <c r="W26" s="132">
        <f t="shared" si="5"/>
        <v>0</v>
      </c>
      <c r="X26" s="132">
        <f t="shared" si="5"/>
        <v>0</v>
      </c>
    </row>
    <row r="27" spans="1:24" ht="12.75">
      <c r="A27" s="119"/>
      <c r="B27" s="117"/>
      <c r="C27" s="117">
        <f>90000000/C26</f>
        <v>0.5059955346128852</v>
      </c>
      <c r="D27" s="132"/>
      <c r="E27" s="132"/>
      <c r="F27" s="132"/>
      <c r="G27" s="132"/>
      <c r="H27" s="132"/>
      <c r="I27" s="132"/>
      <c r="J27" s="132"/>
      <c r="K27" s="132"/>
      <c r="L27" s="132"/>
      <c r="M27" s="132"/>
      <c r="N27" s="132"/>
      <c r="O27" s="132"/>
      <c r="P27" s="132"/>
      <c r="Q27" s="132"/>
      <c r="R27" s="132"/>
      <c r="S27" s="132"/>
      <c r="T27" s="132"/>
      <c r="U27" s="132"/>
      <c r="V27" s="132"/>
      <c r="W27" s="132"/>
      <c r="X27" s="132"/>
    </row>
    <row r="28" spans="1:24" ht="12.75">
      <c r="A28" s="122" t="s">
        <v>535</v>
      </c>
      <c r="B28" s="117"/>
      <c r="C28" s="117"/>
      <c r="D28" s="132"/>
      <c r="E28" s="132"/>
      <c r="F28" s="132"/>
      <c r="G28" s="132"/>
      <c r="H28" s="132"/>
      <c r="I28" s="132"/>
      <c r="J28" s="132"/>
      <c r="K28" s="132"/>
      <c r="L28" s="132"/>
      <c r="M28" s="132"/>
      <c r="N28" s="132"/>
      <c r="O28" s="132"/>
      <c r="P28" s="132"/>
      <c r="Q28" s="132"/>
      <c r="R28" s="132"/>
      <c r="S28" s="132"/>
      <c r="T28" s="132"/>
      <c r="U28" s="132"/>
      <c r="V28" s="132"/>
      <c r="W28" s="132"/>
      <c r="X28" s="132"/>
    </row>
    <row r="29" spans="1:24" ht="12.75">
      <c r="A29" s="1"/>
      <c r="D29" s="132"/>
      <c r="E29" s="132"/>
      <c r="F29" s="132"/>
      <c r="G29" s="132"/>
      <c r="H29" s="132"/>
      <c r="I29" s="132"/>
      <c r="J29" s="132"/>
      <c r="K29" s="132"/>
      <c r="L29" s="132"/>
      <c r="M29" s="132"/>
      <c r="N29" s="132"/>
      <c r="O29" s="132"/>
      <c r="P29" s="132"/>
      <c r="Q29" s="132"/>
      <c r="R29" s="132"/>
      <c r="S29" s="132"/>
      <c r="T29" s="132"/>
      <c r="U29" s="132"/>
      <c r="V29" s="132"/>
      <c r="W29" s="132"/>
      <c r="X29" s="132"/>
    </row>
    <row r="30" spans="1:24" ht="12.75">
      <c r="A30" s="1" t="s">
        <v>595</v>
      </c>
      <c r="B30" s="84"/>
      <c r="C30" s="84"/>
      <c r="D30" s="133" t="s">
        <v>717</v>
      </c>
      <c r="E30" s="132">
        <f>Prod_BD!C132</f>
        <v>0</v>
      </c>
      <c r="F30" s="132">
        <f>Prod_BD!D132</f>
        <v>0</v>
      </c>
      <c r="G30" s="132">
        <f>Prod_BD!E132</f>
        <v>0</v>
      </c>
      <c r="H30" s="132">
        <f>Prod_BD!F132</f>
        <v>12164209.67102442</v>
      </c>
      <c r="I30" s="132">
        <f>Prod_BD!G132</f>
        <v>11013895.779084034</v>
      </c>
      <c r="J30" s="132">
        <f>Prod_BD!H132</f>
        <v>11327835.171647266</v>
      </c>
      <c r="K30" s="132">
        <f>Prod_BD!I132</f>
        <v>11648125.213973932</v>
      </c>
      <c r="L30" s="132">
        <f>Prod_BD!J132</f>
        <v>11974692.658582967</v>
      </c>
      <c r="M30" s="132">
        <f>Prod_BD!K132</f>
        <v>12307443.467054494</v>
      </c>
      <c r="N30" s="132">
        <f>Prod_BD!L132</f>
        <v>12646261.00188363</v>
      </c>
      <c r="O30" s="132">
        <f>Prod_BD!M132</f>
        <v>13133270.161476515</v>
      </c>
      <c r="P30" s="132">
        <f>Prod_BD!N132</f>
        <v>13639096.665377362</v>
      </c>
      <c r="Q30" s="132">
        <f>Prod_BD!O132</f>
        <v>14164476.629859798</v>
      </c>
      <c r="R30" s="132">
        <f>Prod_BD!P132</f>
        <v>14710175.563572608</v>
      </c>
      <c r="S30" s="132">
        <f>Prod_BD!Q132</f>
        <v>15276989.57518373</v>
      </c>
      <c r="T30" s="132">
        <f>Prod_BD!R132</f>
        <v>15865746.632516166</v>
      </c>
      <c r="U30" s="132">
        <f>Prod_BD!S132</f>
        <v>16477307.875474278</v>
      </c>
      <c r="V30" s="132">
        <f>Prod_BD!T132</f>
        <v>17112568.985168003</v>
      </c>
      <c r="W30" s="132">
        <f>Prod_BD!U132</f>
        <v>17772461.611755557</v>
      </c>
      <c r="X30" s="132">
        <f>W30</f>
        <v>17772461.611755557</v>
      </c>
    </row>
    <row r="31" spans="1:24" s="3" customFormat="1" ht="12.75">
      <c r="A31" s="9" t="str">
        <f>Hsehold!A29</f>
        <v>Total savings from switching from shop and tanker water</v>
      </c>
      <c r="B31" s="9"/>
      <c r="C31" s="9"/>
      <c r="D31" s="134">
        <f>Hsehold!B29*1.24</f>
        <v>0</v>
      </c>
      <c r="E31" s="134">
        <f>Hsehold!C29*1.24</f>
        <v>0</v>
      </c>
      <c r="F31" s="134">
        <f>Hsehold!D29*1.24</f>
        <v>0</v>
      </c>
      <c r="G31" s="134">
        <f>Hsehold!E29*1.24</f>
        <v>3620219.2464260734</v>
      </c>
      <c r="H31" s="134">
        <f>Hsehold!F29*1.24</f>
        <v>7479554.028333409</v>
      </c>
      <c r="I31" s="134">
        <f>Hsehold!G29*1.24</f>
        <v>11589849.534248568</v>
      </c>
      <c r="J31" s="134">
        <f>Hsehold!H29*1.24</f>
        <v>12238662.277562607</v>
      </c>
      <c r="K31" s="134">
        <f>Hsehold!I29*1.24</f>
        <v>12917688.629921662</v>
      </c>
      <c r="L31" s="134">
        <f>Hsehold!J29*1.24</f>
        <v>13628216.572310837</v>
      </c>
      <c r="M31" s="134">
        <f>Hsehold!K29*1.24</f>
        <v>14371586.204372048</v>
      </c>
      <c r="N31" s="134">
        <f>Hsehold!L29*1.24</f>
        <v>15149191.782104224</v>
      </c>
      <c r="O31" s="134">
        <f>Hsehold!M29*1.24</f>
        <v>15649493.95422575</v>
      </c>
      <c r="P31" s="134">
        <f>Hsehold!N29*1.24</f>
        <v>16166318.609330514</v>
      </c>
      <c r="Q31" s="134">
        <f>Hsehold!O29*1.24</f>
        <v>16700211.402542833</v>
      </c>
      <c r="R31" s="134">
        <f>Hsehold!P29*1.24</f>
        <v>17251736.009251613</v>
      </c>
      <c r="S31" s="134">
        <f>Hsehold!Q29*1.24</f>
        <v>17821474.72022969</v>
      </c>
      <c r="T31" s="134">
        <f>Hsehold!R29*1.24</f>
        <v>18410029.056407053</v>
      </c>
      <c r="U31" s="134">
        <f>Hsehold!S29*1.24</f>
        <v>19018020.40394689</v>
      </c>
      <c r="V31" s="134">
        <f>Hsehold!T29*1.24</f>
        <v>19646090.67029509</v>
      </c>
      <c r="W31" s="134">
        <f>Hsehold!U29*1.24</f>
        <v>20105354.209062863</v>
      </c>
      <c r="X31" s="132">
        <f>W31</f>
        <v>20105354.209062863</v>
      </c>
    </row>
    <row r="32" spans="1:24" ht="12.75">
      <c r="A32" s="1" t="s">
        <v>215</v>
      </c>
      <c r="B32" s="1"/>
      <c r="C32" s="1"/>
      <c r="D32" s="135">
        <f>Heli!C133</f>
        <v>0</v>
      </c>
      <c r="E32" s="135">
        <f>Heli!$C134</f>
        <v>0</v>
      </c>
      <c r="F32" s="135">
        <f>Heli!$C135</f>
        <v>0</v>
      </c>
      <c r="G32" s="135">
        <f>Heli!$C136</f>
        <v>0</v>
      </c>
      <c r="H32" s="135">
        <f>Heli!$C137</f>
        <v>0</v>
      </c>
      <c r="I32" s="135">
        <f>Heli!$C138*1.24</f>
        <v>5579947.216493847</v>
      </c>
      <c r="J32" s="135">
        <f>Heli!$C139*1.24</f>
        <v>5761295.501029896</v>
      </c>
      <c r="K32" s="135">
        <f>Heli!$C140*1.24</f>
        <v>5948537.604813367</v>
      </c>
      <c r="L32" s="135">
        <f>Heli!$C141*1.24</f>
        <v>6141865.076969802</v>
      </c>
      <c r="M32" s="135">
        <f>Heli!$C142*1.24</f>
        <v>6341475.691971322</v>
      </c>
      <c r="N32" s="135">
        <f>Heli!$C143*1.24</f>
        <v>6547573.65196039</v>
      </c>
      <c r="O32" s="135">
        <f>Heli!$C144*1.24</f>
        <v>6760369.795649101</v>
      </c>
      <c r="P32" s="135">
        <f>Heli!$C145*1.24</f>
        <v>6980081.814007698</v>
      </c>
      <c r="Q32" s="135">
        <f>Heli!$C146*1.24</f>
        <v>7206934.472962947</v>
      </c>
      <c r="R32" s="135">
        <f>Heli!$C147*1.24</f>
        <v>7441159.843334241</v>
      </c>
      <c r="S32" s="135">
        <f>Heli!$C148*1.24</f>
        <v>7682997.5382426055</v>
      </c>
      <c r="T32" s="135">
        <f>Heli!$C149*1.24</f>
        <v>7932694.958235491</v>
      </c>
      <c r="U32" s="135">
        <f>Heli!$C150*1.24</f>
        <v>8190507.544378145</v>
      </c>
      <c r="V32" s="135">
        <f>Heli!$C151*1.24</f>
        <v>8456699.039570434</v>
      </c>
      <c r="W32" s="135">
        <f>Heli!$C152*1.24</f>
        <v>8731541.75835647</v>
      </c>
      <c r="X32" s="136">
        <f>W32</f>
        <v>8731541.75835647</v>
      </c>
    </row>
    <row r="33" spans="1:24" ht="12.75">
      <c r="A33" s="1" t="s">
        <v>537</v>
      </c>
      <c r="B33" s="1"/>
      <c r="C33" s="1"/>
      <c r="D33" s="134" t="e">
        <f aca="true" t="shared" si="6" ref="D33:X33">D30+D31+D32</f>
        <v>#VALUE!</v>
      </c>
      <c r="E33" s="134">
        <f t="shared" si="6"/>
        <v>0</v>
      </c>
      <c r="F33" s="134">
        <f t="shared" si="6"/>
        <v>0</v>
      </c>
      <c r="G33" s="134">
        <f t="shared" si="6"/>
        <v>3620219.2464260734</v>
      </c>
      <c r="H33" s="134">
        <f t="shared" si="6"/>
        <v>19643763.69935783</v>
      </c>
      <c r="I33" s="134">
        <f t="shared" si="6"/>
        <v>28183692.529826447</v>
      </c>
      <c r="J33" s="134">
        <f t="shared" si="6"/>
        <v>29327792.95023977</v>
      </c>
      <c r="K33" s="134">
        <f t="shared" si="6"/>
        <v>30514351.44870896</v>
      </c>
      <c r="L33" s="134">
        <f t="shared" si="6"/>
        <v>31744774.307863608</v>
      </c>
      <c r="M33" s="134">
        <f t="shared" si="6"/>
        <v>33020505.363397863</v>
      </c>
      <c r="N33" s="134">
        <f t="shared" si="6"/>
        <v>34343026.435948245</v>
      </c>
      <c r="O33" s="134">
        <f t="shared" si="6"/>
        <v>35543133.91135137</v>
      </c>
      <c r="P33" s="134">
        <f t="shared" si="6"/>
        <v>36785497.088715576</v>
      </c>
      <c r="Q33" s="134">
        <f t="shared" si="6"/>
        <v>38071622.50536558</v>
      </c>
      <c r="R33" s="134">
        <f t="shared" si="6"/>
        <v>39403071.41615846</v>
      </c>
      <c r="S33" s="134">
        <f t="shared" si="6"/>
        <v>40781461.83365603</v>
      </c>
      <c r="T33" s="134">
        <f t="shared" si="6"/>
        <v>42208470.64715871</v>
      </c>
      <c r="U33" s="134">
        <f t="shared" si="6"/>
        <v>43685835.82379931</v>
      </c>
      <c r="V33" s="134">
        <f t="shared" si="6"/>
        <v>45215358.69503353</v>
      </c>
      <c r="W33" s="134">
        <f t="shared" si="6"/>
        <v>46609357.57917489</v>
      </c>
      <c r="X33" s="134">
        <f t="shared" si="6"/>
        <v>46609357.57917489</v>
      </c>
    </row>
    <row r="34" spans="1:24" ht="12.75">
      <c r="A34" s="5"/>
      <c r="B34" s="5"/>
      <c r="C34" s="5"/>
      <c r="D34" s="132"/>
      <c r="E34" s="132"/>
      <c r="F34" s="132"/>
      <c r="G34" s="132"/>
      <c r="H34" s="132"/>
      <c r="I34" s="132"/>
      <c r="J34" s="132"/>
      <c r="K34" s="132"/>
      <c r="L34" s="132"/>
      <c r="M34" s="132"/>
      <c r="N34" s="132"/>
      <c r="O34" s="132"/>
      <c r="P34" s="132"/>
      <c r="Q34" s="132"/>
      <c r="R34" s="132"/>
      <c r="S34" s="132"/>
      <c r="T34" s="132"/>
      <c r="U34" s="132"/>
      <c r="V34" s="132"/>
      <c r="W34" s="132"/>
      <c r="X34" s="132"/>
    </row>
    <row r="35" spans="1:24" s="1" customFormat="1" ht="12.75">
      <c r="A35" s="1" t="s">
        <v>524</v>
      </c>
      <c r="B35" s="4"/>
      <c r="C35" s="4"/>
      <c r="D35" s="137">
        <v>0</v>
      </c>
      <c r="E35" s="137">
        <f aca="true" t="shared" si="7" ref="E35:X35">E33-E26</f>
        <v>-6920971.164835166</v>
      </c>
      <c r="F35" s="137">
        <f t="shared" si="7"/>
        <v>-27732373.021978024</v>
      </c>
      <c r="G35" s="137">
        <f t="shared" si="7"/>
        <v>-20840230.775551952</v>
      </c>
      <c r="H35" s="137">
        <f t="shared" si="7"/>
        <v>-1809230.608334478</v>
      </c>
      <c r="I35" s="137">
        <f t="shared" si="7"/>
        <v>8054957.17793414</v>
      </c>
      <c r="J35" s="137">
        <f t="shared" si="7"/>
        <v>22980488.598347463</v>
      </c>
      <c r="K35" s="137">
        <f t="shared" si="7"/>
        <v>24167047.09681665</v>
      </c>
      <c r="L35" s="137">
        <f t="shared" si="7"/>
        <v>25397469.9559713</v>
      </c>
      <c r="M35" s="137">
        <f t="shared" si="7"/>
        <v>26673201.011505555</v>
      </c>
      <c r="N35" s="137">
        <f t="shared" si="7"/>
        <v>31995994.439455938</v>
      </c>
      <c r="O35" s="137">
        <f t="shared" si="7"/>
        <v>33196101.91485906</v>
      </c>
      <c r="P35" s="137">
        <f t="shared" si="7"/>
        <v>34438465.09222327</v>
      </c>
      <c r="Q35" s="137">
        <f t="shared" si="7"/>
        <v>35724590.50887328</v>
      </c>
      <c r="R35" s="137">
        <f t="shared" si="7"/>
        <v>37056039.419666156</v>
      </c>
      <c r="S35" s="137">
        <f t="shared" si="7"/>
        <v>40781461.83365603</v>
      </c>
      <c r="T35" s="137">
        <f t="shared" si="7"/>
        <v>42208470.64715871</v>
      </c>
      <c r="U35" s="137">
        <f t="shared" si="7"/>
        <v>43685835.82379931</v>
      </c>
      <c r="V35" s="137">
        <f t="shared" si="7"/>
        <v>45215358.69503353</v>
      </c>
      <c r="W35" s="137">
        <f t="shared" si="7"/>
        <v>46609357.57917489</v>
      </c>
      <c r="X35" s="137">
        <f t="shared" si="7"/>
        <v>46609357.57917489</v>
      </c>
    </row>
    <row r="36" spans="1:24" ht="12.75">
      <c r="A36" s="5"/>
      <c r="C36" s="106" t="s">
        <v>538</v>
      </c>
      <c r="D36" s="141">
        <f>IRR(E35:X35)</f>
        <v>0.271428948663923</v>
      </c>
      <c r="E36" s="134" t="s">
        <v>390</v>
      </c>
      <c r="F36" s="132"/>
      <c r="G36" s="132"/>
      <c r="H36" s="132"/>
      <c r="I36" s="132"/>
      <c r="J36" s="132"/>
      <c r="K36" s="132"/>
      <c r="L36" s="132"/>
      <c r="M36" s="132"/>
      <c r="N36" s="132"/>
      <c r="O36" s="132"/>
      <c r="P36" s="132"/>
      <c r="Q36" s="132"/>
      <c r="R36" s="132"/>
      <c r="S36" s="132"/>
      <c r="T36" s="132"/>
      <c r="U36" s="132"/>
      <c r="V36" s="132"/>
      <c r="W36" s="132"/>
      <c r="X36" s="132"/>
    </row>
    <row r="37" spans="1:24" ht="12.75">
      <c r="A37" s="1"/>
      <c r="D37" s="132"/>
      <c r="E37" s="132"/>
      <c r="F37" s="132"/>
      <c r="G37" s="132"/>
      <c r="H37" s="132"/>
      <c r="I37" s="132"/>
      <c r="J37" s="132"/>
      <c r="K37" s="132"/>
      <c r="L37" s="132"/>
      <c r="M37" s="132"/>
      <c r="N37" s="132"/>
      <c r="O37" s="132"/>
      <c r="P37" s="132"/>
      <c r="Q37" s="132"/>
      <c r="R37" s="132"/>
      <c r="S37" s="132"/>
      <c r="T37" s="132"/>
      <c r="U37" s="132"/>
      <c r="V37" s="132"/>
      <c r="W37" s="132"/>
      <c r="X37" s="132"/>
    </row>
    <row r="38" spans="1:24" ht="12.75">
      <c r="A38" s="1"/>
      <c r="B38" s="1"/>
      <c r="C38" s="1"/>
      <c r="D38" s="132"/>
      <c r="E38" s="132"/>
      <c r="F38" s="132"/>
      <c r="G38" s="132"/>
      <c r="H38" s="132"/>
      <c r="I38" s="132"/>
      <c r="J38" s="132"/>
      <c r="K38" s="132"/>
      <c r="L38" s="132"/>
      <c r="M38" s="132"/>
      <c r="N38" s="132"/>
      <c r="O38" s="132"/>
      <c r="P38" s="132"/>
      <c r="Q38" s="132"/>
      <c r="R38" s="132"/>
      <c r="S38" s="132"/>
      <c r="T38" s="132"/>
      <c r="U38" s="132"/>
      <c r="V38" s="132"/>
      <c r="W38" s="132"/>
      <c r="X38" s="132"/>
    </row>
    <row r="39" spans="1:24" ht="12.75">
      <c r="A39" s="6" t="s">
        <v>394</v>
      </c>
      <c r="B39" s="1"/>
      <c r="C39" s="1"/>
      <c r="D39" s="132">
        <f>E24*1.2-E5</f>
        <v>6737055.507692307</v>
      </c>
      <c r="E39" s="132">
        <f aca="true" t="shared" si="8" ref="E39:X39">F24*1.2</f>
        <v>34716474</v>
      </c>
      <c r="F39" s="132">
        <f t="shared" si="8"/>
        <v>30790166.4</v>
      </c>
      <c r="G39" s="132">
        <f t="shared" si="8"/>
        <v>29274362.4</v>
      </c>
      <c r="H39" s="132">
        <f t="shared" si="8"/>
        <v>27685251.65304</v>
      </c>
      <c r="I39" s="132">
        <f t="shared" si="8"/>
        <v>11147534.453039998</v>
      </c>
      <c r="J39" s="132">
        <f t="shared" si="8"/>
        <v>11147534.453039998</v>
      </c>
      <c r="K39" s="132">
        <f t="shared" si="8"/>
        <v>11147534.453039998</v>
      </c>
      <c r="L39" s="132">
        <f t="shared" si="8"/>
        <v>11147534.453039998</v>
      </c>
      <c r="M39" s="132">
        <f t="shared" si="8"/>
        <v>6347207.62656</v>
      </c>
      <c r="N39" s="132">
        <f t="shared" si="8"/>
        <v>6347207.62656</v>
      </c>
      <c r="O39" s="132">
        <f t="shared" si="8"/>
        <v>6347207.62656</v>
      </c>
      <c r="P39" s="132">
        <f t="shared" si="8"/>
        <v>6347207.62656</v>
      </c>
      <c r="Q39" s="132">
        <f t="shared" si="8"/>
        <v>6347207.62656</v>
      </c>
      <c r="R39" s="132">
        <f t="shared" si="8"/>
        <v>0</v>
      </c>
      <c r="S39" s="132">
        <f t="shared" si="8"/>
        <v>0</v>
      </c>
      <c r="T39" s="132">
        <f t="shared" si="8"/>
        <v>0</v>
      </c>
      <c r="U39" s="132">
        <f t="shared" si="8"/>
        <v>0</v>
      </c>
      <c r="V39" s="132">
        <f t="shared" si="8"/>
        <v>0</v>
      </c>
      <c r="W39" s="132">
        <f t="shared" si="8"/>
        <v>0</v>
      </c>
      <c r="X39" s="132">
        <f t="shared" si="8"/>
        <v>0</v>
      </c>
    </row>
    <row r="40" spans="1:24" ht="12.75">
      <c r="A40" s="1" t="s">
        <v>505</v>
      </c>
      <c r="B40" s="1"/>
      <c r="C40" s="1"/>
      <c r="D40" s="132">
        <v>0</v>
      </c>
      <c r="E40" s="132">
        <f>E30+E31+E32-(1.2*E24+E25-E5)</f>
        <v>-8534198.364835165</v>
      </c>
      <c r="F40" s="132">
        <f aca="true" t="shared" si="9" ref="F40:X40">F30+F31+F32-(1.2*F24+F25-F5)</f>
        <v>-33518452.021978024</v>
      </c>
      <c r="G40" s="132">
        <f t="shared" si="9"/>
        <v>-25971925.17555195</v>
      </c>
      <c r="H40" s="132">
        <f t="shared" si="9"/>
        <v>-6688291.0083344765</v>
      </c>
      <c r="I40" s="132">
        <f t="shared" si="9"/>
        <v>3440748.56909414</v>
      </c>
      <c r="J40" s="132">
        <f t="shared" si="9"/>
        <v>21122566.189507462</v>
      </c>
      <c r="K40" s="132">
        <f t="shared" si="9"/>
        <v>22309124.68797665</v>
      </c>
      <c r="L40" s="132">
        <f t="shared" si="9"/>
        <v>23539547.5471313</v>
      </c>
      <c r="M40" s="132">
        <f t="shared" si="9"/>
        <v>24815278.60266556</v>
      </c>
      <c r="N40" s="132">
        <f t="shared" si="9"/>
        <v>30938126.50169594</v>
      </c>
      <c r="O40" s="132">
        <f t="shared" si="9"/>
        <v>32138233.97709906</v>
      </c>
      <c r="P40" s="132">
        <f t="shared" si="9"/>
        <v>33380597.15446327</v>
      </c>
      <c r="Q40" s="132">
        <f t="shared" si="9"/>
        <v>34666722.57111327</v>
      </c>
      <c r="R40" s="132">
        <f t="shared" si="9"/>
        <v>35998171.48190615</v>
      </c>
      <c r="S40" s="132">
        <f t="shared" si="9"/>
        <v>40781461.83365603</v>
      </c>
      <c r="T40" s="132">
        <f t="shared" si="9"/>
        <v>42208470.64715871</v>
      </c>
      <c r="U40" s="132">
        <f t="shared" si="9"/>
        <v>43685835.82379931</v>
      </c>
      <c r="V40" s="132">
        <f t="shared" si="9"/>
        <v>45215358.69503353</v>
      </c>
      <c r="W40" s="132">
        <f t="shared" si="9"/>
        <v>46609357.57917489</v>
      </c>
      <c r="X40" s="132">
        <f t="shared" si="9"/>
        <v>46609357.57917489</v>
      </c>
    </row>
    <row r="41" spans="1:10" ht="12.75">
      <c r="A41" s="104" t="s">
        <v>506</v>
      </c>
      <c r="B41" s="106"/>
      <c r="C41" s="106" t="s">
        <v>538</v>
      </c>
      <c r="D41" s="129">
        <f>IRR(E40:X40)</f>
        <v>0.21868011203722215</v>
      </c>
      <c r="E41" s="53" t="s">
        <v>539</v>
      </c>
      <c r="F41" s="40"/>
      <c r="G41" s="40"/>
      <c r="H41" s="40"/>
      <c r="I41" s="40"/>
      <c r="J41" s="40"/>
    </row>
    <row r="42" spans="1:10" ht="12.75">
      <c r="A42" s="104"/>
      <c r="B42" s="53"/>
      <c r="C42" s="53"/>
      <c r="D42" s="40"/>
      <c r="E42" s="40"/>
      <c r="F42" s="40"/>
      <c r="G42" s="40"/>
      <c r="H42" s="40"/>
      <c r="I42" s="40"/>
      <c r="J42" s="40"/>
    </row>
    <row r="43" spans="1:3" ht="12.75">
      <c r="A43" s="5"/>
      <c r="B43" s="5"/>
      <c r="C43" s="5"/>
    </row>
    <row r="44" spans="1:4" ht="12.75">
      <c r="A44" t="s">
        <v>589</v>
      </c>
      <c r="B44" s="5"/>
      <c r="C44" s="13">
        <v>0.493</v>
      </c>
      <c r="D44" s="106" t="s">
        <v>590</v>
      </c>
    </row>
    <row r="45" spans="1:3" ht="12.75">
      <c r="A45" s="5"/>
      <c r="B45" s="5"/>
      <c r="C45" s="5"/>
    </row>
    <row r="46" spans="1:24" ht="12.75">
      <c r="A46" s="5"/>
      <c r="B46" s="5"/>
      <c r="C46" s="5"/>
      <c r="D46" s="139">
        <v>0</v>
      </c>
      <c r="E46" s="139">
        <f aca="true" t="shared" si="10" ref="E46:X46">D46+1</f>
        <v>1</v>
      </c>
      <c r="F46" s="139">
        <f t="shared" si="10"/>
        <v>2</v>
      </c>
      <c r="G46" s="139">
        <f t="shared" si="10"/>
        <v>3</v>
      </c>
      <c r="H46" s="139">
        <f t="shared" si="10"/>
        <v>4</v>
      </c>
      <c r="I46" s="139">
        <f t="shared" si="10"/>
        <v>5</v>
      </c>
      <c r="J46" s="139">
        <f t="shared" si="10"/>
        <v>6</v>
      </c>
      <c r="K46" s="139">
        <f t="shared" si="10"/>
        <v>7</v>
      </c>
      <c r="L46" s="139">
        <f t="shared" si="10"/>
        <v>8</v>
      </c>
      <c r="M46" s="139">
        <f t="shared" si="10"/>
        <v>9</v>
      </c>
      <c r="N46" s="139">
        <f t="shared" si="10"/>
        <v>10</v>
      </c>
      <c r="O46" s="139">
        <f t="shared" si="10"/>
        <v>11</v>
      </c>
      <c r="P46" s="139">
        <f t="shared" si="10"/>
        <v>12</v>
      </c>
      <c r="Q46" s="139">
        <f t="shared" si="10"/>
        <v>13</v>
      </c>
      <c r="R46" s="139">
        <f t="shared" si="10"/>
        <v>14</v>
      </c>
      <c r="S46" s="139">
        <f t="shared" si="10"/>
        <v>15</v>
      </c>
      <c r="T46" s="139">
        <f t="shared" si="10"/>
        <v>16</v>
      </c>
      <c r="U46" s="139">
        <f t="shared" si="10"/>
        <v>17</v>
      </c>
      <c r="V46" s="139">
        <f t="shared" si="10"/>
        <v>18</v>
      </c>
      <c r="W46" s="139">
        <f t="shared" si="10"/>
        <v>19</v>
      </c>
      <c r="X46" s="139">
        <f t="shared" si="10"/>
        <v>20</v>
      </c>
    </row>
    <row r="47" spans="1:24" ht="12.75">
      <c r="A47" s="5"/>
      <c r="B47" s="5"/>
      <c r="C47" s="5"/>
      <c r="D47" s="139">
        <v>2010</v>
      </c>
      <c r="E47" s="139">
        <f aca="true" t="shared" si="11" ref="E47:X47">D47+1</f>
        <v>2011</v>
      </c>
      <c r="F47" s="139">
        <f t="shared" si="11"/>
        <v>2012</v>
      </c>
      <c r="G47" s="139">
        <f t="shared" si="11"/>
        <v>2013</v>
      </c>
      <c r="H47" s="139">
        <f t="shared" si="11"/>
        <v>2014</v>
      </c>
      <c r="I47" s="139">
        <f t="shared" si="11"/>
        <v>2015</v>
      </c>
      <c r="J47" s="139">
        <f t="shared" si="11"/>
        <v>2016</v>
      </c>
      <c r="K47" s="139">
        <f t="shared" si="11"/>
        <v>2017</v>
      </c>
      <c r="L47" s="139">
        <f t="shared" si="11"/>
        <v>2018</v>
      </c>
      <c r="M47" s="139">
        <f t="shared" si="11"/>
        <v>2019</v>
      </c>
      <c r="N47" s="139">
        <f t="shared" si="11"/>
        <v>2020</v>
      </c>
      <c r="O47" s="139">
        <f t="shared" si="11"/>
        <v>2021</v>
      </c>
      <c r="P47" s="139">
        <f t="shared" si="11"/>
        <v>2022</v>
      </c>
      <c r="Q47" s="139">
        <f t="shared" si="11"/>
        <v>2023</v>
      </c>
      <c r="R47" s="139">
        <f t="shared" si="11"/>
        <v>2024</v>
      </c>
      <c r="S47" s="139">
        <f t="shared" si="11"/>
        <v>2025</v>
      </c>
      <c r="T47" s="139">
        <f t="shared" si="11"/>
        <v>2026</v>
      </c>
      <c r="U47" s="139">
        <f t="shared" si="11"/>
        <v>2027</v>
      </c>
      <c r="V47" s="139">
        <f t="shared" si="11"/>
        <v>2028</v>
      </c>
      <c r="W47" s="139">
        <f t="shared" si="11"/>
        <v>2029</v>
      </c>
      <c r="X47" s="139">
        <f t="shared" si="11"/>
        <v>2030</v>
      </c>
    </row>
    <row r="48" spans="1:24" ht="12.75">
      <c r="A48" s="5" t="s">
        <v>591</v>
      </c>
      <c r="B48" s="5"/>
      <c r="C48" s="5"/>
      <c r="E48" s="132">
        <f aca="true" t="shared" si="12" ref="E48:X48">(E24*1.2-E5)/PPP_conversion_2005</f>
        <v>13665426.993290685</v>
      </c>
      <c r="F48" s="132">
        <f t="shared" si="12"/>
        <v>64450641.59775316</v>
      </c>
      <c r="G48" s="132">
        <f t="shared" si="12"/>
        <v>56486528.81884849</v>
      </c>
      <c r="H48" s="132">
        <f t="shared" si="12"/>
        <v>53411875.67483226</v>
      </c>
      <c r="I48" s="132">
        <f t="shared" si="12"/>
        <v>50188527.303716645</v>
      </c>
      <c r="J48" s="132">
        <f t="shared" si="12"/>
        <v>16643461.989315024</v>
      </c>
      <c r="K48" s="132">
        <f t="shared" si="12"/>
        <v>16643461.989315024</v>
      </c>
      <c r="L48" s="132">
        <f t="shared" si="12"/>
        <v>16643461.989315024</v>
      </c>
      <c r="M48" s="132">
        <f t="shared" si="12"/>
        <v>16643461.989315024</v>
      </c>
      <c r="N48" s="132">
        <f t="shared" si="12"/>
        <v>6906490.738848493</v>
      </c>
      <c r="O48" s="132">
        <f t="shared" si="12"/>
        <v>6906490.738848493</v>
      </c>
      <c r="P48" s="132">
        <f t="shared" si="12"/>
        <v>6906490.738848493</v>
      </c>
      <c r="Q48" s="132">
        <f t="shared" si="12"/>
        <v>6906490.738848493</v>
      </c>
      <c r="R48" s="132">
        <f t="shared" si="12"/>
        <v>6906490.738848493</v>
      </c>
      <c r="S48" s="132">
        <f t="shared" si="12"/>
        <v>0</v>
      </c>
      <c r="T48" s="132">
        <f t="shared" si="12"/>
        <v>0</v>
      </c>
      <c r="U48" s="132">
        <f t="shared" si="12"/>
        <v>0</v>
      </c>
      <c r="V48" s="132">
        <f t="shared" si="12"/>
        <v>0</v>
      </c>
      <c r="W48" s="132">
        <f t="shared" si="12"/>
        <v>0</v>
      </c>
      <c r="X48" s="132">
        <f t="shared" si="12"/>
        <v>0</v>
      </c>
    </row>
    <row r="49" spans="1:3" ht="12.75">
      <c r="A49" s="5" t="s">
        <v>592</v>
      </c>
      <c r="B49" s="1"/>
      <c r="C49" s="132">
        <f>NPV(0.1,E48:X48)</f>
        <v>219633022.71652308</v>
      </c>
    </row>
    <row r="50" spans="1:24" ht="12.75">
      <c r="A50" s="5" t="s">
        <v>593</v>
      </c>
      <c r="E50" s="132">
        <f aca="true" t="shared" si="13" ref="E50:X50">E33/PPP_conversion_2005</f>
        <v>0</v>
      </c>
      <c r="F50" s="132">
        <f t="shared" si="13"/>
        <v>0</v>
      </c>
      <c r="G50" s="132">
        <f t="shared" si="13"/>
        <v>7343243.907557958</v>
      </c>
      <c r="H50" s="132">
        <f t="shared" si="13"/>
        <v>39845362.473342456</v>
      </c>
      <c r="I50" s="132">
        <f t="shared" si="13"/>
        <v>57167733.326219976</v>
      </c>
      <c r="J50" s="132">
        <f t="shared" si="13"/>
        <v>59488423.83415775</v>
      </c>
      <c r="K50" s="132">
        <f t="shared" si="13"/>
        <v>61895236.204277806</v>
      </c>
      <c r="L50" s="132">
        <f t="shared" si="13"/>
        <v>64391022.93684302</v>
      </c>
      <c r="M50" s="132">
        <f t="shared" si="13"/>
        <v>66978712.70466098</v>
      </c>
      <c r="N50" s="132">
        <f t="shared" si="13"/>
        <v>69661311.22910395</v>
      </c>
      <c r="O50" s="132">
        <f t="shared" si="13"/>
        <v>72095606.31105754</v>
      </c>
      <c r="P50" s="132">
        <f t="shared" si="13"/>
        <v>74615612.75601536</v>
      </c>
      <c r="Q50" s="132">
        <f t="shared" si="13"/>
        <v>77224386.42061985</v>
      </c>
      <c r="R50" s="132">
        <f t="shared" si="13"/>
        <v>79925094.15042284</v>
      </c>
      <c r="S50" s="132">
        <f t="shared" si="13"/>
        <v>82721017.91816638</v>
      </c>
      <c r="T50" s="132">
        <f t="shared" si="13"/>
        <v>85615559.12202579</v>
      </c>
      <c r="U50" s="132">
        <f t="shared" si="13"/>
        <v>88612243.05030286</v>
      </c>
      <c r="V50" s="132">
        <f t="shared" si="13"/>
        <v>91714723.51933779</v>
      </c>
      <c r="W50" s="132">
        <f t="shared" si="13"/>
        <v>94542307.4628294</v>
      </c>
      <c r="X50" s="132">
        <f t="shared" si="13"/>
        <v>94542307.4628294</v>
      </c>
    </row>
    <row r="51" spans="1:3" ht="12.75">
      <c r="A51" s="5" t="s">
        <v>594</v>
      </c>
      <c r="C51" s="132">
        <f>NPV(0.1,E50:X50)</f>
        <v>413305950.25098795</v>
      </c>
    </row>
    <row r="54" spans="1:3" ht="12.75">
      <c r="A54" s="5"/>
      <c r="B54" s="5"/>
      <c r="C54" s="5"/>
    </row>
    <row r="55" spans="1:3" ht="12.75">
      <c r="A55" s="5"/>
      <c r="B55" s="5"/>
      <c r="C55" s="5"/>
    </row>
  </sheetData>
  <sheetProtection/>
  <printOptions gridLines="1"/>
  <pageMargins left="0.75" right="0.75" top="1" bottom="1" header="0.5" footer="0.5"/>
  <pageSetup horizontalDpi="600" verticalDpi="600" orientation="landscape" paperSize="9" scale="80" r:id="rId3"/>
  <headerFooter alignWithMargins="0">
    <oddFooter>&amp;LCBA sum: M O'Leary 11.11.09</oddFooter>
  </headerFooter>
  <legacyDrawing r:id="rId2"/>
</worksheet>
</file>

<file path=xl/worksheets/sheet11.xml><?xml version="1.0" encoding="utf-8"?>
<worksheet xmlns="http://schemas.openxmlformats.org/spreadsheetml/2006/main" xmlns:r="http://schemas.openxmlformats.org/officeDocument/2006/relationships">
  <sheetPr codeName="Sheet11"/>
  <dimension ref="A1:X79"/>
  <sheetViews>
    <sheetView zoomScale="85" zoomScaleNormal="85"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58.140625" style="204" customWidth="1"/>
    <col min="2" max="2" width="7.140625" style="204" customWidth="1"/>
    <col min="3" max="3" width="16.8515625" style="204" customWidth="1"/>
    <col min="4" max="4" width="14.00390625" style="204" customWidth="1"/>
    <col min="5" max="5" width="10.57421875" style="204" customWidth="1"/>
    <col min="6" max="6" width="10.8515625" style="204" customWidth="1"/>
    <col min="7" max="7" width="10.7109375" style="204" customWidth="1"/>
    <col min="8" max="8" width="11.140625" style="204" customWidth="1"/>
    <col min="9" max="9" width="10.421875" style="204" customWidth="1"/>
    <col min="10" max="10" width="10.8515625" style="204" customWidth="1"/>
    <col min="11" max="11" width="11.00390625" style="204" customWidth="1"/>
    <col min="12" max="12" width="10.7109375" style="204" customWidth="1"/>
    <col min="13" max="13" width="10.28125" style="204" customWidth="1"/>
    <col min="14" max="14" width="10.7109375" style="204" customWidth="1"/>
    <col min="15" max="15" width="10.140625" style="204" bestFit="1" customWidth="1"/>
    <col min="16" max="16" width="12.57421875" style="204" bestFit="1" customWidth="1"/>
    <col min="17" max="17" width="10.140625" style="204" customWidth="1"/>
    <col min="18" max="18" width="10.57421875" style="204" customWidth="1"/>
    <col min="19" max="19" width="11.28125" style="204" customWidth="1"/>
    <col min="20" max="20" width="10.57421875" style="204" customWidth="1"/>
    <col min="21" max="21" width="11.421875" style="204" customWidth="1"/>
    <col min="22" max="22" width="10.421875" style="204" customWidth="1"/>
    <col min="23" max="23" width="11.28125" style="204" customWidth="1"/>
    <col min="24" max="24" width="13.8515625" style="204" bestFit="1" customWidth="1"/>
    <col min="25" max="16384" width="9.140625" style="204" customWidth="1"/>
  </cols>
  <sheetData>
    <row r="1" spans="2:10" ht="18" customHeight="1">
      <c r="B1" s="603" t="s">
        <v>788</v>
      </c>
      <c r="C1" s="603"/>
      <c r="D1" s="603"/>
      <c r="E1" s="603"/>
      <c r="F1" s="603"/>
      <c r="G1" s="603"/>
      <c r="H1" s="603"/>
      <c r="I1" s="603"/>
      <c r="J1" s="603"/>
    </row>
    <row r="2" spans="2:10" ht="20.25" customHeight="1">
      <c r="B2" s="602" t="s">
        <v>746</v>
      </c>
      <c r="C2" s="602"/>
      <c r="D2" s="602"/>
      <c r="E2" s="602"/>
      <c r="F2" s="602"/>
      <c r="G2" s="602"/>
      <c r="H2" s="602"/>
      <c r="I2" s="602"/>
      <c r="J2" s="602"/>
    </row>
    <row r="3" spans="3:10" ht="12.75">
      <c r="C3" s="360"/>
      <c r="D3" s="360"/>
      <c r="E3" s="360"/>
      <c r="J3" s="360" t="str">
        <f>'User''s Guide'!B1</f>
        <v>LAST UPDATED: 1/10/2011</v>
      </c>
    </row>
    <row r="4" ht="12.75">
      <c r="B4" s="361">
        <f>IF('ERR &amp; Sensitivity Analysis'!$I$20="N","NOTE: Current calculations are based on USER INPUT and are not the original MCC estimates.",IF('ERR &amp; Sensitivity Analysis'!$I$24="N","NOTE: Current calculations are based on USER INPUT and are not the original MCC estimates.",""))</f>
      </c>
    </row>
    <row r="5" ht="12.75"/>
    <row r="6" spans="1:24" ht="12.75">
      <c r="A6" s="362" t="s">
        <v>115</v>
      </c>
      <c r="B6" s="363"/>
      <c r="C6" s="364" t="s">
        <v>483</v>
      </c>
      <c r="D6" s="365" t="s">
        <v>104</v>
      </c>
      <c r="E6" s="365" t="s">
        <v>104</v>
      </c>
      <c r="F6" s="365" t="s">
        <v>104</v>
      </c>
      <c r="G6" s="365" t="s">
        <v>104</v>
      </c>
      <c r="H6" s="365" t="s">
        <v>104</v>
      </c>
      <c r="I6" s="365" t="s">
        <v>104</v>
      </c>
      <c r="J6" s="365" t="s">
        <v>104</v>
      </c>
      <c r="K6" s="365" t="s">
        <v>104</v>
      </c>
      <c r="L6" s="365" t="s">
        <v>104</v>
      </c>
      <c r="M6" s="365" t="s">
        <v>104</v>
      </c>
      <c r="N6" s="365" t="s">
        <v>104</v>
      </c>
      <c r="O6" s="365" t="s">
        <v>104</v>
      </c>
      <c r="P6" s="365" t="s">
        <v>104</v>
      </c>
      <c r="Q6" s="365" t="s">
        <v>104</v>
      </c>
      <c r="R6" s="365" t="s">
        <v>104</v>
      </c>
      <c r="S6" s="365" t="s">
        <v>104</v>
      </c>
      <c r="T6" s="365" t="s">
        <v>104</v>
      </c>
      <c r="U6" s="365" t="s">
        <v>104</v>
      </c>
      <c r="V6" s="365" t="s">
        <v>104</v>
      </c>
      <c r="W6" s="365" t="s">
        <v>104</v>
      </c>
      <c r="X6" s="366" t="s">
        <v>104</v>
      </c>
    </row>
    <row r="7" spans="1:24" ht="12.75">
      <c r="A7" s="367" t="s">
        <v>673</v>
      </c>
      <c r="B7" s="368"/>
      <c r="C7" s="369" t="s">
        <v>452</v>
      </c>
      <c r="D7" s="370">
        <v>0</v>
      </c>
      <c r="E7" s="370">
        <f>D7+1</f>
        <v>1</v>
      </c>
      <c r="F7" s="370">
        <f>E7+1</f>
        <v>2</v>
      </c>
      <c r="G7" s="370">
        <f aca="true" t="shared" si="0" ref="G7:U8">F7+1</f>
        <v>3</v>
      </c>
      <c r="H7" s="370">
        <f t="shared" si="0"/>
        <v>4</v>
      </c>
      <c r="I7" s="370">
        <f t="shared" si="0"/>
        <v>5</v>
      </c>
      <c r="J7" s="370">
        <f t="shared" si="0"/>
        <v>6</v>
      </c>
      <c r="K7" s="370">
        <f t="shared" si="0"/>
        <v>7</v>
      </c>
      <c r="L7" s="370">
        <f t="shared" si="0"/>
        <v>8</v>
      </c>
      <c r="M7" s="370">
        <f t="shared" si="0"/>
        <v>9</v>
      </c>
      <c r="N7" s="370">
        <f t="shared" si="0"/>
        <v>10</v>
      </c>
      <c r="O7" s="370">
        <f t="shared" si="0"/>
        <v>11</v>
      </c>
      <c r="P7" s="370">
        <f t="shared" si="0"/>
        <v>12</v>
      </c>
      <c r="Q7" s="370">
        <f t="shared" si="0"/>
        <v>13</v>
      </c>
      <c r="R7" s="370">
        <f t="shared" si="0"/>
        <v>14</v>
      </c>
      <c r="S7" s="370">
        <f t="shared" si="0"/>
        <v>15</v>
      </c>
      <c r="T7" s="370">
        <f t="shared" si="0"/>
        <v>16</v>
      </c>
      <c r="U7" s="370">
        <f t="shared" si="0"/>
        <v>17</v>
      </c>
      <c r="V7" s="370">
        <f aca="true" t="shared" si="1" ref="V7:X8">U7+1</f>
        <v>18</v>
      </c>
      <c r="W7" s="370">
        <f t="shared" si="1"/>
        <v>19</v>
      </c>
      <c r="X7" s="371">
        <f t="shared" si="1"/>
        <v>20</v>
      </c>
    </row>
    <row r="8" spans="1:24" ht="12.75">
      <c r="A8" s="372" t="s">
        <v>543</v>
      </c>
      <c r="B8" s="373"/>
      <c r="C8" s="374" t="s">
        <v>789</v>
      </c>
      <c r="D8" s="375">
        <v>2010</v>
      </c>
      <c r="E8" s="375">
        <f>D8+1</f>
        <v>2011</v>
      </c>
      <c r="F8" s="375">
        <f>E8+1</f>
        <v>2012</v>
      </c>
      <c r="G8" s="375">
        <f t="shared" si="0"/>
        <v>2013</v>
      </c>
      <c r="H8" s="375">
        <f t="shared" si="0"/>
        <v>2014</v>
      </c>
      <c r="I8" s="375">
        <f t="shared" si="0"/>
        <v>2015</v>
      </c>
      <c r="J8" s="375">
        <f t="shared" si="0"/>
        <v>2016</v>
      </c>
      <c r="K8" s="375">
        <f t="shared" si="0"/>
        <v>2017</v>
      </c>
      <c r="L8" s="375">
        <f t="shared" si="0"/>
        <v>2018</v>
      </c>
      <c r="M8" s="375">
        <f t="shared" si="0"/>
        <v>2019</v>
      </c>
      <c r="N8" s="375">
        <f t="shared" si="0"/>
        <v>2020</v>
      </c>
      <c r="O8" s="375">
        <f t="shared" si="0"/>
        <v>2021</v>
      </c>
      <c r="P8" s="375">
        <f t="shared" si="0"/>
        <v>2022</v>
      </c>
      <c r="Q8" s="375">
        <f t="shared" si="0"/>
        <v>2023</v>
      </c>
      <c r="R8" s="375">
        <f t="shared" si="0"/>
        <v>2024</v>
      </c>
      <c r="S8" s="375">
        <f t="shared" si="0"/>
        <v>2025</v>
      </c>
      <c r="T8" s="375">
        <f t="shared" si="0"/>
        <v>2026</v>
      </c>
      <c r="U8" s="375">
        <f t="shared" si="0"/>
        <v>2027</v>
      </c>
      <c r="V8" s="375">
        <f t="shared" si="1"/>
        <v>2028</v>
      </c>
      <c r="W8" s="375">
        <f t="shared" si="1"/>
        <v>2029</v>
      </c>
      <c r="X8" s="376">
        <f t="shared" si="1"/>
        <v>2030</v>
      </c>
    </row>
    <row r="9" spans="1:3" ht="12.75">
      <c r="A9" s="377"/>
      <c r="B9" s="377"/>
      <c r="C9" s="378"/>
    </row>
    <row r="10" spans="1:24" ht="12.75">
      <c r="A10" s="379" t="s">
        <v>305</v>
      </c>
      <c r="B10" s="380"/>
      <c r="C10" s="380"/>
      <c r="D10" s="381">
        <f>CBA_BD!D5*ScaleFactor</f>
        <v>1471153.8461538462</v>
      </c>
      <c r="E10" s="381">
        <f>CBA_BD!E5*ScaleFactor</f>
        <v>1471153.8461538462</v>
      </c>
      <c r="F10" s="381">
        <f>CBA_BD!F5*ScaleFactor</f>
        <v>1471153.8461538462</v>
      </c>
      <c r="G10" s="381">
        <f>CBA_BD!G5*ScaleFactor</f>
        <v>1471153.8461538462</v>
      </c>
      <c r="H10" s="381">
        <f>CBA_BD!H5*ScaleFactor</f>
        <v>1471153.8461538462</v>
      </c>
      <c r="I10" s="381">
        <f>CBA_BD!I5*ScaleFactor</f>
        <v>1471153.8461538462</v>
      </c>
      <c r="J10" s="381">
        <f>CBA_BD!J5*ScaleFactor</f>
        <v>1471153.8461538462</v>
      </c>
      <c r="K10" s="381">
        <f>CBA_BD!K5*ScaleFactor</f>
        <v>1471153.8461538462</v>
      </c>
      <c r="L10" s="381">
        <f>CBA_BD!L5*ScaleFactor</f>
        <v>1471153.8461538462</v>
      </c>
      <c r="M10" s="381">
        <f>CBA_BD!M5*ScaleFactor</f>
        <v>1471153.8461538462</v>
      </c>
      <c r="N10" s="381">
        <f>CBA_BD!N5*ScaleFactor</f>
        <v>1471153.8461538462</v>
      </c>
      <c r="O10" s="381">
        <f>CBA_BD!O5*ScaleFactor</f>
        <v>1471153.8461538462</v>
      </c>
      <c r="P10" s="381">
        <f>CBA_BD!P5*ScaleFactor</f>
        <v>1471153.8461538462</v>
      </c>
      <c r="Q10" s="381">
        <f>CBA_BD!Q5*ScaleFactor</f>
        <v>1471153.8461538462</v>
      </c>
      <c r="R10" s="381">
        <f>CBA_BD!R5*ScaleFactor</f>
        <v>1471153.8461538462</v>
      </c>
      <c r="S10" s="381"/>
      <c r="T10" s="381"/>
      <c r="U10" s="381"/>
      <c r="V10" s="381"/>
      <c r="W10" s="381"/>
      <c r="X10" s="382"/>
    </row>
    <row r="11" spans="1:24" ht="12.75">
      <c r="A11" s="383" t="s">
        <v>323</v>
      </c>
      <c r="B11" s="377"/>
      <c r="C11" s="377"/>
      <c r="D11" s="384"/>
      <c r="J11" s="384"/>
      <c r="K11" s="384"/>
      <c r="L11" s="384"/>
      <c r="M11" s="384"/>
      <c r="N11" s="384"/>
      <c r="O11" s="384"/>
      <c r="P11" s="384"/>
      <c r="Q11" s="384"/>
      <c r="R11" s="384"/>
      <c r="S11" s="384"/>
      <c r="T11" s="384"/>
      <c r="U11" s="384"/>
      <c r="V11" s="384"/>
      <c r="W11" s="384"/>
      <c r="X11" s="384"/>
    </row>
    <row r="12" spans="1:24" ht="12.75">
      <c r="A12" s="383" t="s">
        <v>492</v>
      </c>
      <c r="B12" s="385">
        <f>'ERR &amp; Sensitivity Analysis'!G23</f>
        <v>0.765</v>
      </c>
      <c r="C12" s="386"/>
      <c r="D12" s="384"/>
      <c r="E12" s="387">
        <v>0.07324793893166445</v>
      </c>
      <c r="F12" s="387">
        <v>0.262714614064148</v>
      </c>
      <c r="G12" s="387">
        <v>0.233002541754295</v>
      </c>
      <c r="H12" s="387">
        <v>0.22153179553574492</v>
      </c>
      <c r="I12" s="387">
        <v>0.2095031097141476</v>
      </c>
      <c r="J12" s="384"/>
      <c r="K12" s="384"/>
      <c r="L12" s="384"/>
      <c r="M12" s="384"/>
      <c r="N12" s="384"/>
      <c r="O12" s="384"/>
      <c r="P12" s="384"/>
      <c r="Q12" s="384"/>
      <c r="R12" s="384"/>
      <c r="S12" s="384"/>
      <c r="T12" s="384"/>
      <c r="U12" s="384"/>
      <c r="V12" s="384"/>
      <c r="W12" s="384"/>
      <c r="X12" s="384"/>
    </row>
    <row r="13" spans="1:24" ht="12.75">
      <c r="A13" s="383" t="s">
        <v>491</v>
      </c>
      <c r="B13" s="388"/>
      <c r="E13" s="384"/>
      <c r="F13" s="384"/>
      <c r="G13" s="384"/>
      <c r="H13" s="384"/>
      <c r="I13" s="384"/>
      <c r="J13" s="384"/>
      <c r="K13" s="384"/>
      <c r="L13" s="384"/>
      <c r="M13" s="384"/>
      <c r="N13" s="384"/>
      <c r="O13" s="384"/>
      <c r="P13" s="384"/>
      <c r="Q13" s="384"/>
      <c r="R13" s="384"/>
      <c r="S13" s="384"/>
      <c r="T13" s="384"/>
      <c r="U13" s="384"/>
      <c r="V13" s="384"/>
      <c r="W13" s="384"/>
      <c r="X13" s="384"/>
    </row>
    <row r="14" spans="1:24" ht="12.75">
      <c r="A14" s="389" t="s">
        <v>716</v>
      </c>
      <c r="B14" s="390">
        <f>'ERR &amp; Sensitivity Analysis'!G24</f>
        <v>0.5</v>
      </c>
      <c r="C14" s="384"/>
      <c r="D14" s="384"/>
      <c r="E14" s="384"/>
      <c r="F14" s="384"/>
      <c r="G14" s="384"/>
      <c r="H14" s="384"/>
      <c r="I14" s="384"/>
      <c r="J14" s="384"/>
      <c r="K14" s="384"/>
      <c r="L14" s="384"/>
      <c r="M14" s="384"/>
      <c r="N14" s="384"/>
      <c r="O14" s="384"/>
      <c r="P14" s="384"/>
      <c r="Q14" s="384"/>
      <c r="R14" s="384"/>
      <c r="S14" s="384"/>
      <c r="T14" s="384"/>
      <c r="U14" s="384"/>
      <c r="V14" s="384"/>
      <c r="W14" s="384"/>
      <c r="X14" s="384"/>
    </row>
    <row r="15" spans="1:24" ht="12.75">
      <c r="A15" s="391" t="s">
        <v>304</v>
      </c>
      <c r="B15" s="363"/>
      <c r="C15" s="392">
        <v>169738096.35603353</v>
      </c>
      <c r="D15" s="392">
        <f>SUM(D16:D23)</f>
        <v>0</v>
      </c>
      <c r="E15" s="392">
        <f>SUM(E16:E23)</f>
        <v>4344424.949390813</v>
      </c>
      <c r="F15" s="392">
        <f aca="true" t="shared" si="2" ref="F15:X15">SUM(F16:F23)</f>
        <v>15581925.451508777</v>
      </c>
      <c r="G15" s="392">
        <f t="shared" si="2"/>
        <v>13819666.060682038</v>
      </c>
      <c r="H15" s="392">
        <f t="shared" si="2"/>
        <v>13139322.056648137</v>
      </c>
      <c r="I15" s="392">
        <f t="shared" si="2"/>
        <v>17070691.993666153</v>
      </c>
      <c r="J15" s="392">
        <f t="shared" si="2"/>
        <v>4644806.0221</v>
      </c>
      <c r="K15" s="392">
        <f t="shared" si="2"/>
        <v>4644806.0221</v>
      </c>
      <c r="L15" s="392">
        <f t="shared" si="2"/>
        <v>4644806.0221</v>
      </c>
      <c r="M15" s="392">
        <f t="shared" si="2"/>
        <v>4644806.0221</v>
      </c>
      <c r="N15" s="392">
        <f t="shared" si="2"/>
        <v>2644669.8444</v>
      </c>
      <c r="O15" s="392">
        <f t="shared" si="2"/>
        <v>2644669.8444</v>
      </c>
      <c r="P15" s="392">
        <f t="shared" si="2"/>
        <v>2644669.8444</v>
      </c>
      <c r="Q15" s="392">
        <f t="shared" si="2"/>
        <v>2644669.8444</v>
      </c>
      <c r="R15" s="392">
        <f t="shared" si="2"/>
        <v>2644669.8444</v>
      </c>
      <c r="S15" s="392">
        <f t="shared" si="2"/>
        <v>0</v>
      </c>
      <c r="T15" s="392">
        <f t="shared" si="2"/>
        <v>0</v>
      </c>
      <c r="U15" s="392">
        <f t="shared" si="2"/>
        <v>0</v>
      </c>
      <c r="V15" s="392">
        <f t="shared" si="2"/>
        <v>0</v>
      </c>
      <c r="W15" s="392">
        <f t="shared" si="2"/>
        <v>0</v>
      </c>
      <c r="X15" s="392">
        <f t="shared" si="2"/>
        <v>0</v>
      </c>
    </row>
    <row r="16" spans="1:24" ht="12.75">
      <c r="A16" s="367" t="s">
        <v>451</v>
      </c>
      <c r="B16" s="368" t="s">
        <v>487</v>
      </c>
      <c r="C16" s="393">
        <v>100831736</v>
      </c>
      <c r="D16" s="393">
        <v>0</v>
      </c>
      <c r="E16" s="393">
        <f aca="true" t="shared" si="3" ref="E16:X16">$C48/exrate*E12</f>
        <v>4344424.949390813</v>
      </c>
      <c r="F16" s="393">
        <f t="shared" si="3"/>
        <v>15581925.451508777</v>
      </c>
      <c r="G16" s="393">
        <f t="shared" si="3"/>
        <v>13819666.060682038</v>
      </c>
      <c r="H16" s="393">
        <f t="shared" si="3"/>
        <v>13139322.056648137</v>
      </c>
      <c r="I16" s="393">
        <f t="shared" si="3"/>
        <v>12425885.971566154</v>
      </c>
      <c r="J16" s="393">
        <f t="shared" si="3"/>
        <v>0</v>
      </c>
      <c r="K16" s="393">
        <f t="shared" si="3"/>
        <v>0</v>
      </c>
      <c r="L16" s="393">
        <f t="shared" si="3"/>
        <v>0</v>
      </c>
      <c r="M16" s="393">
        <f t="shared" si="3"/>
        <v>0</v>
      </c>
      <c r="N16" s="393">
        <f t="shared" si="3"/>
        <v>0</v>
      </c>
      <c r="O16" s="393">
        <f t="shared" si="3"/>
        <v>0</v>
      </c>
      <c r="P16" s="393">
        <f t="shared" si="3"/>
        <v>0</v>
      </c>
      <c r="Q16" s="393">
        <f t="shared" si="3"/>
        <v>0</v>
      </c>
      <c r="R16" s="393">
        <f t="shared" si="3"/>
        <v>0</v>
      </c>
      <c r="S16" s="393">
        <f t="shared" si="3"/>
        <v>0</v>
      </c>
      <c r="T16" s="393">
        <f t="shared" si="3"/>
        <v>0</v>
      </c>
      <c r="U16" s="393">
        <f t="shared" si="3"/>
        <v>0</v>
      </c>
      <c r="V16" s="393">
        <f t="shared" si="3"/>
        <v>0</v>
      </c>
      <c r="W16" s="393">
        <f t="shared" si="3"/>
        <v>0</v>
      </c>
      <c r="X16" s="394">
        <f t="shared" si="3"/>
        <v>0</v>
      </c>
    </row>
    <row r="17" spans="1:24" ht="12.75">
      <c r="A17" s="367" t="s">
        <v>456</v>
      </c>
      <c r="B17" s="368" t="s">
        <v>487</v>
      </c>
      <c r="C17" s="393"/>
      <c r="D17" s="393">
        <v>0</v>
      </c>
      <c r="E17" s="393">
        <v>0</v>
      </c>
      <c r="F17" s="393">
        <v>0</v>
      </c>
      <c r="G17" s="393">
        <v>0</v>
      </c>
      <c r="H17" s="393">
        <v>0</v>
      </c>
      <c r="I17" s="393">
        <v>0</v>
      </c>
      <c r="J17" s="393">
        <v>0</v>
      </c>
      <c r="K17" s="393">
        <v>0</v>
      </c>
      <c r="L17" s="393">
        <v>0</v>
      </c>
      <c r="M17" s="393">
        <v>0</v>
      </c>
      <c r="N17" s="393">
        <v>0</v>
      </c>
      <c r="O17" s="393">
        <v>0</v>
      </c>
      <c r="P17" s="393">
        <v>0</v>
      </c>
      <c r="Q17" s="393">
        <v>0</v>
      </c>
      <c r="R17" s="393">
        <v>0</v>
      </c>
      <c r="S17" s="393">
        <v>0</v>
      </c>
      <c r="T17" s="393">
        <v>0</v>
      </c>
      <c r="U17" s="393">
        <v>0</v>
      </c>
      <c r="V17" s="393">
        <v>0</v>
      </c>
      <c r="W17" s="393">
        <v>0</v>
      </c>
      <c r="X17" s="394">
        <v>0</v>
      </c>
    </row>
    <row r="18" spans="1:24" ht="12.75">
      <c r="A18" s="367" t="s">
        <v>453</v>
      </c>
      <c r="B18" s="368" t="s">
        <v>488</v>
      </c>
      <c r="C18" s="393"/>
      <c r="D18" s="393">
        <v>0</v>
      </c>
      <c r="E18" s="393">
        <v>0</v>
      </c>
      <c r="F18" s="393">
        <v>0</v>
      </c>
      <c r="G18" s="393">
        <v>0</v>
      </c>
      <c r="H18" s="393">
        <v>0</v>
      </c>
      <c r="I18" s="393">
        <v>0</v>
      </c>
      <c r="J18" s="393">
        <v>0</v>
      </c>
      <c r="K18" s="393">
        <v>0</v>
      </c>
      <c r="L18" s="393">
        <v>0</v>
      </c>
      <c r="M18" s="393">
        <v>0</v>
      </c>
      <c r="N18" s="393">
        <v>0</v>
      </c>
      <c r="O18" s="393">
        <v>0</v>
      </c>
      <c r="P18" s="393">
        <v>0</v>
      </c>
      <c r="Q18" s="393">
        <v>0</v>
      </c>
      <c r="R18" s="393">
        <v>0</v>
      </c>
      <c r="S18" s="393">
        <v>0</v>
      </c>
      <c r="T18" s="393">
        <v>0</v>
      </c>
      <c r="U18" s="393">
        <v>0</v>
      </c>
      <c r="V18" s="393">
        <v>0</v>
      </c>
      <c r="W18" s="393">
        <v>0</v>
      </c>
      <c r="X18" s="394">
        <v>0</v>
      </c>
    </row>
    <row r="19" spans="1:24" ht="12.75">
      <c r="A19" s="367" t="s">
        <v>479</v>
      </c>
      <c r="B19" s="368" t="s">
        <v>487</v>
      </c>
      <c r="C19" s="393"/>
      <c r="D19" s="393">
        <v>0</v>
      </c>
      <c r="E19" s="393">
        <v>0</v>
      </c>
      <c r="F19" s="393">
        <v>0</v>
      </c>
      <c r="G19" s="393">
        <v>0</v>
      </c>
      <c r="H19" s="393">
        <v>0</v>
      </c>
      <c r="I19" s="393">
        <v>0</v>
      </c>
      <c r="J19" s="393">
        <v>0</v>
      </c>
      <c r="K19" s="393">
        <v>0</v>
      </c>
      <c r="L19" s="393">
        <v>0</v>
      </c>
      <c r="M19" s="393">
        <v>0</v>
      </c>
      <c r="N19" s="393">
        <v>0</v>
      </c>
      <c r="O19" s="393">
        <v>0</v>
      </c>
      <c r="P19" s="393">
        <v>0</v>
      </c>
      <c r="Q19" s="393">
        <v>0</v>
      </c>
      <c r="R19" s="393">
        <v>0</v>
      </c>
      <c r="S19" s="393">
        <v>0</v>
      </c>
      <c r="T19" s="393">
        <v>0</v>
      </c>
      <c r="U19" s="393">
        <v>0</v>
      </c>
      <c r="V19" s="393">
        <v>0</v>
      </c>
      <c r="W19" s="393">
        <v>0</v>
      </c>
      <c r="X19" s="394">
        <v>0</v>
      </c>
    </row>
    <row r="20" spans="1:24" ht="12.75">
      <c r="A20" s="367" t="s">
        <v>480</v>
      </c>
      <c r="B20" s="368" t="s">
        <v>489</v>
      </c>
      <c r="C20" s="393">
        <v>23642252.776</v>
      </c>
      <c r="D20" s="393">
        <v>0</v>
      </c>
      <c r="E20" s="393">
        <v>0</v>
      </c>
      <c r="F20" s="393">
        <v>0</v>
      </c>
      <c r="G20" s="393">
        <v>0</v>
      </c>
      <c r="H20" s="393">
        <v>0</v>
      </c>
      <c r="I20" s="393">
        <f>CBA_BD!I15*ScaleFactor</f>
        <v>2364225.2776</v>
      </c>
      <c r="J20" s="393">
        <f>CBA_BD!J15*ScaleFactor</f>
        <v>2364225.2776</v>
      </c>
      <c r="K20" s="393">
        <f>CBA_BD!K15*ScaleFactor</f>
        <v>2364225.2776</v>
      </c>
      <c r="L20" s="393">
        <f>CBA_BD!L15*ScaleFactor</f>
        <v>2364225.2776</v>
      </c>
      <c r="M20" s="393">
        <f>CBA_BD!M15*ScaleFactor</f>
        <v>2364225.2776</v>
      </c>
      <c r="N20" s="393">
        <v>0</v>
      </c>
      <c r="O20" s="393">
        <v>0</v>
      </c>
      <c r="P20" s="393">
        <v>0</v>
      </c>
      <c r="Q20" s="393">
        <v>0</v>
      </c>
      <c r="R20" s="393">
        <v>0</v>
      </c>
      <c r="S20" s="393">
        <v>0</v>
      </c>
      <c r="T20" s="393">
        <v>0</v>
      </c>
      <c r="U20" s="393">
        <v>0</v>
      </c>
      <c r="V20" s="393">
        <v>0</v>
      </c>
      <c r="W20" s="393">
        <v>0</v>
      </c>
      <c r="X20" s="394">
        <v>0</v>
      </c>
    </row>
    <row r="21" spans="1:24" ht="12.75">
      <c r="A21" s="367" t="s">
        <v>457</v>
      </c>
      <c r="B21" s="368" t="s">
        <v>487</v>
      </c>
      <c r="C21" s="393">
        <v>22804047.899645973</v>
      </c>
      <c r="D21" s="393">
        <v>0</v>
      </c>
      <c r="E21" s="393">
        <v>0</v>
      </c>
      <c r="F21" s="393">
        <v>0</v>
      </c>
      <c r="G21" s="393">
        <v>0</v>
      </c>
      <c r="H21" s="393">
        <v>0</v>
      </c>
      <c r="I21" s="393">
        <f>CBA_BD!I16*ScaleFactor</f>
        <v>2280580.7445</v>
      </c>
      <c r="J21" s="393">
        <f>CBA_BD!J16*ScaleFactor</f>
        <v>2280580.7445</v>
      </c>
      <c r="K21" s="393">
        <f>CBA_BD!K16*ScaleFactor</f>
        <v>2280580.7445</v>
      </c>
      <c r="L21" s="393">
        <f>CBA_BD!L16*ScaleFactor</f>
        <v>2280580.7445</v>
      </c>
      <c r="M21" s="393">
        <f>CBA_BD!M16*ScaleFactor</f>
        <v>2280580.7445</v>
      </c>
      <c r="N21" s="393">
        <v>0</v>
      </c>
      <c r="O21" s="393">
        <v>0</v>
      </c>
      <c r="P21" s="393">
        <v>0</v>
      </c>
      <c r="Q21" s="393">
        <v>0</v>
      </c>
      <c r="R21" s="393">
        <v>0</v>
      </c>
      <c r="S21" s="393">
        <v>0</v>
      </c>
      <c r="T21" s="393">
        <v>0</v>
      </c>
      <c r="U21" s="393">
        <v>0</v>
      </c>
      <c r="V21" s="393">
        <v>0</v>
      </c>
      <c r="W21" s="393">
        <v>0</v>
      </c>
      <c r="X21" s="394">
        <v>0</v>
      </c>
    </row>
    <row r="22" spans="1:24" ht="12.75">
      <c r="A22" s="367" t="s">
        <v>454</v>
      </c>
      <c r="B22" s="368" t="s">
        <v>489</v>
      </c>
      <c r="C22" s="393">
        <v>1411360.464</v>
      </c>
      <c r="D22" s="393">
        <v>0</v>
      </c>
      <c r="E22" s="393">
        <v>0</v>
      </c>
      <c r="F22" s="393">
        <v>0</v>
      </c>
      <c r="G22" s="393">
        <v>0</v>
      </c>
      <c r="H22" s="393">
        <v>0</v>
      </c>
      <c r="I22" s="393">
        <v>0</v>
      </c>
      <c r="J22" s="393">
        <v>0</v>
      </c>
      <c r="K22" s="393">
        <v>0</v>
      </c>
      <c r="L22" s="393">
        <v>0</v>
      </c>
      <c r="M22" s="393">
        <v>0</v>
      </c>
      <c r="N22" s="393">
        <f>CBA_BD!N17*ScaleFactor</f>
        <v>141136.0464</v>
      </c>
      <c r="O22" s="393">
        <f>CBA_BD!O17*ScaleFactor</f>
        <v>141136.0464</v>
      </c>
      <c r="P22" s="393">
        <f>CBA_BD!P17*ScaleFactor</f>
        <v>141136.0464</v>
      </c>
      <c r="Q22" s="393">
        <f>CBA_BD!Q17*ScaleFactor</f>
        <v>141136.0464</v>
      </c>
      <c r="R22" s="393">
        <f>CBA_BD!R17*ScaleFactor</f>
        <v>141136.0464</v>
      </c>
      <c r="S22" s="393">
        <v>0</v>
      </c>
      <c r="T22" s="393">
        <v>0</v>
      </c>
      <c r="U22" s="393">
        <v>0</v>
      </c>
      <c r="V22" s="393">
        <v>0</v>
      </c>
      <c r="W22" s="393">
        <v>0</v>
      </c>
      <c r="X22" s="394">
        <v>0</v>
      </c>
    </row>
    <row r="23" spans="1:24" ht="12.75">
      <c r="A23" s="395" t="s">
        <v>455</v>
      </c>
      <c r="B23" s="373" t="s">
        <v>487</v>
      </c>
      <c r="C23" s="396">
        <v>25033406.41880729</v>
      </c>
      <c r="D23" s="396">
        <v>0</v>
      </c>
      <c r="E23" s="396">
        <v>0</v>
      </c>
      <c r="F23" s="396">
        <v>0</v>
      </c>
      <c r="G23" s="396">
        <v>0</v>
      </c>
      <c r="H23" s="396">
        <v>0</v>
      </c>
      <c r="I23" s="396">
        <v>0</v>
      </c>
      <c r="J23" s="396">
        <v>0</v>
      </c>
      <c r="K23" s="396">
        <v>0</v>
      </c>
      <c r="L23" s="396">
        <v>0</v>
      </c>
      <c r="M23" s="396">
        <v>0</v>
      </c>
      <c r="N23" s="396">
        <f>CBA_BD!N18*ScaleFactor</f>
        <v>2503533.798</v>
      </c>
      <c r="O23" s="396">
        <f>CBA_BD!O18*ScaleFactor</f>
        <v>2503533.798</v>
      </c>
      <c r="P23" s="396">
        <f>CBA_BD!P18*ScaleFactor</f>
        <v>2503533.798</v>
      </c>
      <c r="Q23" s="396">
        <f>CBA_BD!Q18*ScaleFactor</f>
        <v>2503533.798</v>
      </c>
      <c r="R23" s="396">
        <f>CBA_BD!R18*ScaleFactor</f>
        <v>2503533.798</v>
      </c>
      <c r="S23" s="396">
        <v>0</v>
      </c>
      <c r="T23" s="396">
        <v>0</v>
      </c>
      <c r="U23" s="396">
        <v>0</v>
      </c>
      <c r="V23" s="396">
        <v>0</v>
      </c>
      <c r="W23" s="396">
        <v>0</v>
      </c>
      <c r="X23" s="397">
        <v>0</v>
      </c>
    </row>
    <row r="24" spans="1:24" ht="12.75">
      <c r="A24" s="398" t="s">
        <v>434</v>
      </c>
      <c r="B24" s="399">
        <v>1</v>
      </c>
      <c r="C24" s="392">
        <f>C48/1.4</f>
        <v>59311224.48979592</v>
      </c>
      <c r="D24" s="392">
        <f>D10</f>
        <v>1471153.8461538462</v>
      </c>
      <c r="E24" s="392">
        <f aca="true" t="shared" si="4" ref="E24:W24">(E15)*$B$24</f>
        <v>4344424.949390813</v>
      </c>
      <c r="F24" s="392">
        <f t="shared" si="4"/>
        <v>15581925.451508777</v>
      </c>
      <c r="G24" s="392">
        <f t="shared" si="4"/>
        <v>13819666.060682038</v>
      </c>
      <c r="H24" s="392">
        <f t="shared" si="4"/>
        <v>13139322.056648137</v>
      </c>
      <c r="I24" s="392">
        <f t="shared" si="4"/>
        <v>17070691.993666153</v>
      </c>
      <c r="J24" s="392">
        <f t="shared" si="4"/>
        <v>4644806.0221</v>
      </c>
      <c r="K24" s="392">
        <f t="shared" si="4"/>
        <v>4644806.0221</v>
      </c>
      <c r="L24" s="392">
        <f t="shared" si="4"/>
        <v>4644806.0221</v>
      </c>
      <c r="M24" s="392">
        <f t="shared" si="4"/>
        <v>4644806.0221</v>
      </c>
      <c r="N24" s="392">
        <f t="shared" si="4"/>
        <v>2644669.8444</v>
      </c>
      <c r="O24" s="392">
        <f t="shared" si="4"/>
        <v>2644669.8444</v>
      </c>
      <c r="P24" s="392">
        <f t="shared" si="4"/>
        <v>2644669.8444</v>
      </c>
      <c r="Q24" s="392">
        <f t="shared" si="4"/>
        <v>2644669.8444</v>
      </c>
      <c r="R24" s="392">
        <f t="shared" si="4"/>
        <v>2644669.8444</v>
      </c>
      <c r="S24" s="392">
        <f t="shared" si="4"/>
        <v>0</v>
      </c>
      <c r="T24" s="392">
        <f t="shared" si="4"/>
        <v>0</v>
      </c>
      <c r="U24" s="392">
        <f t="shared" si="4"/>
        <v>0</v>
      </c>
      <c r="V24" s="392">
        <f t="shared" si="4"/>
        <v>0</v>
      </c>
      <c r="W24" s="392">
        <f t="shared" si="4"/>
        <v>0</v>
      </c>
      <c r="X24" s="400">
        <f>W24</f>
        <v>0</v>
      </c>
    </row>
    <row r="25" spans="1:24" ht="12.75">
      <c r="A25" s="401" t="s">
        <v>686</v>
      </c>
      <c r="B25" s="402"/>
      <c r="C25" s="393"/>
      <c r="D25" s="393">
        <v>0</v>
      </c>
      <c r="E25" s="393">
        <f>$C49/exrate*E12</f>
        <v>387899.42412015377</v>
      </c>
      <c r="F25" s="393">
        <f>$C49/exrate*F12</f>
        <v>1391258.907619283</v>
      </c>
      <c r="G25" s="393">
        <f>$C49/exrate*G12</f>
        <v>1233912.558950542</v>
      </c>
      <c r="H25" s="393">
        <f>$C49/exrate*H12</f>
        <v>1173166.8790406254</v>
      </c>
      <c r="I25" s="393">
        <f>$C49/exrate*I12</f>
        <v>1109466.5159836817</v>
      </c>
      <c r="J25" s="393">
        <v>0</v>
      </c>
      <c r="K25" s="393">
        <v>0</v>
      </c>
      <c r="L25" s="393">
        <v>0</v>
      </c>
      <c r="M25" s="393">
        <v>0</v>
      </c>
      <c r="N25" s="393">
        <v>0</v>
      </c>
      <c r="O25" s="393">
        <v>0</v>
      </c>
      <c r="P25" s="393">
        <v>0</v>
      </c>
      <c r="Q25" s="393">
        <v>0</v>
      </c>
      <c r="R25" s="393">
        <v>0</v>
      </c>
      <c r="S25" s="393">
        <v>0</v>
      </c>
      <c r="T25" s="393">
        <v>0</v>
      </c>
      <c r="U25" s="393">
        <v>0</v>
      </c>
      <c r="V25" s="393">
        <v>0</v>
      </c>
      <c r="W25" s="393">
        <v>0</v>
      </c>
      <c r="X25" s="393">
        <v>0</v>
      </c>
    </row>
    <row r="26" spans="1:24" ht="12.75">
      <c r="A26" s="401" t="s">
        <v>685</v>
      </c>
      <c r="B26" s="402"/>
      <c r="C26" s="393"/>
      <c r="D26" s="393">
        <v>0</v>
      </c>
      <c r="E26" s="393">
        <f>$C51/exrate*E12</f>
        <v>292991.75572665787</v>
      </c>
      <c r="F26" s="393">
        <f>$C51/exrate*F12</f>
        <v>1050858.456256592</v>
      </c>
      <c r="G26" s="393">
        <f>$C51/exrate*G12</f>
        <v>932010.1670171801</v>
      </c>
      <c r="H26" s="393">
        <f>$C51/exrate*H12</f>
        <v>886127.1821429798</v>
      </c>
      <c r="I26" s="393">
        <f>$C51/exrate*I12</f>
        <v>838012.4388565904</v>
      </c>
      <c r="J26" s="393">
        <v>0</v>
      </c>
      <c r="K26" s="393">
        <v>0</v>
      </c>
      <c r="L26" s="393">
        <v>0</v>
      </c>
      <c r="M26" s="393">
        <v>0</v>
      </c>
      <c r="N26" s="393">
        <v>0</v>
      </c>
      <c r="O26" s="393">
        <v>0</v>
      </c>
      <c r="P26" s="393">
        <v>0</v>
      </c>
      <c r="Q26" s="393">
        <v>0</v>
      </c>
      <c r="R26" s="393">
        <v>0</v>
      </c>
      <c r="S26" s="393">
        <v>0</v>
      </c>
      <c r="T26" s="393">
        <v>0</v>
      </c>
      <c r="U26" s="393">
        <v>0</v>
      </c>
      <c r="V26" s="393">
        <v>0</v>
      </c>
      <c r="W26" s="393">
        <v>0</v>
      </c>
      <c r="X26" s="393">
        <v>0</v>
      </c>
    </row>
    <row r="27" spans="1:24" ht="12.75">
      <c r="A27" s="403" t="s">
        <v>523</v>
      </c>
      <c r="B27" s="404"/>
      <c r="C27" s="396"/>
      <c r="D27" s="396">
        <f>D24-D10</f>
        <v>0</v>
      </c>
      <c r="E27" s="396">
        <f aca="true" t="shared" si="5" ref="E27:X27">E24+E25+E26-E10</f>
        <v>3554162.283083778</v>
      </c>
      <c r="F27" s="396">
        <f t="shared" si="5"/>
        <v>16552888.969230806</v>
      </c>
      <c r="G27" s="396">
        <f t="shared" si="5"/>
        <v>14514434.940495914</v>
      </c>
      <c r="H27" s="396">
        <f t="shared" si="5"/>
        <v>13727462.271677896</v>
      </c>
      <c r="I27" s="396">
        <f t="shared" si="5"/>
        <v>17547017.10235258</v>
      </c>
      <c r="J27" s="396">
        <f t="shared" si="5"/>
        <v>3173652.1759461537</v>
      </c>
      <c r="K27" s="396">
        <f t="shared" si="5"/>
        <v>3173652.1759461537</v>
      </c>
      <c r="L27" s="396">
        <f t="shared" si="5"/>
        <v>3173652.1759461537</v>
      </c>
      <c r="M27" s="396">
        <f t="shared" si="5"/>
        <v>3173652.1759461537</v>
      </c>
      <c r="N27" s="396">
        <f t="shared" si="5"/>
        <v>1173515.9982461536</v>
      </c>
      <c r="O27" s="396">
        <f t="shared" si="5"/>
        <v>1173515.9982461536</v>
      </c>
      <c r="P27" s="396">
        <f t="shared" si="5"/>
        <v>1173515.9982461536</v>
      </c>
      <c r="Q27" s="396">
        <f t="shared" si="5"/>
        <v>1173515.9982461536</v>
      </c>
      <c r="R27" s="396">
        <f t="shared" si="5"/>
        <v>1173515.9982461536</v>
      </c>
      <c r="S27" s="396">
        <f t="shared" si="5"/>
        <v>0</v>
      </c>
      <c r="T27" s="396">
        <f t="shared" si="5"/>
        <v>0</v>
      </c>
      <c r="U27" s="396">
        <f t="shared" si="5"/>
        <v>0</v>
      </c>
      <c r="V27" s="396">
        <f t="shared" si="5"/>
        <v>0</v>
      </c>
      <c r="W27" s="396">
        <f t="shared" si="5"/>
        <v>0</v>
      </c>
      <c r="X27" s="397">
        <f t="shared" si="5"/>
        <v>0</v>
      </c>
    </row>
    <row r="28" spans="1:24" ht="12.75">
      <c r="A28" s="383" t="s">
        <v>383</v>
      </c>
      <c r="D28" s="384"/>
      <c r="E28" s="384"/>
      <c r="F28" s="384"/>
      <c r="G28" s="384"/>
      <c r="H28" s="384"/>
      <c r="I28" s="384"/>
      <c r="J28" s="384"/>
      <c r="K28" s="384"/>
      <c r="L28" s="384"/>
      <c r="M28" s="384"/>
      <c r="N28" s="384"/>
      <c r="O28" s="384"/>
      <c r="P28" s="384"/>
      <c r="Q28" s="384"/>
      <c r="R28" s="384"/>
      <c r="S28" s="384"/>
      <c r="T28" s="384"/>
      <c r="U28" s="384"/>
      <c r="V28" s="384"/>
      <c r="W28" s="384"/>
      <c r="X28" s="384"/>
    </row>
    <row r="29" spans="1:24" ht="12.75">
      <c r="A29" s="383" t="s">
        <v>389</v>
      </c>
      <c r="B29" s="405"/>
      <c r="D29" s="384"/>
      <c r="E29" s="384"/>
      <c r="F29" s="384"/>
      <c r="G29" s="384"/>
      <c r="H29" s="384"/>
      <c r="I29" s="384"/>
      <c r="J29" s="384"/>
      <c r="K29" s="384"/>
      <c r="L29" s="384"/>
      <c r="M29" s="384"/>
      <c r="N29" s="384"/>
      <c r="O29" s="384"/>
      <c r="P29" s="384"/>
      <c r="Q29" s="384"/>
      <c r="R29" s="384"/>
      <c r="S29" s="384"/>
      <c r="T29" s="384"/>
      <c r="U29" s="384"/>
      <c r="V29" s="384"/>
      <c r="W29" s="384"/>
      <c r="X29" s="384"/>
    </row>
    <row r="30" spans="1:24" ht="12.75">
      <c r="A30" s="383" t="s">
        <v>458</v>
      </c>
      <c r="B30" s="405"/>
      <c r="D30" s="384"/>
      <c r="E30" s="384"/>
      <c r="F30" s="384"/>
      <c r="G30" s="384"/>
      <c r="H30" s="384"/>
      <c r="I30" s="384"/>
      <c r="J30" s="384"/>
      <c r="K30" s="384"/>
      <c r="L30" s="384"/>
      <c r="M30" s="384"/>
      <c r="N30" s="384"/>
      <c r="O30" s="384"/>
      <c r="P30" s="384"/>
      <c r="Q30" s="384"/>
      <c r="R30" s="384"/>
      <c r="S30" s="384"/>
      <c r="T30" s="384"/>
      <c r="U30" s="384"/>
      <c r="V30" s="384"/>
      <c r="W30" s="384"/>
      <c r="X30" s="384"/>
    </row>
    <row r="31" spans="1:24" ht="12.75">
      <c r="A31" s="383"/>
      <c r="B31" s="405"/>
      <c r="D31" s="384"/>
      <c r="E31" s="384"/>
      <c r="F31" s="384"/>
      <c r="G31" s="384"/>
      <c r="H31" s="384"/>
      <c r="I31" s="384"/>
      <c r="J31" s="384"/>
      <c r="K31" s="384"/>
      <c r="L31" s="384"/>
      <c r="M31" s="384"/>
      <c r="N31" s="384"/>
      <c r="O31" s="384"/>
      <c r="P31" s="384"/>
      <c r="Q31" s="384"/>
      <c r="R31" s="384"/>
      <c r="S31" s="384"/>
      <c r="T31" s="384"/>
      <c r="U31" s="384"/>
      <c r="V31" s="384"/>
      <c r="W31" s="384"/>
      <c r="X31" s="384"/>
    </row>
    <row r="32" spans="1:24" ht="12.75">
      <c r="A32" s="406" t="s">
        <v>535</v>
      </c>
      <c r="D32" s="384"/>
      <c r="E32" s="384"/>
      <c r="F32" s="384"/>
      <c r="G32" s="384"/>
      <c r="H32" s="384"/>
      <c r="I32" s="384"/>
      <c r="J32" s="384"/>
      <c r="K32" s="384"/>
      <c r="L32" s="384"/>
      <c r="M32" s="384"/>
      <c r="N32" s="384"/>
      <c r="O32" s="384"/>
      <c r="P32" s="384"/>
      <c r="Q32" s="384"/>
      <c r="R32" s="384"/>
      <c r="S32" s="384"/>
      <c r="T32" s="384"/>
      <c r="U32" s="384"/>
      <c r="V32" s="384"/>
      <c r="W32" s="384"/>
      <c r="X32" s="384"/>
    </row>
    <row r="33" spans="1:24" ht="12.75">
      <c r="A33" s="362" t="s">
        <v>595</v>
      </c>
      <c r="B33" s="407"/>
      <c r="C33" s="407"/>
      <c r="D33" s="392"/>
      <c r="E33" s="392">
        <f>CBA_BD!E30*ScaleFactor</f>
        <v>0</v>
      </c>
      <c r="F33" s="392">
        <f>CBA_BD!F30*ScaleFactor</f>
        <v>0</v>
      </c>
      <c r="G33" s="392">
        <f>CBA_BD!G30*ScaleFactor</f>
        <v>0</v>
      </c>
      <c r="H33" s="392">
        <f>CBA_BD!H30*ScaleFactor</f>
        <v>6082104.83551221</v>
      </c>
      <c r="I33" s="392">
        <f>CBA_BD!I30*ScaleFactor</f>
        <v>5506947.889542017</v>
      </c>
      <c r="J33" s="392">
        <f>CBA_BD!J30*ScaleFactor</f>
        <v>5663917.585823633</v>
      </c>
      <c r="K33" s="392">
        <f>CBA_BD!K30*ScaleFactor</f>
        <v>5824062.606986966</v>
      </c>
      <c r="L33" s="392">
        <f>CBA_BD!L30*ScaleFactor</f>
        <v>5987346.329291483</v>
      </c>
      <c r="M33" s="392">
        <f>CBA_BD!M30*ScaleFactor</f>
        <v>6153721.733527247</v>
      </c>
      <c r="N33" s="392">
        <f>CBA_BD!N30*ScaleFactor</f>
        <v>6323130.500941815</v>
      </c>
      <c r="O33" s="392">
        <f>CBA_BD!O30*ScaleFactor</f>
        <v>6566635.080738258</v>
      </c>
      <c r="P33" s="392">
        <f>CBA_BD!P30*ScaleFactor</f>
        <v>6819548.332688681</v>
      </c>
      <c r="Q33" s="392">
        <f>CBA_BD!Q30*ScaleFactor</f>
        <v>7082238.314929899</v>
      </c>
      <c r="R33" s="392">
        <f>CBA_BD!R30*ScaleFactor</f>
        <v>7355087.781786304</v>
      </c>
      <c r="S33" s="392">
        <f>CBA_BD!S30*ScaleFactor</f>
        <v>7638494.787591865</v>
      </c>
      <c r="T33" s="392">
        <f>CBA_BD!T30*ScaleFactor</f>
        <v>7932873.316258083</v>
      </c>
      <c r="U33" s="392">
        <f>CBA_BD!U30*ScaleFactor</f>
        <v>8238653.937737139</v>
      </c>
      <c r="V33" s="392">
        <f>CBA_BD!V30*ScaleFactor</f>
        <v>8556284.492584001</v>
      </c>
      <c r="W33" s="392">
        <f>CBA_BD!W30*ScaleFactor</f>
        <v>8886230.805877779</v>
      </c>
      <c r="X33" s="400">
        <f>CBA_BD!X30*ScaleFactor</f>
        <v>8886230.805877779</v>
      </c>
    </row>
    <row r="34" spans="1:24" s="410" customFormat="1" ht="12.75">
      <c r="A34" s="408" t="str">
        <f>Hsehold!A29</f>
        <v>Total savings from switching from shop and tanker water</v>
      </c>
      <c r="B34" s="409"/>
      <c r="C34" s="409"/>
      <c r="D34" s="393"/>
      <c r="E34" s="393">
        <f>CBA_BD!E31*ScaleFactor</f>
        <v>0</v>
      </c>
      <c r="F34" s="393">
        <f>CBA_BD!F31*ScaleFactor</f>
        <v>0</v>
      </c>
      <c r="G34" s="393">
        <f>CBA_BD!G31*ScaleFactor</f>
        <v>1810109.6232130367</v>
      </c>
      <c r="H34" s="393">
        <f>CBA_BD!H31*ScaleFactor</f>
        <v>3739777.0141667044</v>
      </c>
      <c r="I34" s="393">
        <f>CBA_BD!I31*ScaleFactor</f>
        <v>5794924.767124284</v>
      </c>
      <c r="J34" s="393">
        <f>CBA_BD!J31*ScaleFactor</f>
        <v>6119331.138781304</v>
      </c>
      <c r="K34" s="393">
        <f>CBA_BD!K31*ScaleFactor</f>
        <v>6458844.314960831</v>
      </c>
      <c r="L34" s="393">
        <f>CBA_BD!L31*ScaleFactor</f>
        <v>6814108.2861554185</v>
      </c>
      <c r="M34" s="393">
        <f>CBA_BD!M31*ScaleFactor</f>
        <v>7185793.102186024</v>
      </c>
      <c r="N34" s="393">
        <f>CBA_BD!N31*ScaleFactor</f>
        <v>7574595.891052112</v>
      </c>
      <c r="O34" s="393">
        <f>CBA_BD!O31*ScaleFactor</f>
        <v>7824746.977112875</v>
      </c>
      <c r="P34" s="393">
        <f>CBA_BD!P31*ScaleFactor</f>
        <v>8083159.304665257</v>
      </c>
      <c r="Q34" s="393">
        <f>CBA_BD!Q31*ScaleFactor</f>
        <v>8350105.701271417</v>
      </c>
      <c r="R34" s="393">
        <f>CBA_BD!R31*ScaleFactor</f>
        <v>8625868.004625807</v>
      </c>
      <c r="S34" s="393">
        <f>CBA_BD!S31*ScaleFactor</f>
        <v>8910737.360114845</v>
      </c>
      <c r="T34" s="393">
        <f>CBA_BD!T31*ScaleFactor</f>
        <v>9205014.528203527</v>
      </c>
      <c r="U34" s="393">
        <f>CBA_BD!U31*ScaleFactor</f>
        <v>9509010.201973446</v>
      </c>
      <c r="V34" s="393">
        <f>CBA_BD!V31*ScaleFactor</f>
        <v>9823045.335147545</v>
      </c>
      <c r="W34" s="393">
        <f>CBA_BD!W31*ScaleFactor</f>
        <v>10052677.104531432</v>
      </c>
      <c r="X34" s="394">
        <f>CBA_BD!X31*ScaleFactor</f>
        <v>10052677.104531432</v>
      </c>
    </row>
    <row r="35" spans="1:24" ht="12.75">
      <c r="A35" s="411" t="s">
        <v>215</v>
      </c>
      <c r="B35" s="368"/>
      <c r="C35" s="368"/>
      <c r="D35" s="396"/>
      <c r="E35" s="396">
        <f>CBA_BD!E32*ScaleFactor</f>
        <v>0</v>
      </c>
      <c r="F35" s="396">
        <f>CBA_BD!F32*ScaleFactor</f>
        <v>0</v>
      </c>
      <c r="G35" s="396">
        <f>CBA_BD!G32*ScaleFactor</f>
        <v>0</v>
      </c>
      <c r="H35" s="396">
        <f>CBA_BD!H32*ScaleFactor</f>
        <v>0</v>
      </c>
      <c r="I35" s="396">
        <f>CBA_BD!I32*ScaleFactor</f>
        <v>2789973.6082469234</v>
      </c>
      <c r="J35" s="396">
        <f>CBA_BD!J32*ScaleFactor</f>
        <v>2880647.750514948</v>
      </c>
      <c r="K35" s="396">
        <f>CBA_BD!K32*ScaleFactor</f>
        <v>2974268.8024066836</v>
      </c>
      <c r="L35" s="396">
        <f>CBA_BD!L32*ScaleFactor</f>
        <v>3070932.538484901</v>
      </c>
      <c r="M35" s="396">
        <f>CBA_BD!M32*ScaleFactor</f>
        <v>3170737.845985661</v>
      </c>
      <c r="N35" s="396">
        <f>CBA_BD!N32*ScaleFactor</f>
        <v>3273786.825980195</v>
      </c>
      <c r="O35" s="396">
        <f>CBA_BD!O32*ScaleFactor</f>
        <v>3380184.8978245505</v>
      </c>
      <c r="P35" s="396">
        <f>CBA_BD!P32*ScaleFactor</f>
        <v>3490040.907003849</v>
      </c>
      <c r="Q35" s="396">
        <f>CBA_BD!Q32*ScaleFactor</f>
        <v>3603467.2364814733</v>
      </c>
      <c r="R35" s="396">
        <f>CBA_BD!R32*ScaleFactor</f>
        <v>3720579.9216671204</v>
      </c>
      <c r="S35" s="396">
        <f>CBA_BD!S32*ScaleFactor</f>
        <v>3841498.7691213028</v>
      </c>
      <c r="T35" s="396">
        <f>CBA_BD!T32*ScaleFactor</f>
        <v>3966347.4791177455</v>
      </c>
      <c r="U35" s="396">
        <f>CBA_BD!U32*ScaleFactor</f>
        <v>4095253.7721890723</v>
      </c>
      <c r="V35" s="396">
        <f>CBA_BD!V32*ScaleFactor</f>
        <v>4228349.519785217</v>
      </c>
      <c r="W35" s="396">
        <f>CBA_BD!W32*ScaleFactor</f>
        <v>4365770.879178235</v>
      </c>
      <c r="X35" s="397">
        <f>CBA_BD!X32*ScaleFactor</f>
        <v>4365770.879178235</v>
      </c>
    </row>
    <row r="36" spans="1:24" ht="12.75">
      <c r="A36" s="372" t="s">
        <v>537</v>
      </c>
      <c r="B36" s="373"/>
      <c r="C36" s="373"/>
      <c r="D36" s="412"/>
      <c r="E36" s="412">
        <f aca="true" t="shared" si="6" ref="E36:X36">(E33+E34+E35)*(1+Benefits_variation)</f>
        <v>0</v>
      </c>
      <c r="F36" s="412">
        <f t="shared" si="6"/>
        <v>0</v>
      </c>
      <c r="G36" s="412">
        <f t="shared" si="6"/>
        <v>1810109.6232130367</v>
      </c>
      <c r="H36" s="412">
        <f t="shared" si="6"/>
        <v>9821881.849678915</v>
      </c>
      <c r="I36" s="412">
        <f t="shared" si="6"/>
        <v>14091846.264913224</v>
      </c>
      <c r="J36" s="412">
        <f t="shared" si="6"/>
        <v>14663896.475119885</v>
      </c>
      <c r="K36" s="412">
        <f t="shared" si="6"/>
        <v>15257175.72435448</v>
      </c>
      <c r="L36" s="412">
        <f t="shared" si="6"/>
        <v>15872387.153931804</v>
      </c>
      <c r="M36" s="412">
        <f t="shared" si="6"/>
        <v>16510252.681698931</v>
      </c>
      <c r="N36" s="412">
        <f t="shared" si="6"/>
        <v>17171513.217974123</v>
      </c>
      <c r="O36" s="412">
        <f t="shared" si="6"/>
        <v>17771566.955675684</v>
      </c>
      <c r="P36" s="412">
        <f t="shared" si="6"/>
        <v>18392748.544357788</v>
      </c>
      <c r="Q36" s="412">
        <f t="shared" si="6"/>
        <v>19035811.25268279</v>
      </c>
      <c r="R36" s="412">
        <f t="shared" si="6"/>
        <v>19701535.70807923</v>
      </c>
      <c r="S36" s="412">
        <f t="shared" si="6"/>
        <v>20390730.916828014</v>
      </c>
      <c r="T36" s="412">
        <f t="shared" si="6"/>
        <v>21104235.323579356</v>
      </c>
      <c r="U36" s="412">
        <f t="shared" si="6"/>
        <v>21842917.911899656</v>
      </c>
      <c r="V36" s="412">
        <f t="shared" si="6"/>
        <v>22607679.347516764</v>
      </c>
      <c r="W36" s="412">
        <f t="shared" si="6"/>
        <v>23304678.789587446</v>
      </c>
      <c r="X36" s="413">
        <f t="shared" si="6"/>
        <v>23304678.789587446</v>
      </c>
    </row>
    <row r="37" spans="1:24" ht="12.75">
      <c r="A37" s="414"/>
      <c r="B37" s="414"/>
      <c r="C37" s="414"/>
      <c r="D37" s="384"/>
      <c r="E37" s="384"/>
      <c r="F37" s="384"/>
      <c r="G37" s="384"/>
      <c r="H37" s="384"/>
      <c r="I37" s="384"/>
      <c r="J37" s="384"/>
      <c r="K37" s="384"/>
      <c r="L37" s="384"/>
      <c r="M37" s="384"/>
      <c r="N37" s="384"/>
      <c r="O37" s="384"/>
      <c r="P37" s="384"/>
      <c r="Q37" s="384"/>
      <c r="R37" s="384"/>
      <c r="S37" s="384"/>
      <c r="T37" s="384"/>
      <c r="U37" s="384"/>
      <c r="V37" s="384"/>
      <c r="W37" s="384"/>
      <c r="X37" s="384"/>
    </row>
    <row r="38" spans="1:24" s="377" customFormat="1" ht="12.75">
      <c r="A38" s="379" t="s">
        <v>676</v>
      </c>
      <c r="B38" s="415"/>
      <c r="C38" s="415"/>
      <c r="D38" s="416">
        <v>0</v>
      </c>
      <c r="E38" s="416">
        <f aca="true" t="shared" si="7" ref="E38:X38">E36-E27</f>
        <v>-3554162.283083778</v>
      </c>
      <c r="F38" s="416">
        <f t="shared" si="7"/>
        <v>-16552888.969230806</v>
      </c>
      <c r="G38" s="416">
        <f t="shared" si="7"/>
        <v>-12704325.317282878</v>
      </c>
      <c r="H38" s="416">
        <f t="shared" si="7"/>
        <v>-3905580.4219989814</v>
      </c>
      <c r="I38" s="416">
        <f t="shared" si="7"/>
        <v>-3455170.8374393545</v>
      </c>
      <c r="J38" s="416">
        <f t="shared" si="7"/>
        <v>11490244.299173731</v>
      </c>
      <c r="K38" s="416">
        <f t="shared" si="7"/>
        <v>12083523.548408326</v>
      </c>
      <c r="L38" s="416">
        <f t="shared" si="7"/>
        <v>12698734.97798565</v>
      </c>
      <c r="M38" s="416">
        <f t="shared" si="7"/>
        <v>13336600.505752778</v>
      </c>
      <c r="N38" s="416">
        <f t="shared" si="7"/>
        <v>15997997.219727969</v>
      </c>
      <c r="O38" s="416">
        <f t="shared" si="7"/>
        <v>16598050.95742953</v>
      </c>
      <c r="P38" s="416">
        <f t="shared" si="7"/>
        <v>17219232.546111636</v>
      </c>
      <c r="Q38" s="416">
        <f t="shared" si="7"/>
        <v>17862295.25443664</v>
      </c>
      <c r="R38" s="416">
        <f t="shared" si="7"/>
        <v>18528019.709833078</v>
      </c>
      <c r="S38" s="416">
        <f t="shared" si="7"/>
        <v>20390730.916828014</v>
      </c>
      <c r="T38" s="416">
        <f t="shared" si="7"/>
        <v>21104235.323579356</v>
      </c>
      <c r="U38" s="416">
        <f t="shared" si="7"/>
        <v>21842917.911899656</v>
      </c>
      <c r="V38" s="416">
        <f t="shared" si="7"/>
        <v>22607679.347516764</v>
      </c>
      <c r="W38" s="416">
        <f t="shared" si="7"/>
        <v>23304678.789587446</v>
      </c>
      <c r="X38" s="417">
        <f t="shared" si="7"/>
        <v>23304678.789587446</v>
      </c>
    </row>
    <row r="39" spans="1:24" ht="12.75">
      <c r="A39" s="383" t="s">
        <v>538</v>
      </c>
      <c r="B39" s="418">
        <f>IRR(E38:X38)</f>
        <v>0.2175526087024684</v>
      </c>
      <c r="C39" s="419" t="s">
        <v>390</v>
      </c>
      <c r="F39" s="384"/>
      <c r="G39" s="384"/>
      <c r="H39" s="384"/>
      <c r="I39" s="384"/>
      <c r="J39" s="384"/>
      <c r="K39" s="384"/>
      <c r="L39" s="384"/>
      <c r="M39" s="384"/>
      <c r="N39" s="384"/>
      <c r="O39" s="384"/>
      <c r="P39" s="384"/>
      <c r="Q39" s="384"/>
      <c r="R39" s="384"/>
      <c r="S39" s="384"/>
      <c r="T39" s="384"/>
      <c r="U39" s="384"/>
      <c r="V39" s="384"/>
      <c r="W39" s="384"/>
      <c r="X39" s="384"/>
    </row>
    <row r="40" spans="1:24" ht="12.75">
      <c r="A40" s="379" t="s">
        <v>674</v>
      </c>
      <c r="B40" s="420"/>
      <c r="C40" s="420"/>
      <c r="D40" s="381"/>
      <c r="E40" s="421">
        <f>($C52+$C53*0.9+$C55*0.9)/exrate*0.2</f>
        <v>1477857.142857143</v>
      </c>
      <c r="F40" s="421">
        <f>($C52+$C53*0.9+$C55*0.9)/exrate*0.2</f>
        <v>1477857.142857143</v>
      </c>
      <c r="G40" s="421">
        <f>($C52+$C53*0.9+$C55*0.9)/exrate*0.2</f>
        <v>1477857.142857143</v>
      </c>
      <c r="H40" s="421">
        <f>($C52+$C53*0.9+$C55*0.9)/exrate*0.2</f>
        <v>1477857.142857143</v>
      </c>
      <c r="I40" s="422">
        <f>($C52+$C53*0.9+$C55*0.9)/exrate*0.2</f>
        <v>1477857.142857143</v>
      </c>
      <c r="J40" s="384"/>
      <c r="K40" s="384"/>
      <c r="L40" s="384"/>
      <c r="M40" s="384"/>
      <c r="N40" s="384"/>
      <c r="O40" s="384"/>
      <c r="P40" s="384"/>
      <c r="Q40" s="384"/>
      <c r="R40" s="384"/>
      <c r="S40" s="384"/>
      <c r="T40" s="384"/>
      <c r="U40" s="384"/>
      <c r="V40" s="384"/>
      <c r="W40" s="384"/>
      <c r="X40" s="384"/>
    </row>
    <row r="41" spans="1:24" ht="12.75">
      <c r="A41" s="423" t="s">
        <v>696</v>
      </c>
      <c r="B41" s="424"/>
      <c r="C41" s="424"/>
      <c r="D41" s="392">
        <f>D36-D40</f>
        <v>0</v>
      </c>
      <c r="E41" s="392">
        <f aca="true" t="shared" si="8" ref="E41:X41">E27+E40</f>
        <v>5032019.425940921</v>
      </c>
      <c r="F41" s="392">
        <f t="shared" si="8"/>
        <v>18030746.11208795</v>
      </c>
      <c r="G41" s="392">
        <f t="shared" si="8"/>
        <v>15992292.083353058</v>
      </c>
      <c r="H41" s="392">
        <f t="shared" si="8"/>
        <v>15205319.41453504</v>
      </c>
      <c r="I41" s="392">
        <f t="shared" si="8"/>
        <v>19024874.24520972</v>
      </c>
      <c r="J41" s="392">
        <f t="shared" si="8"/>
        <v>3173652.1759461537</v>
      </c>
      <c r="K41" s="392">
        <f t="shared" si="8"/>
        <v>3173652.1759461537</v>
      </c>
      <c r="L41" s="392">
        <f t="shared" si="8"/>
        <v>3173652.1759461537</v>
      </c>
      <c r="M41" s="392">
        <f t="shared" si="8"/>
        <v>3173652.1759461537</v>
      </c>
      <c r="N41" s="392">
        <f t="shared" si="8"/>
        <v>1173515.9982461536</v>
      </c>
      <c r="O41" s="392">
        <f t="shared" si="8"/>
        <v>1173515.9982461536</v>
      </c>
      <c r="P41" s="392">
        <f t="shared" si="8"/>
        <v>1173515.9982461536</v>
      </c>
      <c r="Q41" s="392">
        <f t="shared" si="8"/>
        <v>1173515.9982461536</v>
      </c>
      <c r="R41" s="392">
        <f t="shared" si="8"/>
        <v>1173515.9982461536</v>
      </c>
      <c r="S41" s="392">
        <f t="shared" si="8"/>
        <v>0</v>
      </c>
      <c r="T41" s="392">
        <f t="shared" si="8"/>
        <v>0</v>
      </c>
      <c r="U41" s="392">
        <f t="shared" si="8"/>
        <v>0</v>
      </c>
      <c r="V41" s="392">
        <f t="shared" si="8"/>
        <v>0</v>
      </c>
      <c r="W41" s="392">
        <f t="shared" si="8"/>
        <v>0</v>
      </c>
      <c r="X41" s="400">
        <f t="shared" si="8"/>
        <v>0</v>
      </c>
    </row>
    <row r="42" spans="1:24" ht="12.75">
      <c r="A42" s="372" t="s">
        <v>677</v>
      </c>
      <c r="B42" s="375"/>
      <c r="C42" s="375"/>
      <c r="D42" s="396">
        <f aca="true" t="shared" si="9" ref="D42:X42">D36-D41</f>
        <v>0</v>
      </c>
      <c r="E42" s="396">
        <f t="shared" si="9"/>
        <v>-5032019.425940921</v>
      </c>
      <c r="F42" s="396">
        <f t="shared" si="9"/>
        <v>-18030746.11208795</v>
      </c>
      <c r="G42" s="396">
        <f t="shared" si="9"/>
        <v>-14182182.460140022</v>
      </c>
      <c r="H42" s="396">
        <f t="shared" si="9"/>
        <v>-5383437.564856125</v>
      </c>
      <c r="I42" s="396">
        <f t="shared" si="9"/>
        <v>-4933027.980296496</v>
      </c>
      <c r="J42" s="396">
        <f t="shared" si="9"/>
        <v>11490244.299173731</v>
      </c>
      <c r="K42" s="396">
        <f t="shared" si="9"/>
        <v>12083523.548408326</v>
      </c>
      <c r="L42" s="396">
        <f t="shared" si="9"/>
        <v>12698734.97798565</v>
      </c>
      <c r="M42" s="396">
        <f t="shared" si="9"/>
        <v>13336600.505752778</v>
      </c>
      <c r="N42" s="396">
        <f t="shared" si="9"/>
        <v>15997997.219727969</v>
      </c>
      <c r="O42" s="396">
        <f t="shared" si="9"/>
        <v>16598050.95742953</v>
      </c>
      <c r="P42" s="396">
        <f t="shared" si="9"/>
        <v>17219232.546111636</v>
      </c>
      <c r="Q42" s="396">
        <f t="shared" si="9"/>
        <v>17862295.25443664</v>
      </c>
      <c r="R42" s="396">
        <f t="shared" si="9"/>
        <v>18528019.709833078</v>
      </c>
      <c r="S42" s="396">
        <f t="shared" si="9"/>
        <v>20390730.916828014</v>
      </c>
      <c r="T42" s="396">
        <f t="shared" si="9"/>
        <v>21104235.323579356</v>
      </c>
      <c r="U42" s="396">
        <f t="shared" si="9"/>
        <v>21842917.911899656</v>
      </c>
      <c r="V42" s="396">
        <f t="shared" si="9"/>
        <v>22607679.347516764</v>
      </c>
      <c r="W42" s="396">
        <f t="shared" si="9"/>
        <v>23304678.789587446</v>
      </c>
      <c r="X42" s="397">
        <f t="shared" si="9"/>
        <v>23304678.789587446</v>
      </c>
    </row>
    <row r="43" spans="1:24" ht="12.75">
      <c r="A43" s="379" t="s">
        <v>675</v>
      </c>
      <c r="B43" s="425">
        <f>IRR(E42:X42)</f>
        <v>0.19380235663594658</v>
      </c>
      <c r="C43" s="424"/>
      <c r="E43" s="384"/>
      <c r="F43" s="384"/>
      <c r="G43" s="384"/>
      <c r="H43" s="384"/>
      <c r="I43" s="384"/>
      <c r="J43" s="384"/>
      <c r="K43" s="384"/>
      <c r="L43" s="384"/>
      <c r="M43" s="384"/>
      <c r="N43" s="384"/>
      <c r="O43" s="384"/>
      <c r="P43" s="384"/>
      <c r="Q43" s="384"/>
      <c r="R43" s="384"/>
      <c r="S43" s="384"/>
      <c r="T43" s="384"/>
      <c r="U43" s="384"/>
      <c r="V43" s="384"/>
      <c r="W43" s="384"/>
      <c r="X43" s="384"/>
    </row>
    <row r="44" spans="1:24" ht="12.75">
      <c r="A44" s="377"/>
      <c r="B44" s="368"/>
      <c r="C44" s="368"/>
      <c r="D44" s="384"/>
      <c r="E44" s="384"/>
      <c r="F44" s="384"/>
      <c r="G44" s="384"/>
      <c r="H44" s="384"/>
      <c r="I44" s="384"/>
      <c r="J44" s="384"/>
      <c r="K44" s="384"/>
      <c r="L44" s="384"/>
      <c r="M44" s="384"/>
      <c r="N44" s="384"/>
      <c r="O44" s="384"/>
      <c r="P44" s="384"/>
      <c r="Q44" s="384"/>
      <c r="R44" s="384"/>
      <c r="S44" s="384"/>
      <c r="T44" s="384"/>
      <c r="U44" s="384"/>
      <c r="V44" s="384"/>
      <c r="W44" s="384"/>
      <c r="X44" s="384"/>
    </row>
    <row r="45" spans="1:3" ht="12.75">
      <c r="A45" s="377"/>
      <c r="B45" s="383"/>
      <c r="C45" s="383"/>
    </row>
    <row r="46" spans="1:3" ht="12.75">
      <c r="A46" s="377" t="s">
        <v>688</v>
      </c>
      <c r="B46" s="383"/>
      <c r="C46" s="383"/>
    </row>
    <row r="47" spans="1:3" ht="12.75">
      <c r="A47" s="398" t="s">
        <v>689</v>
      </c>
      <c r="B47" s="363"/>
      <c r="C47" s="400">
        <f>93000000</f>
        <v>93000000</v>
      </c>
    </row>
    <row r="48" spans="1:3" ht="12.75">
      <c r="A48" s="367" t="s">
        <v>690</v>
      </c>
      <c r="B48" s="368"/>
      <c r="C48" s="394">
        <f>C47*(1.25/1.4)*(1+capcost_var)</f>
        <v>83035714.28571428</v>
      </c>
    </row>
    <row r="49" spans="1:3" ht="12.75">
      <c r="A49" s="367" t="s">
        <v>698</v>
      </c>
      <c r="B49" s="368"/>
      <c r="C49" s="394">
        <f>7413986*(1+capcost_var)</f>
        <v>7413986</v>
      </c>
    </row>
    <row r="50" spans="1:3" ht="12.75">
      <c r="A50" s="367" t="s">
        <v>699</v>
      </c>
      <c r="B50" s="368"/>
      <c r="C50" s="394">
        <f>C47+C49</f>
        <v>100413986</v>
      </c>
    </row>
    <row r="51" spans="1:3" ht="12.75">
      <c r="A51" s="367" t="s">
        <v>687</v>
      </c>
      <c r="B51" s="368"/>
      <c r="C51" s="394">
        <v>5600000</v>
      </c>
    </row>
    <row r="52" spans="1:4" ht="12.75">
      <c r="A52" s="367" t="s">
        <v>691</v>
      </c>
      <c r="B52" s="426"/>
      <c r="C52" s="394">
        <v>1300000</v>
      </c>
      <c r="D52" s="383" t="s">
        <v>694</v>
      </c>
    </row>
    <row r="53" spans="1:4" ht="12.75">
      <c r="A53" s="367" t="s">
        <v>692</v>
      </c>
      <c r="B53" s="426"/>
      <c r="C53" s="394">
        <v>9200000</v>
      </c>
      <c r="D53" s="383" t="s">
        <v>694</v>
      </c>
    </row>
    <row r="54" spans="1:4" ht="12.75">
      <c r="A54" s="367" t="s">
        <v>697</v>
      </c>
      <c r="B54" s="426"/>
      <c r="C54" s="394">
        <f>SUM(C50:C53)</f>
        <v>116513986</v>
      </c>
      <c r="D54" s="383"/>
    </row>
    <row r="55" spans="1:3" ht="12.75">
      <c r="A55" s="372" t="s">
        <v>693</v>
      </c>
      <c r="B55" s="427"/>
      <c r="C55" s="397">
        <v>850000</v>
      </c>
    </row>
    <row r="56" spans="1:3" ht="12.75">
      <c r="A56" s="377"/>
      <c r="B56" s="383"/>
      <c r="C56" s="383"/>
    </row>
    <row r="57" spans="1:3" ht="12.75">
      <c r="A57" s="414"/>
      <c r="B57" s="414"/>
      <c r="C57" s="414"/>
    </row>
    <row r="58" spans="1:4" ht="12.75" hidden="1">
      <c r="A58" s="204" t="s">
        <v>589</v>
      </c>
      <c r="B58" s="414"/>
      <c r="C58" s="428">
        <v>0.493</v>
      </c>
      <c r="D58" s="383" t="s">
        <v>590</v>
      </c>
    </row>
    <row r="59" spans="1:3" ht="12.75" hidden="1">
      <c r="A59" s="414" t="s">
        <v>695</v>
      </c>
      <c r="B59" s="414"/>
      <c r="C59" s="414">
        <v>1.4</v>
      </c>
    </row>
    <row r="60" spans="1:24" ht="12.75">
      <c r="A60" s="414"/>
      <c r="B60" s="414"/>
      <c r="C60" s="429" t="s">
        <v>452</v>
      </c>
      <c r="D60" s="375">
        <v>0</v>
      </c>
      <c r="E60" s="375">
        <f aca="true" t="shared" si="10" ref="E60:X61">D60+1</f>
        <v>1</v>
      </c>
      <c r="F60" s="375">
        <f>E60+1</f>
        <v>2</v>
      </c>
      <c r="G60" s="375">
        <f t="shared" si="10"/>
        <v>3</v>
      </c>
      <c r="H60" s="375">
        <f t="shared" si="10"/>
        <v>4</v>
      </c>
      <c r="I60" s="375">
        <f t="shared" si="10"/>
        <v>5</v>
      </c>
      <c r="J60" s="375">
        <f t="shared" si="10"/>
        <v>6</v>
      </c>
      <c r="K60" s="375">
        <f t="shared" si="10"/>
        <v>7</v>
      </c>
      <c r="L60" s="375">
        <f t="shared" si="10"/>
        <v>8</v>
      </c>
      <c r="M60" s="375">
        <f t="shared" si="10"/>
        <v>9</v>
      </c>
      <c r="N60" s="375">
        <f t="shared" si="10"/>
        <v>10</v>
      </c>
      <c r="O60" s="375">
        <f t="shared" si="10"/>
        <v>11</v>
      </c>
      <c r="P60" s="375">
        <f t="shared" si="10"/>
        <v>12</v>
      </c>
      <c r="Q60" s="375">
        <f t="shared" si="10"/>
        <v>13</v>
      </c>
      <c r="R60" s="375">
        <f t="shared" si="10"/>
        <v>14</v>
      </c>
      <c r="S60" s="375">
        <f t="shared" si="10"/>
        <v>15</v>
      </c>
      <c r="T60" s="375">
        <f t="shared" si="10"/>
        <v>16</v>
      </c>
      <c r="U60" s="375">
        <f t="shared" si="10"/>
        <v>17</v>
      </c>
      <c r="V60" s="375">
        <f t="shared" si="10"/>
        <v>18</v>
      </c>
      <c r="W60" s="375">
        <f t="shared" si="10"/>
        <v>19</v>
      </c>
      <c r="X60" s="375">
        <f t="shared" si="10"/>
        <v>20</v>
      </c>
    </row>
    <row r="61" spans="1:24" ht="12.75">
      <c r="A61" s="414" t="s">
        <v>104</v>
      </c>
      <c r="B61" s="414"/>
      <c r="C61" s="414"/>
      <c r="D61" s="375">
        <v>2010</v>
      </c>
      <c r="E61" s="375">
        <f t="shared" si="10"/>
        <v>2011</v>
      </c>
      <c r="F61" s="375">
        <f>E61+1</f>
        <v>2012</v>
      </c>
      <c r="G61" s="375">
        <f t="shared" si="10"/>
        <v>2013</v>
      </c>
      <c r="H61" s="375">
        <f t="shared" si="10"/>
        <v>2014</v>
      </c>
      <c r="I61" s="375">
        <f t="shared" si="10"/>
        <v>2015</v>
      </c>
      <c r="J61" s="375">
        <f t="shared" si="10"/>
        <v>2016</v>
      </c>
      <c r="K61" s="375">
        <f t="shared" si="10"/>
        <v>2017</v>
      </c>
      <c r="L61" s="375">
        <f t="shared" si="10"/>
        <v>2018</v>
      </c>
      <c r="M61" s="375">
        <f t="shared" si="10"/>
        <v>2019</v>
      </c>
      <c r="N61" s="375">
        <f t="shared" si="10"/>
        <v>2020</v>
      </c>
      <c r="O61" s="375">
        <f t="shared" si="10"/>
        <v>2021</v>
      </c>
      <c r="P61" s="375">
        <f t="shared" si="10"/>
        <v>2022</v>
      </c>
      <c r="Q61" s="375">
        <f t="shared" si="10"/>
        <v>2023</v>
      </c>
      <c r="R61" s="375">
        <f t="shared" si="10"/>
        <v>2024</v>
      </c>
      <c r="S61" s="375">
        <f t="shared" si="10"/>
        <v>2025</v>
      </c>
      <c r="T61" s="375">
        <f t="shared" si="10"/>
        <v>2026</v>
      </c>
      <c r="U61" s="375">
        <f t="shared" si="10"/>
        <v>2027</v>
      </c>
      <c r="V61" s="375">
        <f t="shared" si="10"/>
        <v>2028</v>
      </c>
      <c r="W61" s="375">
        <f t="shared" si="10"/>
        <v>2029</v>
      </c>
      <c r="X61" s="375">
        <f t="shared" si="10"/>
        <v>2030</v>
      </c>
    </row>
    <row r="62" spans="1:24" ht="12.75">
      <c r="A62" s="414" t="s">
        <v>591</v>
      </c>
      <c r="B62" s="414"/>
      <c r="C62" s="414"/>
      <c r="D62" s="430"/>
      <c r="E62" s="392">
        <f aca="true" t="shared" si="11" ref="E62:X62">E41/PPP_conversion_2005</f>
        <v>10206935.955255417</v>
      </c>
      <c r="F62" s="392">
        <f t="shared" si="11"/>
        <v>36573521.52553337</v>
      </c>
      <c r="G62" s="392">
        <f t="shared" si="11"/>
        <v>32438726.33540174</v>
      </c>
      <c r="H62" s="392">
        <f t="shared" si="11"/>
        <v>30842432.88952341</v>
      </c>
      <c r="I62" s="392">
        <f t="shared" si="11"/>
        <v>38590008.61097306</v>
      </c>
      <c r="J62" s="392">
        <f t="shared" si="11"/>
        <v>6437428.34877516</v>
      </c>
      <c r="K62" s="392">
        <f t="shared" si="11"/>
        <v>6437428.34877516</v>
      </c>
      <c r="L62" s="392">
        <f t="shared" si="11"/>
        <v>6437428.34877516</v>
      </c>
      <c r="M62" s="392">
        <f t="shared" si="11"/>
        <v>6437428.34877516</v>
      </c>
      <c r="N62" s="392">
        <f t="shared" si="11"/>
        <v>2380356.9944141046</v>
      </c>
      <c r="O62" s="392">
        <f t="shared" si="11"/>
        <v>2380356.9944141046</v>
      </c>
      <c r="P62" s="392">
        <f t="shared" si="11"/>
        <v>2380356.9944141046</v>
      </c>
      <c r="Q62" s="392">
        <f t="shared" si="11"/>
        <v>2380356.9944141046</v>
      </c>
      <c r="R62" s="392">
        <f t="shared" si="11"/>
        <v>2380356.9944141046</v>
      </c>
      <c r="S62" s="392">
        <f t="shared" si="11"/>
        <v>0</v>
      </c>
      <c r="T62" s="392">
        <f t="shared" si="11"/>
        <v>0</v>
      </c>
      <c r="U62" s="392">
        <f t="shared" si="11"/>
        <v>0</v>
      </c>
      <c r="V62" s="392">
        <f t="shared" si="11"/>
        <v>0</v>
      </c>
      <c r="W62" s="392">
        <f t="shared" si="11"/>
        <v>0</v>
      </c>
      <c r="X62" s="400">
        <f t="shared" si="11"/>
        <v>0</v>
      </c>
    </row>
    <row r="63" spans="1:24" ht="12.75">
      <c r="A63" s="414" t="s">
        <v>592</v>
      </c>
      <c r="B63" s="377"/>
      <c r="C63" s="384">
        <f>NPV(0.1,E62:X62)</f>
        <v>125401132.96998456</v>
      </c>
      <c r="D63" s="431"/>
      <c r="E63" s="393"/>
      <c r="F63" s="393"/>
      <c r="G63" s="393"/>
      <c r="H63" s="393"/>
      <c r="I63" s="393"/>
      <c r="J63" s="393"/>
      <c r="K63" s="426"/>
      <c r="L63" s="426"/>
      <c r="M63" s="426"/>
      <c r="N63" s="426"/>
      <c r="O63" s="426"/>
      <c r="P63" s="426"/>
      <c r="Q63" s="426"/>
      <c r="R63" s="426"/>
      <c r="S63" s="426"/>
      <c r="T63" s="426"/>
      <c r="U63" s="426"/>
      <c r="V63" s="426"/>
      <c r="W63" s="426"/>
      <c r="X63" s="432"/>
    </row>
    <row r="64" spans="1:24" ht="12.75">
      <c r="A64" s="414" t="s">
        <v>593</v>
      </c>
      <c r="D64" s="431"/>
      <c r="E64" s="393">
        <f aca="true" t="shared" si="12" ref="E64:X64">E36/PPP_conversion_2005</f>
        <v>0</v>
      </c>
      <c r="F64" s="393">
        <f t="shared" si="12"/>
        <v>0</v>
      </c>
      <c r="G64" s="393">
        <f t="shared" si="12"/>
        <v>3671621.953778979</v>
      </c>
      <c r="H64" s="393">
        <f t="shared" si="12"/>
        <v>19922681.236671228</v>
      </c>
      <c r="I64" s="393">
        <f t="shared" si="12"/>
        <v>28583866.663109988</v>
      </c>
      <c r="J64" s="393">
        <f t="shared" si="12"/>
        <v>29744211.917078875</v>
      </c>
      <c r="K64" s="393">
        <f t="shared" si="12"/>
        <v>30947618.102138903</v>
      </c>
      <c r="L64" s="393">
        <f t="shared" si="12"/>
        <v>32195511.46842151</v>
      </c>
      <c r="M64" s="393">
        <f t="shared" si="12"/>
        <v>33489356.35233049</v>
      </c>
      <c r="N64" s="393">
        <f t="shared" si="12"/>
        <v>34830655.61455198</v>
      </c>
      <c r="O64" s="393">
        <f t="shared" si="12"/>
        <v>36047803.15552877</v>
      </c>
      <c r="P64" s="393">
        <f t="shared" si="12"/>
        <v>37307806.37800768</v>
      </c>
      <c r="Q64" s="393">
        <f t="shared" si="12"/>
        <v>38612193.21030992</v>
      </c>
      <c r="R64" s="393">
        <f t="shared" si="12"/>
        <v>39962547.07521142</v>
      </c>
      <c r="S64" s="393">
        <f t="shared" si="12"/>
        <v>41360508.95908319</v>
      </c>
      <c r="T64" s="393">
        <f t="shared" si="12"/>
        <v>42807779.561012894</v>
      </c>
      <c r="U64" s="393">
        <f t="shared" si="12"/>
        <v>44306121.52515143</v>
      </c>
      <c r="V64" s="393">
        <f t="shared" si="12"/>
        <v>45857361.759668894</v>
      </c>
      <c r="W64" s="393">
        <f t="shared" si="12"/>
        <v>47271153.7314147</v>
      </c>
      <c r="X64" s="394">
        <f t="shared" si="12"/>
        <v>47271153.7314147</v>
      </c>
    </row>
    <row r="65" spans="1:24" ht="12.75">
      <c r="A65" s="414" t="s">
        <v>594</v>
      </c>
      <c r="C65" s="384">
        <f>NPV(0.1,E64:X64)</f>
        <v>206652975.12549397</v>
      </c>
      <c r="D65" s="431"/>
      <c r="E65" s="426"/>
      <c r="F65" s="426"/>
      <c r="G65" s="426"/>
      <c r="H65" s="426"/>
      <c r="I65" s="426"/>
      <c r="J65" s="426"/>
      <c r="K65" s="426"/>
      <c r="L65" s="426"/>
      <c r="M65" s="426"/>
      <c r="N65" s="426"/>
      <c r="O65" s="426"/>
      <c r="P65" s="426"/>
      <c r="Q65" s="426"/>
      <c r="R65" s="426"/>
      <c r="S65" s="426"/>
      <c r="T65" s="426"/>
      <c r="U65" s="426"/>
      <c r="V65" s="426"/>
      <c r="W65" s="426"/>
      <c r="X65" s="432"/>
    </row>
    <row r="66" spans="4:24" ht="12.75">
      <c r="D66" s="433"/>
      <c r="E66" s="375"/>
      <c r="F66" s="375"/>
      <c r="G66" s="375"/>
      <c r="H66" s="375"/>
      <c r="I66" s="375"/>
      <c r="J66" s="375"/>
      <c r="K66" s="375"/>
      <c r="L66" s="375"/>
      <c r="M66" s="375"/>
      <c r="N66" s="375"/>
      <c r="O66" s="375"/>
      <c r="P66" s="375"/>
      <c r="Q66" s="375"/>
      <c r="R66" s="375"/>
      <c r="S66" s="375"/>
      <c r="T66" s="375"/>
      <c r="U66" s="375"/>
      <c r="V66" s="375"/>
      <c r="W66" s="375"/>
      <c r="X66" s="376"/>
    </row>
    <row r="68" spans="1:3" ht="12.75">
      <c r="A68" s="414" t="s">
        <v>700</v>
      </c>
      <c r="B68" s="414"/>
      <c r="C68" s="414"/>
    </row>
    <row r="69" spans="1:3" ht="12.75">
      <c r="A69" s="434" t="s">
        <v>701</v>
      </c>
      <c r="B69" s="435">
        <v>0</v>
      </c>
      <c r="C69" s="414"/>
    </row>
    <row r="70" spans="1:2" ht="12.75">
      <c r="A70" s="436" t="s">
        <v>702</v>
      </c>
      <c r="B70" s="437">
        <v>0</v>
      </c>
    </row>
    <row r="71" spans="4:24" ht="12.75">
      <c r="D71" s="375">
        <v>0</v>
      </c>
      <c r="E71" s="375">
        <f aca="true" t="shared" si="13" ref="E71:X71">D71+1</f>
        <v>1</v>
      </c>
      <c r="F71" s="375">
        <f>E71+1</f>
        <v>2</v>
      </c>
      <c r="G71" s="375">
        <f t="shared" si="13"/>
        <v>3</v>
      </c>
      <c r="H71" s="375">
        <f t="shared" si="13"/>
        <v>4</v>
      </c>
      <c r="I71" s="375">
        <f t="shared" si="13"/>
        <v>5</v>
      </c>
      <c r="J71" s="375">
        <f t="shared" si="13"/>
        <v>6</v>
      </c>
      <c r="K71" s="375">
        <f t="shared" si="13"/>
        <v>7</v>
      </c>
      <c r="L71" s="375">
        <f t="shared" si="13"/>
        <v>8</v>
      </c>
      <c r="M71" s="375">
        <f t="shared" si="13"/>
        <v>9</v>
      </c>
      <c r="N71" s="375">
        <f t="shared" si="13"/>
        <v>10</v>
      </c>
      <c r="O71" s="375">
        <f t="shared" si="13"/>
        <v>11</v>
      </c>
      <c r="P71" s="375">
        <f t="shared" si="13"/>
        <v>12</v>
      </c>
      <c r="Q71" s="375">
        <f t="shared" si="13"/>
        <v>13</v>
      </c>
      <c r="R71" s="375">
        <f t="shared" si="13"/>
        <v>14</v>
      </c>
      <c r="S71" s="375">
        <f t="shared" si="13"/>
        <v>15</v>
      </c>
      <c r="T71" s="375">
        <f t="shared" si="13"/>
        <v>16</v>
      </c>
      <c r="U71" s="375">
        <f t="shared" si="13"/>
        <v>17</v>
      </c>
      <c r="V71" s="375">
        <f t="shared" si="13"/>
        <v>18</v>
      </c>
      <c r="W71" s="375">
        <f t="shared" si="13"/>
        <v>19</v>
      </c>
      <c r="X71" s="375">
        <f t="shared" si="13"/>
        <v>20</v>
      </c>
    </row>
    <row r="72" spans="4:24" ht="12.75">
      <c r="D72" s="426">
        <v>2010</v>
      </c>
      <c r="E72" s="426">
        <f aca="true" t="shared" si="14" ref="E72:X72">D72+1</f>
        <v>2011</v>
      </c>
      <c r="F72" s="426">
        <f>E72+1</f>
        <v>2012</v>
      </c>
      <c r="G72" s="426">
        <f t="shared" si="14"/>
        <v>2013</v>
      </c>
      <c r="H72" s="426">
        <f t="shared" si="14"/>
        <v>2014</v>
      </c>
      <c r="I72" s="426">
        <f t="shared" si="14"/>
        <v>2015</v>
      </c>
      <c r="J72" s="426">
        <f t="shared" si="14"/>
        <v>2016</v>
      </c>
      <c r="K72" s="426">
        <f t="shared" si="14"/>
        <v>2017</v>
      </c>
      <c r="L72" s="426">
        <f t="shared" si="14"/>
        <v>2018</v>
      </c>
      <c r="M72" s="426">
        <f t="shared" si="14"/>
        <v>2019</v>
      </c>
      <c r="N72" s="426">
        <f t="shared" si="14"/>
        <v>2020</v>
      </c>
      <c r="O72" s="426">
        <f t="shared" si="14"/>
        <v>2021</v>
      </c>
      <c r="P72" s="426">
        <f t="shared" si="14"/>
        <v>2022</v>
      </c>
      <c r="Q72" s="426">
        <f t="shared" si="14"/>
        <v>2023</v>
      </c>
      <c r="R72" s="426">
        <f t="shared" si="14"/>
        <v>2024</v>
      </c>
      <c r="S72" s="426">
        <f t="shared" si="14"/>
        <v>2025</v>
      </c>
      <c r="T72" s="426">
        <f t="shared" si="14"/>
        <v>2026</v>
      </c>
      <c r="U72" s="426">
        <f t="shared" si="14"/>
        <v>2027</v>
      </c>
      <c r="V72" s="426">
        <f t="shared" si="14"/>
        <v>2028</v>
      </c>
      <c r="W72" s="426">
        <f t="shared" si="14"/>
        <v>2029</v>
      </c>
      <c r="X72" s="426">
        <f t="shared" si="14"/>
        <v>2030</v>
      </c>
    </row>
    <row r="73" spans="1:24" ht="12.75">
      <c r="A73" s="434" t="s">
        <v>706</v>
      </c>
      <c r="B73" s="424"/>
      <c r="C73" s="424"/>
      <c r="D73" s="424"/>
      <c r="E73" s="424"/>
      <c r="F73" s="424"/>
      <c r="G73" s="424"/>
      <c r="H73" s="424"/>
      <c r="I73" s="424"/>
      <c r="J73" s="424"/>
      <c r="K73" s="424"/>
      <c r="L73" s="424"/>
      <c r="M73" s="424"/>
      <c r="N73" s="424"/>
      <c r="O73" s="424"/>
      <c r="P73" s="424"/>
      <c r="Q73" s="424"/>
      <c r="R73" s="424"/>
      <c r="S73" s="424"/>
      <c r="T73" s="424"/>
      <c r="U73" s="424"/>
      <c r="V73" s="424"/>
      <c r="W73" s="424"/>
      <c r="X73" s="438"/>
    </row>
    <row r="74" spans="1:24" ht="12.75">
      <c r="A74" s="439" t="s">
        <v>703</v>
      </c>
      <c r="B74" s="426"/>
      <c r="C74" s="426"/>
      <c r="D74" s="426"/>
      <c r="E74" s="426"/>
      <c r="F74" s="393">
        <f>E36</f>
        <v>0</v>
      </c>
      <c r="G74" s="393">
        <f aca="true" t="shared" si="15" ref="G74:X74">F36</f>
        <v>0</v>
      </c>
      <c r="H74" s="393">
        <f t="shared" si="15"/>
        <v>1810109.6232130367</v>
      </c>
      <c r="I74" s="393">
        <f t="shared" si="15"/>
        <v>9821881.849678915</v>
      </c>
      <c r="J74" s="393">
        <f t="shared" si="15"/>
        <v>14091846.264913224</v>
      </c>
      <c r="K74" s="393">
        <f t="shared" si="15"/>
        <v>14663896.475119885</v>
      </c>
      <c r="L74" s="393">
        <f t="shared" si="15"/>
        <v>15257175.72435448</v>
      </c>
      <c r="M74" s="393">
        <f t="shared" si="15"/>
        <v>15872387.153931804</v>
      </c>
      <c r="N74" s="393">
        <f t="shared" si="15"/>
        <v>16510252.681698931</v>
      </c>
      <c r="O74" s="393">
        <f t="shared" si="15"/>
        <v>17171513.217974123</v>
      </c>
      <c r="P74" s="393">
        <f t="shared" si="15"/>
        <v>17771566.955675684</v>
      </c>
      <c r="Q74" s="393">
        <f t="shared" si="15"/>
        <v>18392748.544357788</v>
      </c>
      <c r="R74" s="393">
        <f t="shared" si="15"/>
        <v>19035811.25268279</v>
      </c>
      <c r="S74" s="393">
        <f t="shared" si="15"/>
        <v>19701535.70807923</v>
      </c>
      <c r="T74" s="393">
        <f t="shared" si="15"/>
        <v>20390730.916828014</v>
      </c>
      <c r="U74" s="393">
        <f t="shared" si="15"/>
        <v>21104235.323579356</v>
      </c>
      <c r="V74" s="393">
        <f t="shared" si="15"/>
        <v>21842917.911899656</v>
      </c>
      <c r="W74" s="393">
        <f t="shared" si="15"/>
        <v>22607679.347516764</v>
      </c>
      <c r="X74" s="394">
        <f t="shared" si="15"/>
        <v>23304678.789587446</v>
      </c>
    </row>
    <row r="75" spans="1:24" ht="12.75">
      <c r="A75" s="439" t="s">
        <v>704</v>
      </c>
      <c r="B75" s="426"/>
      <c r="C75" s="426"/>
      <c r="D75" s="375"/>
      <c r="E75" s="396">
        <f>E41</f>
        <v>5032019.425940921</v>
      </c>
      <c r="F75" s="396">
        <f aca="true" t="shared" si="16" ref="F75:X75">F41</f>
        <v>18030746.11208795</v>
      </c>
      <c r="G75" s="396">
        <f t="shared" si="16"/>
        <v>15992292.083353058</v>
      </c>
      <c r="H75" s="396">
        <f t="shared" si="16"/>
        <v>15205319.41453504</v>
      </c>
      <c r="I75" s="396">
        <f t="shared" si="16"/>
        <v>19024874.24520972</v>
      </c>
      <c r="J75" s="396">
        <f t="shared" si="16"/>
        <v>3173652.1759461537</v>
      </c>
      <c r="K75" s="396">
        <f t="shared" si="16"/>
        <v>3173652.1759461537</v>
      </c>
      <c r="L75" s="396">
        <f t="shared" si="16"/>
        <v>3173652.1759461537</v>
      </c>
      <c r="M75" s="396">
        <f t="shared" si="16"/>
        <v>3173652.1759461537</v>
      </c>
      <c r="N75" s="396">
        <f t="shared" si="16"/>
        <v>1173515.9982461536</v>
      </c>
      <c r="O75" s="396">
        <f t="shared" si="16"/>
        <v>1173515.9982461536</v>
      </c>
      <c r="P75" s="396">
        <f t="shared" si="16"/>
        <v>1173515.9982461536</v>
      </c>
      <c r="Q75" s="396">
        <f t="shared" si="16"/>
        <v>1173515.9982461536</v>
      </c>
      <c r="R75" s="396">
        <f t="shared" si="16"/>
        <v>1173515.9982461536</v>
      </c>
      <c r="S75" s="396">
        <f t="shared" si="16"/>
        <v>0</v>
      </c>
      <c r="T75" s="396">
        <f t="shared" si="16"/>
        <v>0</v>
      </c>
      <c r="U75" s="396">
        <f t="shared" si="16"/>
        <v>0</v>
      </c>
      <c r="V75" s="396">
        <f t="shared" si="16"/>
        <v>0</v>
      </c>
      <c r="W75" s="396">
        <f t="shared" si="16"/>
        <v>0</v>
      </c>
      <c r="X75" s="397">
        <f t="shared" si="16"/>
        <v>0</v>
      </c>
    </row>
    <row r="76" spans="1:24" ht="12.75">
      <c r="A76" s="436" t="s">
        <v>705</v>
      </c>
      <c r="B76" s="375"/>
      <c r="C76" s="375"/>
      <c r="D76" s="375"/>
      <c r="E76" s="396">
        <f>E74-E75</f>
        <v>-5032019.425940921</v>
      </c>
      <c r="F76" s="396">
        <f aca="true" t="shared" si="17" ref="F76:X76">F74-F75</f>
        <v>-18030746.11208795</v>
      </c>
      <c r="G76" s="396">
        <f t="shared" si="17"/>
        <v>-15992292.083353058</v>
      </c>
      <c r="H76" s="396">
        <f t="shared" si="17"/>
        <v>-13395209.791322004</v>
      </c>
      <c r="I76" s="396">
        <f t="shared" si="17"/>
        <v>-9202992.395530805</v>
      </c>
      <c r="J76" s="396">
        <f t="shared" si="17"/>
        <v>10918194.08896707</v>
      </c>
      <c r="K76" s="396">
        <f t="shared" si="17"/>
        <v>11490244.299173731</v>
      </c>
      <c r="L76" s="396">
        <f t="shared" si="17"/>
        <v>12083523.548408326</v>
      </c>
      <c r="M76" s="396">
        <f t="shared" si="17"/>
        <v>12698734.97798565</v>
      </c>
      <c r="N76" s="396">
        <f t="shared" si="17"/>
        <v>15336736.683452778</v>
      </c>
      <c r="O76" s="396">
        <f t="shared" si="17"/>
        <v>15997997.219727969</v>
      </c>
      <c r="P76" s="396">
        <f t="shared" si="17"/>
        <v>16598050.95742953</v>
      </c>
      <c r="Q76" s="396">
        <f t="shared" si="17"/>
        <v>17219232.546111636</v>
      </c>
      <c r="R76" s="396">
        <f t="shared" si="17"/>
        <v>17862295.25443664</v>
      </c>
      <c r="S76" s="396">
        <f t="shared" si="17"/>
        <v>19701535.70807923</v>
      </c>
      <c r="T76" s="396">
        <f t="shared" si="17"/>
        <v>20390730.916828014</v>
      </c>
      <c r="U76" s="396">
        <f t="shared" si="17"/>
        <v>21104235.323579356</v>
      </c>
      <c r="V76" s="396">
        <f t="shared" si="17"/>
        <v>21842917.911899656</v>
      </c>
      <c r="W76" s="396">
        <f t="shared" si="17"/>
        <v>22607679.347516764</v>
      </c>
      <c r="X76" s="397">
        <f t="shared" si="17"/>
        <v>23304678.789587446</v>
      </c>
    </row>
    <row r="77" spans="1:5" ht="12.75">
      <c r="A77" s="440" t="s">
        <v>538</v>
      </c>
      <c r="B77" s="418">
        <f>IRR(E76:X76)</f>
        <v>0.15902731780846935</v>
      </c>
      <c r="E77" s="384"/>
    </row>
    <row r="78" spans="1:24" ht="12.75">
      <c r="A78" s="441" t="s">
        <v>593</v>
      </c>
      <c r="B78" s="420"/>
      <c r="C78" s="420"/>
      <c r="D78" s="420"/>
      <c r="E78" s="381">
        <f aca="true" t="shared" si="18" ref="E78:X78">E74/PPP_conversion_2005</f>
        <v>0</v>
      </c>
      <c r="F78" s="381">
        <f t="shared" si="18"/>
        <v>0</v>
      </c>
      <c r="G78" s="381">
        <f t="shared" si="18"/>
        <v>0</v>
      </c>
      <c r="H78" s="381">
        <f t="shared" si="18"/>
        <v>3671621.953778979</v>
      </c>
      <c r="I78" s="381">
        <f t="shared" si="18"/>
        <v>19922681.236671228</v>
      </c>
      <c r="J78" s="381">
        <f t="shared" si="18"/>
        <v>28583866.663109988</v>
      </c>
      <c r="K78" s="381">
        <f t="shared" si="18"/>
        <v>29744211.917078875</v>
      </c>
      <c r="L78" s="381">
        <f t="shared" si="18"/>
        <v>30947618.102138903</v>
      </c>
      <c r="M78" s="381">
        <f t="shared" si="18"/>
        <v>32195511.46842151</v>
      </c>
      <c r="N78" s="381">
        <f t="shared" si="18"/>
        <v>33489356.35233049</v>
      </c>
      <c r="O78" s="381">
        <f t="shared" si="18"/>
        <v>34830655.61455198</v>
      </c>
      <c r="P78" s="381">
        <f t="shared" si="18"/>
        <v>36047803.15552877</v>
      </c>
      <c r="Q78" s="381">
        <f t="shared" si="18"/>
        <v>37307806.37800768</v>
      </c>
      <c r="R78" s="381">
        <f t="shared" si="18"/>
        <v>38612193.21030992</v>
      </c>
      <c r="S78" s="381">
        <f t="shared" si="18"/>
        <v>39962547.07521142</v>
      </c>
      <c r="T78" s="381">
        <f t="shared" si="18"/>
        <v>41360508.95908319</v>
      </c>
      <c r="U78" s="381">
        <f t="shared" si="18"/>
        <v>42807779.561012894</v>
      </c>
      <c r="V78" s="381">
        <f t="shared" si="18"/>
        <v>44306121.52515143</v>
      </c>
      <c r="W78" s="381">
        <f t="shared" si="18"/>
        <v>45857361.759668894</v>
      </c>
      <c r="X78" s="382">
        <f t="shared" si="18"/>
        <v>47271153.7314147</v>
      </c>
    </row>
    <row r="79" spans="1:3" ht="12.75">
      <c r="A79" s="441" t="s">
        <v>594</v>
      </c>
      <c r="B79" s="420"/>
      <c r="C79" s="382">
        <f>NPV(0.1,E78:X78)</f>
        <v>181478563.03088132</v>
      </c>
    </row>
  </sheetData>
  <sheetProtection/>
  <mergeCells count="2">
    <mergeCell ref="B1:J1"/>
    <mergeCell ref="B2:J2"/>
  </mergeCells>
  <printOptions gridLines="1"/>
  <pageMargins left="0.75" right="0.75" top="1" bottom="1" header="0.5" footer="0.5"/>
  <pageSetup horizontalDpi="600" verticalDpi="600" orientation="landscape" paperSize="9" scale="80" r:id="rId3"/>
  <headerFooter alignWithMargins="0">
    <oddFooter>&amp;LCBA sum: M O'Leary 11.11.09</oddFooter>
  </headerFooter>
  <legacyDrawing r:id="rId2"/>
</worksheet>
</file>

<file path=xl/worksheets/sheet12.xml><?xml version="1.0" encoding="utf-8"?>
<worksheet xmlns="http://schemas.openxmlformats.org/spreadsheetml/2006/main" xmlns:r="http://schemas.openxmlformats.org/officeDocument/2006/relationships">
  <sheetPr codeName="Sheet12"/>
  <dimension ref="A1:W159"/>
  <sheetViews>
    <sheetView zoomScalePageLayoutView="0" workbookViewId="0" topLeftCell="A1">
      <selection activeCell="I14" sqref="I14"/>
    </sheetView>
  </sheetViews>
  <sheetFormatPr defaultColWidth="9.140625" defaultRowHeight="12.75"/>
  <cols>
    <col min="1" max="1" width="53.8515625" style="0" customWidth="1"/>
    <col min="2" max="2" width="2.57421875" style="0" customWidth="1"/>
    <col min="3" max="3" width="9.8515625" style="0" customWidth="1"/>
    <col min="7" max="7" width="9.57421875" style="0" bestFit="1" customWidth="1"/>
    <col min="8" max="8" width="12.421875" style="0" bestFit="1" customWidth="1"/>
  </cols>
  <sheetData>
    <row r="1" ht="12.75">
      <c r="A1" t="s">
        <v>540</v>
      </c>
    </row>
    <row r="2" ht="12.75">
      <c r="A2" t="s">
        <v>678</v>
      </c>
    </row>
    <row r="3" ht="12.75">
      <c r="A3" t="s">
        <v>670</v>
      </c>
    </row>
    <row r="4" spans="1:3" ht="12.75">
      <c r="A4" t="s">
        <v>541</v>
      </c>
      <c r="C4">
        <f>C17/BA_Rescaled!hh_size</f>
        <v>175758.14814814815</v>
      </c>
    </row>
    <row r="5" ht="12.75">
      <c r="A5" s="128" t="s">
        <v>679</v>
      </c>
    </row>
    <row r="6" ht="12.75">
      <c r="A6" t="s">
        <v>680</v>
      </c>
    </row>
    <row r="7" spans="1:3" ht="12.75">
      <c r="A7" s="106" t="s">
        <v>596</v>
      </c>
      <c r="C7">
        <v>5.4</v>
      </c>
    </row>
    <row r="8" spans="1:3" ht="12.75">
      <c r="A8" s="106" t="s">
        <v>710</v>
      </c>
      <c r="C8" s="8">
        <v>722813.4179533717</v>
      </c>
    </row>
    <row r="9" spans="1:3" ht="12.75">
      <c r="A9" s="106" t="s">
        <v>711</v>
      </c>
      <c r="C9" s="130">
        <f>(C8-C17)/C17</f>
        <v>-0.23841746133325925</v>
      </c>
    </row>
    <row r="11" ht="12.75">
      <c r="A11" s="1" t="s">
        <v>632</v>
      </c>
    </row>
    <row r="12" spans="2:22" ht="12.75">
      <c r="B12" s="138" t="s">
        <v>551</v>
      </c>
      <c r="C12" s="139">
        <v>2011</v>
      </c>
      <c r="D12" s="139">
        <v>2012</v>
      </c>
      <c r="E12" s="139">
        <v>2013</v>
      </c>
      <c r="F12" s="139">
        <v>2014</v>
      </c>
      <c r="G12" s="139">
        <v>2015</v>
      </c>
      <c r="H12" s="139">
        <v>2016</v>
      </c>
      <c r="I12" s="139">
        <v>2017</v>
      </c>
      <c r="J12" s="139">
        <v>2018</v>
      </c>
      <c r="K12" s="139">
        <v>2019</v>
      </c>
      <c r="L12" s="139">
        <v>2020</v>
      </c>
      <c r="M12" s="139">
        <v>2021</v>
      </c>
      <c r="N12" s="139">
        <v>2022</v>
      </c>
      <c r="O12" s="139">
        <v>2023</v>
      </c>
      <c r="P12" s="139">
        <v>2024</v>
      </c>
      <c r="Q12" s="139">
        <v>2025</v>
      </c>
      <c r="R12" s="139">
        <v>2026</v>
      </c>
      <c r="S12" s="139">
        <v>2027</v>
      </c>
      <c r="T12" s="139">
        <v>2028</v>
      </c>
      <c r="U12" s="139">
        <v>2029</v>
      </c>
      <c r="V12" s="139">
        <v>2030</v>
      </c>
    </row>
    <row r="13" spans="2:22" ht="12.75">
      <c r="B13" s="138" t="s">
        <v>550</v>
      </c>
      <c r="C13" s="139">
        <v>1</v>
      </c>
      <c r="D13" s="139">
        <v>2</v>
      </c>
      <c r="E13" s="139">
        <v>3</v>
      </c>
      <c r="F13" s="139">
        <v>4</v>
      </c>
      <c r="G13" s="139">
        <v>5</v>
      </c>
      <c r="H13" s="139">
        <v>6</v>
      </c>
      <c r="I13" s="139">
        <v>7</v>
      </c>
      <c r="J13" s="139">
        <v>8</v>
      </c>
      <c r="K13" s="139">
        <v>9</v>
      </c>
      <c r="L13" s="139">
        <v>10</v>
      </c>
      <c r="M13" s="139">
        <v>11</v>
      </c>
      <c r="N13" s="139">
        <v>12</v>
      </c>
      <c r="O13" s="139">
        <v>13</v>
      </c>
      <c r="P13" s="139">
        <v>14</v>
      </c>
      <c r="Q13" s="139">
        <v>15</v>
      </c>
      <c r="R13" s="139">
        <v>16</v>
      </c>
      <c r="S13" s="139">
        <v>17</v>
      </c>
      <c r="T13" s="139">
        <v>18</v>
      </c>
      <c r="U13" s="139">
        <v>19</v>
      </c>
      <c r="V13" s="139">
        <v>20</v>
      </c>
    </row>
    <row r="14" spans="1:22" ht="12.75">
      <c r="A14" t="s">
        <v>542</v>
      </c>
      <c r="C14" s="132">
        <f>(Hsehold!C22-Hsehold!C17)*1.24*ScaleFactor</f>
        <v>0</v>
      </c>
      <c r="D14" s="132">
        <f>(Hsehold!D22-Hsehold!D17)*1.24*ScaleFactor</f>
        <v>0</v>
      </c>
      <c r="E14" s="132">
        <f>(Hsehold!E22-Hsehold!E17)*1.24*ScaleFactor</f>
        <v>2410401.894020623</v>
      </c>
      <c r="F14" s="132">
        <f>(Hsehold!F22-Hsehold!F17)*1.24*ScaleFactor</f>
        <v>4875903.036560939</v>
      </c>
      <c r="G14" s="132">
        <f>(Hsehold!G22-Hsehold!G17)*1.24*ScaleFactor</f>
        <v>7397105.218619759</v>
      </c>
      <c r="H14" s="132">
        <f>(Hsehold!H22-Hsehold!H17)*1.24*ScaleFactor</f>
        <v>7647209.387407769</v>
      </c>
      <c r="I14" s="132">
        <f>(Hsehold!I22-Hsehold!I17)*1.24*ScaleFactor</f>
        <v>7901686.157808775</v>
      </c>
      <c r="J14" s="132">
        <f>(Hsehold!J22-Hsehold!J17)*1.24*ScaleFactor</f>
        <v>8160585.616177328</v>
      </c>
      <c r="K14" s="132">
        <f>(Hsehold!K22-Hsehold!K17)*1.24*ScaleFactor</f>
        <v>8423958.758264441</v>
      </c>
      <c r="L14" s="132">
        <f>(Hsehold!L22-Hsehold!L17)*1.24*ScaleFactor</f>
        <v>8691857.510697989</v>
      </c>
      <c r="M14" s="132">
        <f>(Hsehold!M22-Hsehold!M17)*1.24*ScaleFactor</f>
        <v>8788563.483432073</v>
      </c>
      <c r="N14" s="132">
        <f>(Hsehold!N22-Hsehold!N17)*1.24*ScaleFactor</f>
        <v>8886004.173911607</v>
      </c>
      <c r="O14" s="132">
        <f>(Hsehold!O22-Hsehold!O17)*1.24*ScaleFactor</f>
        <v>8984189.743989397</v>
      </c>
      <c r="P14" s="132">
        <f>(Hsehold!P22-Hsehold!P17)*1.24*ScaleFactor</f>
        <v>9083130.550381446</v>
      </c>
      <c r="Q14" s="132">
        <f>(Hsehold!Q22-Hsehold!Q17)*1.24*ScaleFactor</f>
        <v>9182837.149587214</v>
      </c>
      <c r="R14" s="132">
        <f>(Hsehold!R22-Hsehold!R17)*1.24*ScaleFactor</f>
        <v>9283320.30295905</v>
      </c>
      <c r="S14" s="132">
        <f>(Hsehold!S22-Hsehold!S17)*1.24*ScaleFactor</f>
        <v>9384590.981925854</v>
      </c>
      <c r="T14" s="132">
        <f>(Hsehold!T22-Hsehold!T17)*1.24*ScaleFactor</f>
        <v>9486660.373376692</v>
      </c>
      <c r="U14" s="132">
        <f>(Hsehold!U22-Hsehold!U17)*1.24*ScaleFactor</f>
        <v>9589539.885209935</v>
      </c>
      <c r="V14" s="132">
        <f>U14</f>
        <v>9589539.885209935</v>
      </c>
    </row>
    <row r="15" spans="1:23" ht="12.75">
      <c r="A15" s="106" t="s">
        <v>549</v>
      </c>
      <c r="D15" s="132">
        <f>D14-C14</f>
        <v>0</v>
      </c>
      <c r="E15" s="132">
        <f aca="true" t="shared" si="0" ref="E15:U15">E14-D14</f>
        <v>2410401.894020623</v>
      </c>
      <c r="F15" s="132">
        <f t="shared" si="0"/>
        <v>2465501.1425403156</v>
      </c>
      <c r="G15" s="132">
        <f t="shared" si="0"/>
        <v>2521202.1820588205</v>
      </c>
      <c r="H15" s="132">
        <f t="shared" si="0"/>
        <v>250104.16878801025</v>
      </c>
      <c r="I15" s="132">
        <f t="shared" si="0"/>
        <v>254476.77040100563</v>
      </c>
      <c r="J15" s="132">
        <f t="shared" si="0"/>
        <v>258899.45836855285</v>
      </c>
      <c r="K15" s="132">
        <f t="shared" si="0"/>
        <v>263373.1420871131</v>
      </c>
      <c r="L15" s="132">
        <f t="shared" si="0"/>
        <v>267898.75243354775</v>
      </c>
      <c r="M15" s="132">
        <f t="shared" si="0"/>
        <v>96705.97273408435</v>
      </c>
      <c r="N15" s="132">
        <f t="shared" si="0"/>
        <v>97440.69047953375</v>
      </c>
      <c r="O15" s="132">
        <f t="shared" si="0"/>
        <v>98185.57007778995</v>
      </c>
      <c r="P15" s="132">
        <f t="shared" si="0"/>
        <v>98940.80639204942</v>
      </c>
      <c r="Q15" s="132">
        <f t="shared" si="0"/>
        <v>99706.59920576774</v>
      </c>
      <c r="R15" s="132">
        <f t="shared" si="0"/>
        <v>100483.15337183513</v>
      </c>
      <c r="S15" s="132">
        <f t="shared" si="0"/>
        <v>101270.67896680534</v>
      </c>
      <c r="T15" s="132">
        <f t="shared" si="0"/>
        <v>102069.39145083725</v>
      </c>
      <c r="U15" s="132">
        <f t="shared" si="0"/>
        <v>102879.51183324307</v>
      </c>
      <c r="V15" s="132">
        <f>U15</f>
        <v>102879.51183324307</v>
      </c>
      <c r="W15" s="132"/>
    </row>
    <row r="16" spans="1:23" ht="12.75">
      <c r="A16" s="106"/>
      <c r="D16" s="132"/>
      <c r="E16" s="132"/>
      <c r="F16" s="132"/>
      <c r="G16" s="132"/>
      <c r="H16" s="132"/>
      <c r="I16" s="132"/>
      <c r="J16" s="132"/>
      <c r="K16" s="132"/>
      <c r="L16" s="132"/>
      <c r="M16" s="132"/>
      <c r="N16" s="132"/>
      <c r="O16" s="132"/>
      <c r="P16" s="132"/>
      <c r="Q16" s="132"/>
      <c r="R16" s="132"/>
      <c r="S16" s="132"/>
      <c r="T16" s="132"/>
      <c r="U16" s="132"/>
      <c r="V16" s="132"/>
      <c r="W16" s="132"/>
    </row>
    <row r="17" spans="1:23" ht="12.75">
      <c r="A17" s="106" t="s">
        <v>548</v>
      </c>
      <c r="C17" s="8">
        <v>949094</v>
      </c>
      <c r="D17" s="8">
        <v>977567</v>
      </c>
      <c r="E17" s="8">
        <v>1006894</v>
      </c>
      <c r="F17" s="8">
        <v>1037101</v>
      </c>
      <c r="G17" s="8">
        <v>1068214</v>
      </c>
      <c r="H17" s="8">
        <v>1100260</v>
      </c>
      <c r="I17" s="8">
        <v>1133268</v>
      </c>
      <c r="J17" s="8">
        <v>1167266</v>
      </c>
      <c r="K17" s="8">
        <v>1202284</v>
      </c>
      <c r="L17" s="8">
        <v>1238353</v>
      </c>
      <c r="M17" s="8">
        <v>1275504</v>
      </c>
      <c r="N17" s="8">
        <v>1313769</v>
      </c>
      <c r="O17" s="8">
        <v>1353182</v>
      </c>
      <c r="P17" s="8">
        <v>1393777</v>
      </c>
      <c r="Q17" s="8">
        <v>1435590</v>
      </c>
      <c r="R17" s="8">
        <v>1478658</v>
      </c>
      <c r="S17" s="8">
        <v>1523018</v>
      </c>
      <c r="T17" s="8">
        <v>1568709</v>
      </c>
      <c r="U17" s="8">
        <v>1615770</v>
      </c>
      <c r="V17" s="8">
        <v>1664243</v>
      </c>
      <c r="W17" s="132"/>
    </row>
    <row r="18" spans="1:23" ht="12.75">
      <c r="A18" s="106" t="s">
        <v>552</v>
      </c>
      <c r="C18" s="8"/>
      <c r="D18" s="8">
        <f aca="true" t="shared" si="1" ref="D18:V18">D17-C17</f>
        <v>28473</v>
      </c>
      <c r="E18" s="8">
        <f t="shared" si="1"/>
        <v>29327</v>
      </c>
      <c r="F18" s="8">
        <f t="shared" si="1"/>
        <v>30207</v>
      </c>
      <c r="G18" s="8">
        <f t="shared" si="1"/>
        <v>31113</v>
      </c>
      <c r="H18" s="8">
        <f t="shared" si="1"/>
        <v>32046</v>
      </c>
      <c r="I18" s="8">
        <f t="shared" si="1"/>
        <v>33008</v>
      </c>
      <c r="J18" s="8">
        <f t="shared" si="1"/>
        <v>33998</v>
      </c>
      <c r="K18" s="8">
        <f t="shared" si="1"/>
        <v>35018</v>
      </c>
      <c r="L18" s="8">
        <f t="shared" si="1"/>
        <v>36069</v>
      </c>
      <c r="M18" s="8">
        <f t="shared" si="1"/>
        <v>37151</v>
      </c>
      <c r="N18" s="8">
        <f t="shared" si="1"/>
        <v>38265</v>
      </c>
      <c r="O18" s="8">
        <f t="shared" si="1"/>
        <v>39413</v>
      </c>
      <c r="P18" s="8">
        <f t="shared" si="1"/>
        <v>40595</v>
      </c>
      <c r="Q18" s="8">
        <f t="shared" si="1"/>
        <v>41813</v>
      </c>
      <c r="R18" s="8">
        <f t="shared" si="1"/>
        <v>43068</v>
      </c>
      <c r="S18" s="8">
        <f t="shared" si="1"/>
        <v>44360</v>
      </c>
      <c r="T18" s="8">
        <f t="shared" si="1"/>
        <v>45691</v>
      </c>
      <c r="U18" s="8">
        <f t="shared" si="1"/>
        <v>47061</v>
      </c>
      <c r="V18" s="8">
        <f t="shared" si="1"/>
        <v>48473</v>
      </c>
      <c r="W18" s="132"/>
    </row>
    <row r="19" spans="1:23" ht="12.75">
      <c r="A19" s="106"/>
      <c r="C19" s="8"/>
      <c r="D19" s="8"/>
      <c r="E19" s="76"/>
      <c r="F19" s="8"/>
      <c r="G19" s="8"/>
      <c r="H19" s="8"/>
      <c r="I19" s="8"/>
      <c r="J19" s="8"/>
      <c r="K19" s="8"/>
      <c r="L19" s="8"/>
      <c r="M19" s="8"/>
      <c r="N19" s="8"/>
      <c r="O19" s="8"/>
      <c r="P19" s="8"/>
      <c r="Q19" s="8"/>
      <c r="R19" s="8"/>
      <c r="S19" s="8"/>
      <c r="T19" s="8"/>
      <c r="U19" s="8"/>
      <c r="V19" s="8"/>
      <c r="W19" s="132"/>
    </row>
    <row r="20" spans="1:23" ht="12.75">
      <c r="A20" s="106" t="s">
        <v>709</v>
      </c>
      <c r="C20" s="8"/>
      <c r="D20" s="8"/>
      <c r="E20" s="8"/>
      <c r="F20" s="8"/>
      <c r="G20" s="8"/>
      <c r="H20" s="8"/>
      <c r="I20" s="8"/>
      <c r="J20" s="8"/>
      <c r="K20" s="8"/>
      <c r="L20" s="8"/>
      <c r="M20" s="8"/>
      <c r="N20" s="8"/>
      <c r="O20" s="8"/>
      <c r="P20" s="8"/>
      <c r="Q20" s="8"/>
      <c r="R20" s="8"/>
      <c r="S20" s="8"/>
      <c r="T20" s="8"/>
      <c r="U20" s="8"/>
      <c r="V20" s="8"/>
      <c r="W20" s="132"/>
    </row>
    <row r="21" spans="1:23" ht="12.75">
      <c r="A21" s="106" t="s">
        <v>545</v>
      </c>
      <c r="C21" s="76">
        <v>0.9816761002833126</v>
      </c>
      <c r="D21" s="76">
        <v>0.9816761002833126</v>
      </c>
      <c r="E21" s="76">
        <v>0.9816761002833126</v>
      </c>
      <c r="F21" s="76">
        <v>0.9816761002833126</v>
      </c>
      <c r="G21" s="76">
        <v>0.9816761002833126</v>
      </c>
      <c r="H21" s="76">
        <v>0.9816761002833126</v>
      </c>
      <c r="I21" s="76">
        <v>0.9816761002833126</v>
      </c>
      <c r="J21" s="76">
        <v>0.9816761002833126</v>
      </c>
      <c r="K21" s="76">
        <v>0.9816761002833126</v>
      </c>
      <c r="L21" s="76">
        <v>0.9816761002833126</v>
      </c>
      <c r="M21" s="76">
        <v>0.9816761002833126</v>
      </c>
      <c r="N21" s="76">
        <v>0.9816761002833126</v>
      </c>
      <c r="O21" s="76">
        <v>0.9816761002833126</v>
      </c>
      <c r="P21" s="76">
        <v>0.9816761002833126</v>
      </c>
      <c r="Q21" s="76">
        <v>0.9816761002833126</v>
      </c>
      <c r="R21" s="76">
        <v>0.9816761002833126</v>
      </c>
      <c r="S21" s="76">
        <v>0.9816761002833126</v>
      </c>
      <c r="T21" s="76">
        <v>0.9816761002833126</v>
      </c>
      <c r="U21" s="76">
        <v>0.9816761002833126</v>
      </c>
      <c r="V21" s="76">
        <v>0.9816761002833126</v>
      </c>
      <c r="W21" s="132"/>
    </row>
    <row r="22" spans="1:22" ht="12.75">
      <c r="A22" s="106" t="s">
        <v>546</v>
      </c>
      <c r="C22" s="76">
        <f>C21</f>
        <v>0.9816761002833126</v>
      </c>
      <c r="D22" s="76">
        <f aca="true" t="shared" si="2" ref="D22:V22">D21</f>
        <v>0.9816761002833126</v>
      </c>
      <c r="E22" s="76">
        <f t="shared" si="2"/>
        <v>0.9816761002833126</v>
      </c>
      <c r="F22" s="76">
        <f t="shared" si="2"/>
        <v>0.9816761002833126</v>
      </c>
      <c r="G22" s="76">
        <f t="shared" si="2"/>
        <v>0.9816761002833126</v>
      </c>
      <c r="H22" s="76">
        <f t="shared" si="2"/>
        <v>0.9816761002833126</v>
      </c>
      <c r="I22" s="76">
        <f t="shared" si="2"/>
        <v>0.9816761002833126</v>
      </c>
      <c r="J22" s="76">
        <f t="shared" si="2"/>
        <v>0.9816761002833126</v>
      </c>
      <c r="K22" s="76">
        <f t="shared" si="2"/>
        <v>0.9816761002833126</v>
      </c>
      <c r="L22" s="76">
        <f t="shared" si="2"/>
        <v>0.9816761002833126</v>
      </c>
      <c r="M22" s="76">
        <f t="shared" si="2"/>
        <v>0.9816761002833126</v>
      </c>
      <c r="N22" s="76">
        <f t="shared" si="2"/>
        <v>0.9816761002833126</v>
      </c>
      <c r="O22" s="76">
        <f t="shared" si="2"/>
        <v>0.9816761002833126</v>
      </c>
      <c r="P22" s="76">
        <f t="shared" si="2"/>
        <v>0.9816761002833126</v>
      </c>
      <c r="Q22" s="76">
        <f t="shared" si="2"/>
        <v>0.9816761002833126</v>
      </c>
      <c r="R22" s="76">
        <f t="shared" si="2"/>
        <v>0.9816761002833126</v>
      </c>
      <c r="S22" s="76">
        <f t="shared" si="2"/>
        <v>0.9816761002833126</v>
      </c>
      <c r="T22" s="76">
        <f t="shared" si="2"/>
        <v>0.9816761002833126</v>
      </c>
      <c r="U22" s="76">
        <f t="shared" si="2"/>
        <v>0.9816761002833126</v>
      </c>
      <c r="V22" s="76">
        <f t="shared" si="2"/>
        <v>0.9816761002833126</v>
      </c>
    </row>
    <row r="23" ht="12.75">
      <c r="A23" s="106"/>
    </row>
    <row r="24" ht="12.75">
      <c r="A24" s="106" t="s">
        <v>547</v>
      </c>
    </row>
    <row r="25" spans="1:22" ht="12.75">
      <c r="A25" s="106" t="s">
        <v>545</v>
      </c>
      <c r="C25" s="8">
        <f>C21*C$17</f>
        <v>931702.8967222903</v>
      </c>
      <c r="D25" s="8">
        <f>D21*D$17</f>
        <v>959654.1603256571</v>
      </c>
      <c r="E25" s="8">
        <f aca="true" t="shared" si="3" ref="E25:V25">E21*E$17</f>
        <v>988443.7753186658</v>
      </c>
      <c r="F25" s="8">
        <f t="shared" si="3"/>
        <v>1018097.2652799238</v>
      </c>
      <c r="G25" s="8">
        <f t="shared" si="3"/>
        <v>1048640.1537880385</v>
      </c>
      <c r="H25" s="8">
        <f t="shared" si="3"/>
        <v>1080098.9460977176</v>
      </c>
      <c r="I25" s="8">
        <f t="shared" si="3"/>
        <v>1112502.1108158692</v>
      </c>
      <c r="J25" s="8">
        <f t="shared" si="3"/>
        <v>1145877.1348733013</v>
      </c>
      <c r="K25" s="8">
        <f t="shared" si="3"/>
        <v>1180253.4685530222</v>
      </c>
      <c r="L25" s="8">
        <f t="shared" si="3"/>
        <v>1215661.543814141</v>
      </c>
      <c r="M25" s="8">
        <f t="shared" si="3"/>
        <v>1252131.7926157664</v>
      </c>
      <c r="N25" s="8">
        <f t="shared" si="3"/>
        <v>1289695.6285931075</v>
      </c>
      <c r="O25" s="8">
        <f t="shared" si="3"/>
        <v>1328386.4287335735</v>
      </c>
      <c r="P25" s="8">
        <f t="shared" si="3"/>
        <v>1368237.5700245746</v>
      </c>
      <c r="Q25" s="8">
        <f t="shared" si="3"/>
        <v>1409284.392805721</v>
      </c>
      <c r="R25" s="8">
        <f t="shared" si="3"/>
        <v>1451563.2190927225</v>
      </c>
      <c r="S25" s="8">
        <f t="shared" si="3"/>
        <v>1495110.3709012903</v>
      </c>
      <c r="T25" s="8">
        <f t="shared" si="3"/>
        <v>1539964.133599335</v>
      </c>
      <c r="U25" s="8">
        <f t="shared" si="3"/>
        <v>1586162.792554768</v>
      </c>
      <c r="V25" s="8">
        <f t="shared" si="3"/>
        <v>1633747.578163801</v>
      </c>
    </row>
    <row r="26" spans="1:22" ht="12.75">
      <c r="A26" s="106" t="s">
        <v>553</v>
      </c>
      <c r="C26" s="8"/>
      <c r="D26" s="8">
        <f>D25-C25</f>
        <v>27951.263603366795</v>
      </c>
      <c r="E26" s="8">
        <f aca="true" t="shared" si="4" ref="E26:V26">E25-D25</f>
        <v>28789.61499300867</v>
      </c>
      <c r="F26" s="8">
        <f t="shared" si="4"/>
        <v>29653.48996125802</v>
      </c>
      <c r="G26" s="8">
        <f t="shared" si="4"/>
        <v>30542.88850811473</v>
      </c>
      <c r="H26" s="8">
        <f t="shared" si="4"/>
        <v>31458.79230967909</v>
      </c>
      <c r="I26" s="8">
        <f t="shared" si="4"/>
        <v>32403.16471815156</v>
      </c>
      <c r="J26" s="8">
        <f t="shared" si="4"/>
        <v>33375.02405743208</v>
      </c>
      <c r="K26" s="8">
        <f t="shared" si="4"/>
        <v>34376.33367972099</v>
      </c>
      <c r="L26" s="8">
        <f t="shared" si="4"/>
        <v>35408.07526111882</v>
      </c>
      <c r="M26" s="8">
        <f t="shared" si="4"/>
        <v>36470.248801625334</v>
      </c>
      <c r="N26" s="8">
        <f t="shared" si="4"/>
        <v>37563.83597734105</v>
      </c>
      <c r="O26" s="8">
        <f t="shared" si="4"/>
        <v>38690.800140466075</v>
      </c>
      <c r="P26" s="8">
        <f t="shared" si="4"/>
        <v>39851.14129100111</v>
      </c>
      <c r="Q26" s="8">
        <f t="shared" si="4"/>
        <v>41046.82278114627</v>
      </c>
      <c r="R26" s="8">
        <f t="shared" si="4"/>
        <v>42278.826287001604</v>
      </c>
      <c r="S26" s="8">
        <f t="shared" si="4"/>
        <v>43547.15180856781</v>
      </c>
      <c r="T26" s="8">
        <f t="shared" si="4"/>
        <v>44853.76269804477</v>
      </c>
      <c r="U26" s="8">
        <f t="shared" si="4"/>
        <v>46198.65895543294</v>
      </c>
      <c r="V26" s="8">
        <f t="shared" si="4"/>
        <v>47584.78560903296</v>
      </c>
    </row>
    <row r="27" spans="1:22" ht="12.75">
      <c r="A27" s="106" t="s">
        <v>546</v>
      </c>
      <c r="C27" s="8">
        <f>C22*C$17</f>
        <v>931702.8967222903</v>
      </c>
      <c r="D27" s="8">
        <f>D22*D$17</f>
        <v>959654.1603256571</v>
      </c>
      <c r="E27" s="8">
        <f aca="true" t="shared" si="5" ref="E27:V27">E22*E$17</f>
        <v>988443.7753186658</v>
      </c>
      <c r="F27" s="8">
        <f t="shared" si="5"/>
        <v>1018097.2652799238</v>
      </c>
      <c r="G27" s="8">
        <f t="shared" si="5"/>
        <v>1048640.1537880385</v>
      </c>
      <c r="H27" s="8">
        <f t="shared" si="5"/>
        <v>1080098.9460977176</v>
      </c>
      <c r="I27" s="8">
        <f t="shared" si="5"/>
        <v>1112502.1108158692</v>
      </c>
      <c r="J27" s="8">
        <f t="shared" si="5"/>
        <v>1145877.1348733013</v>
      </c>
      <c r="K27" s="8">
        <f t="shared" si="5"/>
        <v>1180253.4685530222</v>
      </c>
      <c r="L27" s="8">
        <f t="shared" si="5"/>
        <v>1215661.543814141</v>
      </c>
      <c r="M27" s="8">
        <f t="shared" si="5"/>
        <v>1252131.7926157664</v>
      </c>
      <c r="N27" s="8">
        <f t="shared" si="5"/>
        <v>1289695.6285931075</v>
      </c>
      <c r="O27" s="8">
        <f t="shared" si="5"/>
        <v>1328386.4287335735</v>
      </c>
      <c r="P27" s="8">
        <f t="shared" si="5"/>
        <v>1368237.5700245746</v>
      </c>
      <c r="Q27" s="8">
        <f t="shared" si="5"/>
        <v>1409284.392805721</v>
      </c>
      <c r="R27" s="8">
        <f t="shared" si="5"/>
        <v>1451563.2190927225</v>
      </c>
      <c r="S27" s="8">
        <f t="shared" si="5"/>
        <v>1495110.3709012903</v>
      </c>
      <c r="T27" s="8">
        <f t="shared" si="5"/>
        <v>1539964.133599335</v>
      </c>
      <c r="U27" s="8">
        <f t="shared" si="5"/>
        <v>1586162.792554768</v>
      </c>
      <c r="V27" s="8">
        <f t="shared" si="5"/>
        <v>1633747.578163801</v>
      </c>
    </row>
    <row r="28" spans="1:22" ht="12.75">
      <c r="A28" s="106" t="s">
        <v>553</v>
      </c>
      <c r="C28" s="8"/>
      <c r="D28" s="8">
        <f aca="true" t="shared" si="6" ref="D28:V28">D27-C27</f>
        <v>27951.263603366795</v>
      </c>
      <c r="E28" s="8">
        <f t="shared" si="6"/>
        <v>28789.61499300867</v>
      </c>
      <c r="F28" s="8">
        <f t="shared" si="6"/>
        <v>29653.48996125802</v>
      </c>
      <c r="G28" s="8">
        <f t="shared" si="6"/>
        <v>30542.88850811473</v>
      </c>
      <c r="H28" s="8">
        <f t="shared" si="6"/>
        <v>31458.79230967909</v>
      </c>
      <c r="I28" s="8">
        <f t="shared" si="6"/>
        <v>32403.16471815156</v>
      </c>
      <c r="J28" s="8">
        <f t="shared" si="6"/>
        <v>33375.02405743208</v>
      </c>
      <c r="K28" s="8">
        <f t="shared" si="6"/>
        <v>34376.33367972099</v>
      </c>
      <c r="L28" s="8">
        <f t="shared" si="6"/>
        <v>35408.07526111882</v>
      </c>
      <c r="M28" s="8">
        <f t="shared" si="6"/>
        <v>36470.248801625334</v>
      </c>
      <c r="N28" s="8">
        <f t="shared" si="6"/>
        <v>37563.83597734105</v>
      </c>
      <c r="O28" s="8">
        <f t="shared" si="6"/>
        <v>38690.800140466075</v>
      </c>
      <c r="P28" s="8">
        <f t="shared" si="6"/>
        <v>39851.14129100111</v>
      </c>
      <c r="Q28" s="8">
        <f t="shared" si="6"/>
        <v>41046.82278114627</v>
      </c>
      <c r="R28" s="8">
        <f t="shared" si="6"/>
        <v>42278.826287001604</v>
      </c>
      <c r="S28" s="8">
        <f t="shared" si="6"/>
        <v>43547.15180856781</v>
      </c>
      <c r="T28" s="8">
        <f t="shared" si="6"/>
        <v>44853.76269804477</v>
      </c>
      <c r="U28" s="8">
        <f t="shared" si="6"/>
        <v>46198.65895543294</v>
      </c>
      <c r="V28" s="8">
        <f t="shared" si="6"/>
        <v>47584.78560903296</v>
      </c>
    </row>
    <row r="29" spans="1:22" ht="12.75">
      <c r="A29" s="106"/>
      <c r="C29" s="8"/>
      <c r="D29" s="8"/>
      <c r="E29" s="8"/>
      <c r="F29" s="8"/>
      <c r="G29" s="8"/>
      <c r="H29" s="8"/>
      <c r="I29" s="8"/>
      <c r="J29" s="8"/>
      <c r="K29" s="8"/>
      <c r="L29" s="8"/>
      <c r="M29" s="8"/>
      <c r="N29" s="8"/>
      <c r="O29" s="8"/>
      <c r="P29" s="8"/>
      <c r="Q29" s="8"/>
      <c r="R29" s="8"/>
      <c r="S29" s="8"/>
      <c r="T29" s="8"/>
      <c r="U29" s="8"/>
      <c r="V29" s="8"/>
    </row>
    <row r="30" spans="1:22" ht="12.75">
      <c r="A30" s="106" t="s">
        <v>681</v>
      </c>
      <c r="C30" s="8">
        <f aca="true" t="shared" si="7" ref="C30:V30">C27*ScaleFactor</f>
        <v>465851.44836114516</v>
      </c>
      <c r="D30" s="8">
        <f t="shared" si="7"/>
        <v>479827.08016282856</v>
      </c>
      <c r="E30" s="8">
        <f t="shared" si="7"/>
        <v>494221.8876593329</v>
      </c>
      <c r="F30" s="8">
        <f t="shared" si="7"/>
        <v>509048.6326399619</v>
      </c>
      <c r="G30" s="8">
        <f t="shared" si="7"/>
        <v>524320.0768940193</v>
      </c>
      <c r="H30" s="8">
        <f t="shared" si="7"/>
        <v>540049.4730488588</v>
      </c>
      <c r="I30" s="8">
        <f t="shared" si="7"/>
        <v>556251.0554079346</v>
      </c>
      <c r="J30" s="8">
        <f t="shared" si="7"/>
        <v>572938.5674366506</v>
      </c>
      <c r="K30" s="8">
        <f t="shared" si="7"/>
        <v>590126.7342765111</v>
      </c>
      <c r="L30" s="8">
        <f t="shared" si="7"/>
        <v>607830.7719070705</v>
      </c>
      <c r="M30" s="8">
        <f t="shared" si="7"/>
        <v>626065.8963078832</v>
      </c>
      <c r="N30" s="8">
        <f t="shared" si="7"/>
        <v>644847.8142965537</v>
      </c>
      <c r="O30" s="8">
        <f t="shared" si="7"/>
        <v>664193.2143667868</v>
      </c>
      <c r="P30" s="8">
        <f t="shared" si="7"/>
        <v>684118.7850122873</v>
      </c>
      <c r="Q30" s="8">
        <f t="shared" si="7"/>
        <v>704642.1964028605</v>
      </c>
      <c r="R30" s="8">
        <f t="shared" si="7"/>
        <v>725781.6095463613</v>
      </c>
      <c r="S30" s="8">
        <f t="shared" si="7"/>
        <v>747555.1854506452</v>
      </c>
      <c r="T30" s="8">
        <f t="shared" si="7"/>
        <v>769982.0667996675</v>
      </c>
      <c r="U30" s="8">
        <f t="shared" si="7"/>
        <v>793081.396277384</v>
      </c>
      <c r="V30" s="8">
        <f t="shared" si="7"/>
        <v>816873.7890819005</v>
      </c>
    </row>
    <row r="31" spans="1:6" ht="12.75">
      <c r="A31" s="106"/>
      <c r="F31" s="8"/>
    </row>
    <row r="32" spans="1:22" ht="12.75">
      <c r="A32" s="106" t="s">
        <v>557</v>
      </c>
      <c r="C32" s="8">
        <f>C27-C25</f>
        <v>0</v>
      </c>
      <c r="D32" s="8">
        <f aca="true" t="shared" si="8" ref="D32:V32">D27-D25</f>
        <v>0</v>
      </c>
      <c r="E32" s="8">
        <f t="shared" si="8"/>
        <v>0</v>
      </c>
      <c r="F32" s="8">
        <f t="shared" si="8"/>
        <v>0</v>
      </c>
      <c r="G32" s="8">
        <f t="shared" si="8"/>
        <v>0</v>
      </c>
      <c r="H32" s="8">
        <f t="shared" si="8"/>
        <v>0</v>
      </c>
      <c r="I32" s="8">
        <f t="shared" si="8"/>
        <v>0</v>
      </c>
      <c r="J32" s="8">
        <f t="shared" si="8"/>
        <v>0</v>
      </c>
      <c r="K32" s="8">
        <f t="shared" si="8"/>
        <v>0</v>
      </c>
      <c r="L32" s="8">
        <f t="shared" si="8"/>
        <v>0</v>
      </c>
      <c r="M32" s="8">
        <f t="shared" si="8"/>
        <v>0</v>
      </c>
      <c r="N32" s="8">
        <f t="shared" si="8"/>
        <v>0</v>
      </c>
      <c r="O32" s="8">
        <f t="shared" si="8"/>
        <v>0</v>
      </c>
      <c r="P32" s="8">
        <f t="shared" si="8"/>
        <v>0</v>
      </c>
      <c r="Q32" s="8">
        <f t="shared" si="8"/>
        <v>0</v>
      </c>
      <c r="R32" s="8">
        <f t="shared" si="8"/>
        <v>0</v>
      </c>
      <c r="S32" s="8">
        <f t="shared" si="8"/>
        <v>0</v>
      </c>
      <c r="T32" s="8">
        <f t="shared" si="8"/>
        <v>0</v>
      </c>
      <c r="U32" s="8">
        <f t="shared" si="8"/>
        <v>0</v>
      </c>
      <c r="V32" s="8">
        <f t="shared" si="8"/>
        <v>0</v>
      </c>
    </row>
    <row r="33" spans="1:22" ht="12.75">
      <c r="A33" s="106" t="s">
        <v>558</v>
      </c>
      <c r="E33" s="16">
        <f>G39</f>
        <v>1</v>
      </c>
      <c r="F33" s="16">
        <f>G39</f>
        <v>1</v>
      </c>
      <c r="G33" s="16">
        <f>G39</f>
        <v>1</v>
      </c>
      <c r="H33" s="16">
        <f aca="true" t="shared" si="9" ref="H33:V33">G33</f>
        <v>1</v>
      </c>
      <c r="I33" s="16">
        <f t="shared" si="9"/>
        <v>1</v>
      </c>
      <c r="J33" s="16">
        <f t="shared" si="9"/>
        <v>1</v>
      </c>
      <c r="K33" s="16">
        <f t="shared" si="9"/>
        <v>1</v>
      </c>
      <c r="L33" s="16">
        <f t="shared" si="9"/>
        <v>1</v>
      </c>
      <c r="M33" s="16">
        <f t="shared" si="9"/>
        <v>1</v>
      </c>
      <c r="N33" s="16">
        <f t="shared" si="9"/>
        <v>1</v>
      </c>
      <c r="O33" s="16">
        <f t="shared" si="9"/>
        <v>1</v>
      </c>
      <c r="P33" s="16">
        <f t="shared" si="9"/>
        <v>1</v>
      </c>
      <c r="Q33" s="16">
        <f t="shared" si="9"/>
        <v>1</v>
      </c>
      <c r="R33" s="16">
        <f t="shared" si="9"/>
        <v>1</v>
      </c>
      <c r="S33" s="16">
        <f t="shared" si="9"/>
        <v>1</v>
      </c>
      <c r="T33" s="16">
        <f t="shared" si="9"/>
        <v>1</v>
      </c>
      <c r="U33" s="16">
        <f t="shared" si="9"/>
        <v>1</v>
      </c>
      <c r="V33" s="16">
        <f t="shared" si="9"/>
        <v>1</v>
      </c>
    </row>
    <row r="34" spans="1:22" ht="12.75">
      <c r="A34" s="106" t="s">
        <v>560</v>
      </c>
      <c r="E34" s="8">
        <f>(E15*E33)/(36*365/1000)</f>
        <v>183440.0223759987</v>
      </c>
      <c r="F34" s="8">
        <f aca="true" t="shared" si="10" ref="F34:V34">(F15*F33)/(36*365/1000)</f>
        <v>187633.26807764958</v>
      </c>
      <c r="G34" s="8">
        <f t="shared" si="10"/>
        <v>191872.31218103657</v>
      </c>
      <c r="H34" s="8">
        <f t="shared" si="10"/>
        <v>19033.802799696365</v>
      </c>
      <c r="I34" s="8">
        <f t="shared" si="10"/>
        <v>19366.57308987866</v>
      </c>
      <c r="J34" s="8">
        <f t="shared" si="10"/>
        <v>19703.15512698271</v>
      </c>
      <c r="K34" s="8">
        <f t="shared" si="10"/>
        <v>20043.618119262792</v>
      </c>
      <c r="L34" s="8">
        <f t="shared" si="10"/>
        <v>20388.032909706828</v>
      </c>
      <c r="M34" s="8">
        <f t="shared" si="10"/>
        <v>7359.663069565019</v>
      </c>
      <c r="N34" s="8">
        <f t="shared" si="10"/>
        <v>7415.577662064973</v>
      </c>
      <c r="O34" s="8">
        <f t="shared" si="10"/>
        <v>7472.265607137743</v>
      </c>
      <c r="P34" s="8">
        <f t="shared" si="10"/>
        <v>7529.74173455475</v>
      </c>
      <c r="Q34" s="8">
        <f t="shared" si="10"/>
        <v>7588.021248536357</v>
      </c>
      <c r="R34" s="8">
        <f t="shared" si="10"/>
        <v>7647.119739104652</v>
      </c>
      <c r="S34" s="8">
        <f t="shared" si="10"/>
        <v>7707.053193820801</v>
      </c>
      <c r="T34" s="8">
        <f t="shared" si="10"/>
        <v>7767.838009957173</v>
      </c>
      <c r="U34" s="8">
        <f t="shared" si="10"/>
        <v>7829.491007096124</v>
      </c>
      <c r="V34" s="8">
        <f t="shared" si="10"/>
        <v>7829.491007096124</v>
      </c>
    </row>
    <row r="35" spans="1:22" ht="12.75">
      <c r="A35" s="106" t="s">
        <v>559</v>
      </c>
      <c r="E35" s="140">
        <f>1-E33</f>
        <v>0</v>
      </c>
      <c r="F35" s="140">
        <f aca="true" t="shared" si="11" ref="F35:V35">1-F33</f>
        <v>0</v>
      </c>
      <c r="G35" s="140">
        <f t="shared" si="11"/>
        <v>0</v>
      </c>
      <c r="H35" s="140">
        <f t="shared" si="11"/>
        <v>0</v>
      </c>
      <c r="I35" s="140">
        <f t="shared" si="11"/>
        <v>0</v>
      </c>
      <c r="J35" s="140">
        <f t="shared" si="11"/>
        <v>0</v>
      </c>
      <c r="K35" s="140">
        <f t="shared" si="11"/>
        <v>0</v>
      </c>
      <c r="L35" s="140">
        <f t="shared" si="11"/>
        <v>0</v>
      </c>
      <c r="M35" s="140">
        <f t="shared" si="11"/>
        <v>0</v>
      </c>
      <c r="N35" s="140">
        <f t="shared" si="11"/>
        <v>0</v>
      </c>
      <c r="O35" s="140">
        <f t="shared" si="11"/>
        <v>0</v>
      </c>
      <c r="P35" s="140">
        <f t="shared" si="11"/>
        <v>0</v>
      </c>
      <c r="Q35" s="140">
        <f t="shared" si="11"/>
        <v>0</v>
      </c>
      <c r="R35" s="140">
        <f t="shared" si="11"/>
        <v>0</v>
      </c>
      <c r="S35" s="140">
        <f t="shared" si="11"/>
        <v>0</v>
      </c>
      <c r="T35" s="140">
        <f t="shared" si="11"/>
        <v>0</v>
      </c>
      <c r="U35" s="140">
        <f t="shared" si="11"/>
        <v>0</v>
      </c>
      <c r="V35" s="140">
        <f t="shared" si="11"/>
        <v>0</v>
      </c>
    </row>
    <row r="36" spans="1:22" ht="12.75">
      <c r="A36" s="106" t="s">
        <v>561</v>
      </c>
      <c r="E36" s="8">
        <f aca="true" t="shared" si="12" ref="E36:V36">IF(E15*E35/(100*365/1000)&gt;E28,E28,E15*E35/(100*365/1000))</f>
        <v>0</v>
      </c>
      <c r="F36" s="8">
        <f t="shared" si="12"/>
        <v>0</v>
      </c>
      <c r="G36" s="8">
        <f t="shared" si="12"/>
        <v>0</v>
      </c>
      <c r="H36" s="8">
        <f t="shared" si="12"/>
        <v>0</v>
      </c>
      <c r="I36" s="8">
        <f t="shared" si="12"/>
        <v>0</v>
      </c>
      <c r="J36" s="8">
        <f t="shared" si="12"/>
        <v>0</v>
      </c>
      <c r="K36" s="8">
        <f t="shared" si="12"/>
        <v>0</v>
      </c>
      <c r="L36" s="8">
        <f t="shared" si="12"/>
        <v>0</v>
      </c>
      <c r="M36" s="8">
        <f t="shared" si="12"/>
        <v>0</v>
      </c>
      <c r="N36" s="8">
        <f t="shared" si="12"/>
        <v>0</v>
      </c>
      <c r="O36" s="8">
        <f t="shared" si="12"/>
        <v>0</v>
      </c>
      <c r="P36" s="8">
        <f t="shared" si="12"/>
        <v>0</v>
      </c>
      <c r="Q36" s="8">
        <f t="shared" si="12"/>
        <v>0</v>
      </c>
      <c r="R36" s="8">
        <f t="shared" si="12"/>
        <v>0</v>
      </c>
      <c r="S36" s="8">
        <f t="shared" si="12"/>
        <v>0</v>
      </c>
      <c r="T36" s="8">
        <f t="shared" si="12"/>
        <v>0</v>
      </c>
      <c r="U36" s="8">
        <f t="shared" si="12"/>
        <v>0</v>
      </c>
      <c r="V36" s="8">
        <f t="shared" si="12"/>
        <v>0</v>
      </c>
    </row>
    <row r="38" spans="1:22" ht="12.75">
      <c r="A38" s="106" t="s">
        <v>554</v>
      </c>
      <c r="G38" s="130">
        <f>1-E28/E15*(100*365/1000)</f>
        <v>0.5640474105784843</v>
      </c>
      <c r="H38" s="130">
        <f>1-F28/F15*(100*365/1000)</f>
        <v>0.5610010618487398</v>
      </c>
      <c r="I38" s="130">
        <f>1-G28/G15*(100*365/1000)</f>
        <v>0.557823867328313</v>
      </c>
      <c r="J38" s="130"/>
      <c r="K38" s="130"/>
      <c r="L38" s="130"/>
      <c r="M38" s="130"/>
      <c r="N38" s="130"/>
      <c r="O38" s="130"/>
      <c r="P38" s="130"/>
      <c r="Q38" s="130"/>
      <c r="R38" s="130"/>
      <c r="S38" s="130"/>
      <c r="T38" s="130"/>
      <c r="U38" s="130"/>
      <c r="V38" s="130"/>
    </row>
    <row r="39" spans="1:7" ht="12.75">
      <c r="A39" t="s">
        <v>555</v>
      </c>
      <c r="G39" s="130">
        <v>1</v>
      </c>
    </row>
    <row r="40" spans="1:7" ht="12.75">
      <c r="A40" t="s">
        <v>556</v>
      </c>
      <c r="G40" s="130">
        <f>(G39+G38)/2</f>
        <v>0.7820237052892421</v>
      </c>
    </row>
    <row r="42" spans="1:7" ht="12.75">
      <c r="A42" t="s">
        <v>562</v>
      </c>
      <c r="C42" s="8">
        <f>SUM(C34:G34)+SUM(C36:G36)</f>
        <v>562945.6026346849</v>
      </c>
      <c r="G42" s="8"/>
    </row>
    <row r="43" spans="1:7" ht="12.75">
      <c r="A43" s="106" t="s">
        <v>598</v>
      </c>
      <c r="C43" s="8">
        <f>C42/hh_size</f>
        <v>104249.18567308979</v>
      </c>
      <c r="G43" s="8"/>
    </row>
    <row r="44" spans="1:6" ht="12.75">
      <c r="A44" t="s">
        <v>563</v>
      </c>
      <c r="C44" s="8">
        <f>SUM(C34:V34)+SUM(C36:V36)</f>
        <v>737627.0469591457</v>
      </c>
      <c r="E44" s="8">
        <f>SUM(C26:V26)</f>
        <v>702044.6814415107</v>
      </c>
      <c r="F44" s="132">
        <f>E44*100*365/1000</f>
        <v>25624630.87261514</v>
      </c>
    </row>
    <row r="45" spans="1:3" ht="12.75">
      <c r="A45" s="106" t="s">
        <v>597</v>
      </c>
      <c r="C45" s="249">
        <f>C44/hh_size</f>
        <v>136597.6012887307</v>
      </c>
    </row>
    <row r="46" spans="1:3" ht="12.75">
      <c r="A46" s="106" t="s">
        <v>567</v>
      </c>
      <c r="C46" s="130">
        <f>C42/G17</f>
        <v>0.5269970274071346</v>
      </c>
    </row>
    <row r="47" spans="1:3" ht="12.75">
      <c r="A47" s="106" t="s">
        <v>568</v>
      </c>
      <c r="C47" s="130">
        <f>C44/V17</f>
        <v>0.44322075980439496</v>
      </c>
    </row>
    <row r="49" ht="12.75">
      <c r="A49" s="1" t="s">
        <v>564</v>
      </c>
    </row>
    <row r="50" spans="1:22" ht="12.75">
      <c r="A50" s="106" t="s">
        <v>565</v>
      </c>
      <c r="E50" s="8">
        <f>E18</f>
        <v>29327</v>
      </c>
      <c r="F50" s="8">
        <f>F18</f>
        <v>30207</v>
      </c>
      <c r="G50" s="8">
        <f aca="true" t="shared" si="13" ref="G50:V50">G18</f>
        <v>31113</v>
      </c>
      <c r="H50" s="8">
        <f t="shared" si="13"/>
        <v>32046</v>
      </c>
      <c r="I50" s="8">
        <f t="shared" si="13"/>
        <v>33008</v>
      </c>
      <c r="J50" s="8">
        <f t="shared" si="13"/>
        <v>33998</v>
      </c>
      <c r="K50" s="8">
        <f t="shared" si="13"/>
        <v>35018</v>
      </c>
      <c r="L50" s="8">
        <f t="shared" si="13"/>
        <v>36069</v>
      </c>
      <c r="M50" s="8">
        <f t="shared" si="13"/>
        <v>37151</v>
      </c>
      <c r="N50" s="8">
        <f t="shared" si="13"/>
        <v>38265</v>
      </c>
      <c r="O50" s="8">
        <f t="shared" si="13"/>
        <v>39413</v>
      </c>
      <c r="P50" s="8">
        <f t="shared" si="13"/>
        <v>40595</v>
      </c>
      <c r="Q50" s="8">
        <f t="shared" si="13"/>
        <v>41813</v>
      </c>
      <c r="R50" s="8">
        <f t="shared" si="13"/>
        <v>43068</v>
      </c>
      <c r="S50" s="8">
        <f t="shared" si="13"/>
        <v>44360</v>
      </c>
      <c r="T50" s="8">
        <f t="shared" si="13"/>
        <v>45691</v>
      </c>
      <c r="U50" s="8">
        <f t="shared" si="13"/>
        <v>47061</v>
      </c>
      <c r="V50" s="8">
        <f t="shared" si="13"/>
        <v>48473</v>
      </c>
    </row>
    <row r="51" spans="1:22" ht="12.75">
      <c r="A51" s="106" t="s">
        <v>569</v>
      </c>
      <c r="C51">
        <v>1905500</v>
      </c>
      <c r="D51">
        <v>1962665</v>
      </c>
      <c r="E51" s="8">
        <v>2021545</v>
      </c>
      <c r="F51" s="8">
        <v>2082191</v>
      </c>
      <c r="G51" s="8">
        <v>2144657</v>
      </c>
      <c r="H51" s="8">
        <v>2208997</v>
      </c>
      <c r="I51" s="8">
        <v>2275267</v>
      </c>
      <c r="J51" s="8">
        <v>2343525</v>
      </c>
      <c r="K51" s="8">
        <v>2413831</v>
      </c>
      <c r="L51" s="8">
        <v>2486246</v>
      </c>
      <c r="M51" s="8">
        <v>2560833</v>
      </c>
      <c r="N51" s="8">
        <v>2637658</v>
      </c>
      <c r="O51" s="8">
        <v>2716788</v>
      </c>
      <c r="P51" s="8">
        <v>2798292</v>
      </c>
      <c r="Q51" s="8">
        <v>2882241</v>
      </c>
      <c r="R51" s="8">
        <v>2968708</v>
      </c>
      <c r="S51" s="8">
        <v>3057769</v>
      </c>
      <c r="T51" s="8">
        <v>3149502</v>
      </c>
      <c r="U51" s="8">
        <v>3243987</v>
      </c>
      <c r="V51" s="8">
        <v>3341307</v>
      </c>
    </row>
    <row r="52" spans="1:22" ht="12.75">
      <c r="A52" s="106" t="s">
        <v>566</v>
      </c>
      <c r="E52">
        <f>E51-D51</f>
        <v>58880</v>
      </c>
      <c r="F52">
        <f aca="true" t="shared" si="14" ref="F52:V52">F51-E51</f>
        <v>60646</v>
      </c>
      <c r="G52">
        <f t="shared" si="14"/>
        <v>62466</v>
      </c>
      <c r="H52">
        <f t="shared" si="14"/>
        <v>64340</v>
      </c>
      <c r="I52">
        <f t="shared" si="14"/>
        <v>66270</v>
      </c>
      <c r="J52">
        <f t="shared" si="14"/>
        <v>68258</v>
      </c>
      <c r="K52">
        <f t="shared" si="14"/>
        <v>70306</v>
      </c>
      <c r="L52">
        <f t="shared" si="14"/>
        <v>72415</v>
      </c>
      <c r="M52">
        <f t="shared" si="14"/>
        <v>74587</v>
      </c>
      <c r="N52">
        <f t="shared" si="14"/>
        <v>76825</v>
      </c>
      <c r="O52">
        <f t="shared" si="14"/>
        <v>79130</v>
      </c>
      <c r="P52">
        <f t="shared" si="14"/>
        <v>81504</v>
      </c>
      <c r="Q52">
        <f t="shared" si="14"/>
        <v>83949</v>
      </c>
      <c r="R52">
        <f t="shared" si="14"/>
        <v>86467</v>
      </c>
      <c r="S52">
        <f t="shared" si="14"/>
        <v>89061</v>
      </c>
      <c r="T52">
        <f t="shared" si="14"/>
        <v>91733</v>
      </c>
      <c r="U52">
        <f t="shared" si="14"/>
        <v>94485</v>
      </c>
      <c r="V52">
        <f t="shared" si="14"/>
        <v>97320</v>
      </c>
    </row>
    <row r="53" spans="1:22" ht="12.75">
      <c r="A53" s="106" t="s">
        <v>570</v>
      </c>
      <c r="E53" s="8">
        <f>E50+E52</f>
        <v>88207</v>
      </c>
      <c r="F53" s="8">
        <f aca="true" t="shared" si="15" ref="F53:V53">F50+F52</f>
        <v>90853</v>
      </c>
      <c r="G53" s="8">
        <f t="shared" si="15"/>
        <v>93579</v>
      </c>
      <c r="H53" s="8">
        <f t="shared" si="15"/>
        <v>96386</v>
      </c>
      <c r="I53" s="8">
        <f t="shared" si="15"/>
        <v>99278</v>
      </c>
      <c r="J53" s="8">
        <f t="shared" si="15"/>
        <v>102256</v>
      </c>
      <c r="K53" s="8">
        <f t="shared" si="15"/>
        <v>105324</v>
      </c>
      <c r="L53" s="8">
        <f t="shared" si="15"/>
        <v>108484</v>
      </c>
      <c r="M53" s="8">
        <f t="shared" si="15"/>
        <v>111738</v>
      </c>
      <c r="N53" s="8">
        <f t="shared" si="15"/>
        <v>115090</v>
      </c>
      <c r="O53" s="8">
        <f t="shared" si="15"/>
        <v>118543</v>
      </c>
      <c r="P53" s="8">
        <f t="shared" si="15"/>
        <v>122099</v>
      </c>
      <c r="Q53" s="8">
        <f t="shared" si="15"/>
        <v>125762</v>
      </c>
      <c r="R53" s="8">
        <f t="shared" si="15"/>
        <v>129535</v>
      </c>
      <c r="S53" s="8">
        <f t="shared" si="15"/>
        <v>133421</v>
      </c>
      <c r="T53" s="8">
        <f t="shared" si="15"/>
        <v>137424</v>
      </c>
      <c r="U53" s="8">
        <f t="shared" si="15"/>
        <v>141546</v>
      </c>
      <c r="V53" s="8">
        <f t="shared" si="15"/>
        <v>145793</v>
      </c>
    </row>
    <row r="54" spans="1:3" ht="12.75">
      <c r="A54" t="s">
        <v>562</v>
      </c>
      <c r="C54" s="8">
        <f>G25</f>
        <v>1048640.1537880385</v>
      </c>
    </row>
    <row r="55" spans="1:3" ht="12.75">
      <c r="A55" s="106" t="s">
        <v>598</v>
      </c>
      <c r="C55" s="8">
        <f>C54/hh_size</f>
        <v>194192.62107185897</v>
      </c>
    </row>
    <row r="56" spans="1:3" ht="12.75">
      <c r="A56" t="s">
        <v>563</v>
      </c>
      <c r="C56" s="8">
        <f>V25</f>
        <v>1633747.578163801</v>
      </c>
    </row>
    <row r="57" spans="1:3" ht="12.75">
      <c r="A57" s="106" t="s">
        <v>597</v>
      </c>
      <c r="C57" s="249">
        <f>C56/hh_size</f>
        <v>302545.8478081113</v>
      </c>
    </row>
    <row r="58" spans="1:3" ht="12.75">
      <c r="A58" s="106" t="s">
        <v>567</v>
      </c>
      <c r="C58" s="130">
        <f>C54/(G17)</f>
        <v>0.9816761002833126</v>
      </c>
    </row>
    <row r="59" spans="1:3" ht="12.75">
      <c r="A59" s="106" t="s">
        <v>568</v>
      </c>
      <c r="C59" s="130">
        <f>C56/(V17)</f>
        <v>0.9816761002833125</v>
      </c>
    </row>
    <row r="61" ht="12.75">
      <c r="A61" s="106" t="s">
        <v>633</v>
      </c>
    </row>
    <row r="62" spans="1:3" ht="12.75">
      <c r="A62" s="106" t="s">
        <v>634</v>
      </c>
      <c r="C62" s="8">
        <f>C44</f>
        <v>737627.0469591457</v>
      </c>
    </row>
    <row r="63" spans="1:3" ht="12.75">
      <c r="A63" s="106"/>
      <c r="C63" s="8"/>
    </row>
    <row r="64" spans="1:3" ht="12.75">
      <c r="A64" s="106" t="s">
        <v>639</v>
      </c>
      <c r="C64" s="8"/>
    </row>
    <row r="65" spans="1:3" ht="12.75">
      <c r="A65" s="106" t="s">
        <v>640</v>
      </c>
      <c r="C65" s="8"/>
    </row>
    <row r="67" ht="12.75">
      <c r="A67" s="5" t="s">
        <v>628</v>
      </c>
    </row>
    <row r="68" spans="3:6" ht="12.75">
      <c r="C68" s="571" t="s">
        <v>636</v>
      </c>
      <c r="D68" s="571"/>
      <c r="E68" s="571"/>
      <c r="F68" s="571"/>
    </row>
    <row r="69" spans="1:6" ht="12.75">
      <c r="A69" s="106" t="s">
        <v>612</v>
      </c>
      <c r="C69" s="238" t="s">
        <v>599</v>
      </c>
      <c r="D69" s="238" t="s">
        <v>600</v>
      </c>
      <c r="E69" s="239" t="s">
        <v>602</v>
      </c>
      <c r="F69" s="238" t="s">
        <v>601</v>
      </c>
    </row>
    <row r="70" spans="1:7" ht="12.75">
      <c r="A70" s="106" t="s">
        <v>630</v>
      </c>
      <c r="C70" s="130">
        <v>0</v>
      </c>
      <c r="D70" s="236">
        <v>0.03586666027690286</v>
      </c>
      <c r="E70" s="236">
        <v>0.2704085037047246</v>
      </c>
      <c r="F70" s="236">
        <v>0.6937248360183722</v>
      </c>
      <c r="G70" s="130"/>
    </row>
    <row r="71" spans="1:6" ht="12.75">
      <c r="A71" s="106" t="s">
        <v>626</v>
      </c>
      <c r="C71" s="130">
        <v>0</v>
      </c>
      <c r="D71" s="236">
        <v>0.02586666027690286</v>
      </c>
      <c r="E71" s="236">
        <v>0.25040850370472456</v>
      </c>
      <c r="F71" s="236">
        <v>0.7237248360183721</v>
      </c>
    </row>
    <row r="72" spans="1:6" ht="12.75">
      <c r="A72" s="106" t="s">
        <v>627</v>
      </c>
      <c r="C72" s="130">
        <v>0</v>
      </c>
      <c r="D72" s="236">
        <v>0.038</v>
      </c>
      <c r="E72" s="236">
        <v>0.302</v>
      </c>
      <c r="F72" s="236">
        <v>0.66</v>
      </c>
    </row>
    <row r="73" spans="1:6" ht="12.75">
      <c r="A73" s="106"/>
      <c r="C73" s="130"/>
      <c r="D73" s="236"/>
      <c r="E73" s="236"/>
      <c r="F73" s="236"/>
    </row>
    <row r="74" spans="1:6" ht="12.75">
      <c r="A74" s="106" t="s">
        <v>659</v>
      </c>
      <c r="C74">
        <v>0</v>
      </c>
      <c r="D74" s="8">
        <f>2*365</f>
        <v>730</v>
      </c>
      <c r="E74" s="8">
        <f>3*365</f>
        <v>1095</v>
      </c>
      <c r="F74" s="8">
        <f>10.2997441383138*365</f>
        <v>3759.406610484537</v>
      </c>
    </row>
    <row r="75" spans="1:8" ht="12.75">
      <c r="A75" s="106" t="s">
        <v>650</v>
      </c>
      <c r="G75" s="8">
        <v>244.18947566196587</v>
      </c>
      <c r="H75" s="106" t="s">
        <v>651</v>
      </c>
    </row>
    <row r="76" spans="1:8" ht="12.75">
      <c r="A76" s="106" t="s">
        <v>652</v>
      </c>
      <c r="G76" s="8">
        <f>G75*12</f>
        <v>2930.2737079435906</v>
      </c>
      <c r="H76" s="8">
        <f>SUMPRODUCT(D70:F70,D74:F74)</f>
        <v>2930.2737079435824</v>
      </c>
    </row>
    <row r="77" spans="1:7" ht="12.75">
      <c r="A77" s="106"/>
      <c r="G77" s="8"/>
    </row>
    <row r="78" ht="12.75">
      <c r="A78" s="5" t="s">
        <v>629</v>
      </c>
    </row>
    <row r="79" spans="3:6" ht="12.75">
      <c r="C79" s="571" t="s">
        <v>636</v>
      </c>
      <c r="D79" s="571"/>
      <c r="E79" s="571"/>
      <c r="F79" s="571"/>
    </row>
    <row r="80" spans="1:6" ht="12.75">
      <c r="A80" s="106" t="s">
        <v>613</v>
      </c>
      <c r="C80" s="238" t="s">
        <v>599</v>
      </c>
      <c r="D80" s="238" t="s">
        <v>600</v>
      </c>
      <c r="E80" s="239" t="s">
        <v>602</v>
      </c>
      <c r="F80" s="238" t="s">
        <v>601</v>
      </c>
    </row>
    <row r="81" spans="1:7" ht="12.75">
      <c r="A81" s="106" t="s">
        <v>630</v>
      </c>
      <c r="C81" s="242">
        <f>C70</f>
        <v>0</v>
      </c>
      <c r="D81" s="243">
        <f>D70-1%</f>
        <v>0.02586666027690286</v>
      </c>
      <c r="E81" s="243">
        <f>E70-2%</f>
        <v>0.25040850370472456</v>
      </c>
      <c r="F81" s="243">
        <f>F70+3%</f>
        <v>0.7237248360183722</v>
      </c>
      <c r="G81" s="106" t="s">
        <v>631</v>
      </c>
    </row>
    <row r="82" spans="1:7" ht="12.75">
      <c r="A82" s="106" t="s">
        <v>626</v>
      </c>
      <c r="C82" s="242">
        <f>C71</f>
        <v>0</v>
      </c>
      <c r="D82" s="243">
        <f aca="true" t="shared" si="16" ref="D82:F83">D71</f>
        <v>0.02586666027690286</v>
      </c>
      <c r="E82" s="243">
        <f t="shared" si="16"/>
        <v>0.25040850370472456</v>
      </c>
      <c r="F82" s="243">
        <f t="shared" si="16"/>
        <v>0.7237248360183721</v>
      </c>
      <c r="G82" s="106" t="s">
        <v>655</v>
      </c>
    </row>
    <row r="83" spans="1:7" ht="12.75">
      <c r="A83" s="106" t="s">
        <v>627</v>
      </c>
      <c r="C83" s="240">
        <f>C72</f>
        <v>0</v>
      </c>
      <c r="D83" s="240">
        <f t="shared" si="16"/>
        <v>0.038</v>
      </c>
      <c r="E83" s="240">
        <f t="shared" si="16"/>
        <v>0.302</v>
      </c>
      <c r="F83" s="240">
        <f t="shared" si="16"/>
        <v>0.66</v>
      </c>
      <c r="G83" s="106" t="s">
        <v>667</v>
      </c>
    </row>
    <row r="84" ht="12.75">
      <c r="A84" s="106"/>
    </row>
    <row r="85" spans="1:6" ht="12.75">
      <c r="A85" s="106" t="s">
        <v>659</v>
      </c>
      <c r="C85">
        <v>0</v>
      </c>
      <c r="D85" s="8">
        <f>2*365</f>
        <v>730</v>
      </c>
      <c r="E85" s="8">
        <f>3*365</f>
        <v>1095</v>
      </c>
      <c r="F85" s="124">
        <f>10.2934030294063*365</f>
        <v>3757.0921057332994</v>
      </c>
    </row>
    <row r="86" spans="1:7" ht="12.75">
      <c r="A86" s="106" t="s">
        <v>657</v>
      </c>
      <c r="G86" s="8">
        <f>C92</f>
        <v>251.01507014054823</v>
      </c>
    </row>
    <row r="87" spans="1:8" ht="12.75">
      <c r="A87" s="106" t="s">
        <v>658</v>
      </c>
      <c r="G87" s="8">
        <f>C93</f>
        <v>3012.180841686579</v>
      </c>
      <c r="H87" s="8">
        <f>SUMPRODUCT(D81:F81,D85:F85)</f>
        <v>3012.1808416865656</v>
      </c>
    </row>
    <row r="88" ht="12.75">
      <c r="A88" s="106"/>
    </row>
    <row r="89" spans="1:4" ht="12.75">
      <c r="A89" s="5" t="s">
        <v>614</v>
      </c>
      <c r="C89" s="8">
        <v>5906043</v>
      </c>
      <c r="D89" s="106" t="s">
        <v>615</v>
      </c>
    </row>
    <row r="90" spans="1:4" ht="12.75">
      <c r="A90" s="106" t="s">
        <v>621</v>
      </c>
      <c r="C90" s="237">
        <v>0.022</v>
      </c>
      <c r="D90" s="106" t="s">
        <v>622</v>
      </c>
    </row>
    <row r="91" spans="1:3" ht="12.75">
      <c r="A91" s="106" t="s">
        <v>611</v>
      </c>
      <c r="C91" s="8">
        <f>C89*(1+C90)^20</f>
        <v>9126715.662986442</v>
      </c>
    </row>
    <row r="92" spans="1:4" ht="12.75">
      <c r="A92" s="106" t="s">
        <v>653</v>
      </c>
      <c r="C92" s="8">
        <v>251.01507014054823</v>
      </c>
      <c r="D92" s="106" t="s">
        <v>651</v>
      </c>
    </row>
    <row r="93" spans="1:3" ht="12.75">
      <c r="A93" s="106" t="s">
        <v>654</v>
      </c>
      <c r="C93" s="8">
        <f>C92*12</f>
        <v>3012.180841686579</v>
      </c>
    </row>
    <row r="94" spans="1:3" ht="12.75">
      <c r="A94" s="106"/>
      <c r="C94" s="8"/>
    </row>
    <row r="95" spans="3:6" ht="12.75">
      <c r="C95" s="106" t="s">
        <v>617</v>
      </c>
      <c r="D95" s="106" t="s">
        <v>618</v>
      </c>
      <c r="E95" s="106" t="s">
        <v>26</v>
      </c>
      <c r="F95" s="106" t="s">
        <v>619</v>
      </c>
    </row>
    <row r="96" spans="1:6" ht="12.75">
      <c r="A96" s="106" t="s">
        <v>616</v>
      </c>
      <c r="C96" s="8">
        <v>460900</v>
      </c>
      <c r="D96" s="8">
        <v>430100</v>
      </c>
      <c r="E96" s="8">
        <v>891000</v>
      </c>
      <c r="F96" s="237">
        <v>0.149</v>
      </c>
    </row>
    <row r="98" ht="12.75">
      <c r="A98" s="1" t="s">
        <v>668</v>
      </c>
    </row>
    <row r="99" spans="1:3" ht="12.75">
      <c r="A99" s="5" t="s">
        <v>635</v>
      </c>
      <c r="C99" s="132">
        <f>NPV(0.1,CBA_BD!E31:X31)/PPP_conversion_2005</f>
        <v>179953156.33670858</v>
      </c>
    </row>
    <row r="100" spans="3:6" ht="12.75">
      <c r="C100" s="571" t="s">
        <v>636</v>
      </c>
      <c r="D100" s="571"/>
      <c r="E100" s="571"/>
      <c r="F100" s="571"/>
    </row>
    <row r="101" spans="3:6" ht="12.75">
      <c r="C101" s="238" t="s">
        <v>599</v>
      </c>
      <c r="D101" s="238" t="s">
        <v>600</v>
      </c>
      <c r="E101" s="239" t="s">
        <v>602</v>
      </c>
      <c r="F101" s="238" t="s">
        <v>601</v>
      </c>
    </row>
    <row r="102" spans="1:6" ht="12.75">
      <c r="A102" s="106" t="s">
        <v>663</v>
      </c>
      <c r="C102" s="132">
        <f>$C99*C72</f>
        <v>0</v>
      </c>
      <c r="D102" s="132">
        <f>$C99*D72</f>
        <v>6838219.940794926</v>
      </c>
      <c r="E102" s="132">
        <f>$C99*E72</f>
        <v>54345853.21368599</v>
      </c>
      <c r="F102" s="132">
        <f>$C99*F72</f>
        <v>118769083.18222767</v>
      </c>
    </row>
    <row r="103" spans="1:6" ht="12.75">
      <c r="A103" s="106" t="s">
        <v>637</v>
      </c>
      <c r="C103" s="8">
        <f>$C44*C70</f>
        <v>0</v>
      </c>
      <c r="D103" s="8">
        <f>$C44*D70</f>
        <v>26456.218704338753</v>
      </c>
      <c r="E103" s="8">
        <f>$C44*E70</f>
        <v>199460.6260603572</v>
      </c>
      <c r="F103" s="8">
        <f>$C44*F70</f>
        <v>511710.2021944495</v>
      </c>
    </row>
    <row r="104" spans="1:6" ht="12.75">
      <c r="A104" s="106" t="s">
        <v>661</v>
      </c>
      <c r="C104">
        <v>0</v>
      </c>
      <c r="D104" s="8">
        <f>D102/D103</f>
        <v>258.4730651502165</v>
      </c>
      <c r="E104" s="8">
        <f>E102/E103</f>
        <v>272.46406615228824</v>
      </c>
      <c r="F104" s="8">
        <f>F102/F103</f>
        <v>232.10223808884606</v>
      </c>
    </row>
    <row r="107" spans="1:3" ht="12.75">
      <c r="A107" s="5" t="s">
        <v>641</v>
      </c>
      <c r="C107" s="132">
        <f>NPV(0.1,CBA_BD!E32:X32)/PPP_conversion_2005</f>
        <v>72863349.85501954</v>
      </c>
    </row>
    <row r="108" spans="3:6" ht="12.75">
      <c r="C108" s="571" t="s">
        <v>636</v>
      </c>
      <c r="D108" s="571"/>
      <c r="E108" s="571"/>
      <c r="F108" s="571"/>
    </row>
    <row r="109" spans="3:6" ht="12.75">
      <c r="C109" s="238" t="s">
        <v>599</v>
      </c>
      <c r="D109" s="238" t="s">
        <v>600</v>
      </c>
      <c r="E109" s="239" t="s">
        <v>602</v>
      </c>
      <c r="F109" s="238" t="s">
        <v>601</v>
      </c>
    </row>
    <row r="110" spans="1:6" ht="12.75">
      <c r="A110" s="106" t="s">
        <v>663</v>
      </c>
      <c r="C110" s="132">
        <f>$C107*C72</f>
        <v>0</v>
      </c>
      <c r="D110" s="132">
        <f>$C107*D72</f>
        <v>2768807.2944907425</v>
      </c>
      <c r="E110" s="132">
        <f>$C107*E72</f>
        <v>22004731.6562159</v>
      </c>
      <c r="F110" s="132">
        <f>$C107*F72</f>
        <v>48089810.9043129</v>
      </c>
    </row>
    <row r="111" spans="1:6" ht="12.75">
      <c r="A111" s="106" t="s">
        <v>637</v>
      </c>
      <c r="C111" s="8">
        <f>C103</f>
        <v>0</v>
      </c>
      <c r="D111" s="8">
        <f>D103</f>
        <v>26456.218704338753</v>
      </c>
      <c r="E111" s="8">
        <f>E103</f>
        <v>199460.6260603572</v>
      </c>
      <c r="F111" s="8">
        <f>F103</f>
        <v>511710.2021944495</v>
      </c>
    </row>
    <row r="112" spans="1:6" ht="12.75">
      <c r="A112" s="106" t="s">
        <v>638</v>
      </c>
      <c r="C112">
        <v>0</v>
      </c>
      <c r="D112" s="8">
        <f>D110/D111</f>
        <v>104.65619918830899</v>
      </c>
      <c r="E112" s="8">
        <f>E110/E111</f>
        <v>110.32118012884017</v>
      </c>
      <c r="F112" s="8">
        <f>F110/F111</f>
        <v>93.97860487846754</v>
      </c>
    </row>
    <row r="113" spans="1:6" ht="12.75">
      <c r="A113" s="106"/>
      <c r="D113" s="8"/>
      <c r="E113" s="8"/>
      <c r="F113" s="8"/>
    </row>
    <row r="114" spans="1:6" ht="12.75">
      <c r="A114" s="106"/>
      <c r="C114" s="571" t="s">
        <v>636</v>
      </c>
      <c r="D114" s="571"/>
      <c r="E114" s="571"/>
      <c r="F114" s="571"/>
    </row>
    <row r="115" spans="1:6" ht="12.75">
      <c r="A115" s="5" t="s">
        <v>682</v>
      </c>
      <c r="C115" s="238" t="s">
        <v>599</v>
      </c>
      <c r="D115" s="238" t="s">
        <v>600</v>
      </c>
      <c r="E115" s="239" t="s">
        <v>602</v>
      </c>
      <c r="F115" s="238" t="s">
        <v>601</v>
      </c>
    </row>
    <row r="116" spans="1:6" ht="12.75">
      <c r="A116" s="106" t="s">
        <v>663</v>
      </c>
      <c r="C116" s="132">
        <f>C102+C110</f>
        <v>0</v>
      </c>
      <c r="D116" s="132">
        <f>D102+D110</f>
        <v>9607027.23528567</v>
      </c>
      <c r="E116" s="132">
        <f>E102+E110</f>
        <v>76350584.8699019</v>
      </c>
      <c r="F116" s="132">
        <f>F102+F110</f>
        <v>166858894.08654058</v>
      </c>
    </row>
    <row r="117" spans="1:6" ht="12.75">
      <c r="A117" s="106" t="s">
        <v>637</v>
      </c>
      <c r="C117" s="8">
        <f>C111</f>
        <v>0</v>
      </c>
      <c r="D117" s="8">
        <f>D111</f>
        <v>26456.218704338753</v>
      </c>
      <c r="E117" s="8">
        <f>E111</f>
        <v>199460.6260603572</v>
      </c>
      <c r="F117" s="8">
        <f>F111</f>
        <v>511710.2021944495</v>
      </c>
    </row>
    <row r="118" spans="1:6" ht="12.75">
      <c r="A118" s="106" t="s">
        <v>647</v>
      </c>
      <c r="C118">
        <f>C112+C104</f>
        <v>0</v>
      </c>
      <c r="D118" s="8">
        <f>D116/D117</f>
        <v>363.1292643385255</v>
      </c>
      <c r="E118" s="8">
        <f>E116/E117</f>
        <v>382.7852462811284</v>
      </c>
      <c r="F118" s="8">
        <f>F116/F117</f>
        <v>326.08084296731363</v>
      </c>
    </row>
    <row r="119" spans="1:9" ht="12.75">
      <c r="A119" s="106" t="s">
        <v>630</v>
      </c>
      <c r="C119" s="16">
        <f>C70</f>
        <v>0</v>
      </c>
      <c r="D119" s="16">
        <f>D70</f>
        <v>0.03586666027690286</v>
      </c>
      <c r="E119" s="16">
        <f>E70</f>
        <v>0.2704085037047246</v>
      </c>
      <c r="F119" s="16">
        <f>F70</f>
        <v>0.6937248360183722</v>
      </c>
      <c r="G119" s="8"/>
      <c r="H119" s="8"/>
      <c r="I119" s="8"/>
    </row>
    <row r="120" ht="12.75">
      <c r="A120" s="106"/>
    </row>
    <row r="121" spans="1:6" ht="12.75">
      <c r="A121" s="106" t="s">
        <v>659</v>
      </c>
      <c r="C121" s="8">
        <f>C74</f>
        <v>0</v>
      </c>
      <c r="D121" s="8">
        <f>D74</f>
        <v>730</v>
      </c>
      <c r="E121" s="8">
        <f>E74</f>
        <v>1095</v>
      </c>
      <c r="F121" s="8">
        <f>F74</f>
        <v>3759.406610484537</v>
      </c>
    </row>
    <row r="122" spans="1:7" ht="12.75">
      <c r="A122" s="106" t="s">
        <v>657</v>
      </c>
      <c r="C122" s="8"/>
      <c r="D122" s="8"/>
      <c r="E122" s="8"/>
      <c r="F122" s="8"/>
      <c r="G122" s="8">
        <f>G75</f>
        <v>244.18947566196587</v>
      </c>
    </row>
    <row r="123" spans="1:8" ht="12.75">
      <c r="A123" s="106" t="s">
        <v>658</v>
      </c>
      <c r="G123" s="246">
        <f>G122*12</f>
        <v>2930.2737079435906</v>
      </c>
      <c r="H123" s="8">
        <f>SUMPRODUCT(D119:F119,D121:F121)</f>
        <v>2930.2737079435824</v>
      </c>
    </row>
    <row r="124" ht="12.75">
      <c r="A124" s="106"/>
    </row>
    <row r="125" ht="12.75">
      <c r="A125" s="1" t="s">
        <v>644</v>
      </c>
    </row>
    <row r="126" spans="1:3" ht="12.75">
      <c r="A126" s="106" t="s">
        <v>645</v>
      </c>
      <c r="C126" s="130">
        <v>1</v>
      </c>
    </row>
    <row r="127" spans="1:3" ht="12.75">
      <c r="A127" s="106" t="s">
        <v>646</v>
      </c>
      <c r="C127" s="16">
        <f>1-C126</f>
        <v>0</v>
      </c>
    </row>
    <row r="129" spans="1:3" ht="12.75">
      <c r="A129" s="106" t="s">
        <v>643</v>
      </c>
      <c r="C129" s="132">
        <f>NPV(0.1,CBA_BD!E30:X30)/PPP_conversion_2005</f>
        <v>160489444.05925986</v>
      </c>
    </row>
    <row r="130" spans="3:6" ht="12.75">
      <c r="C130" s="571" t="s">
        <v>636</v>
      </c>
      <c r="D130" s="571"/>
      <c r="E130" s="571"/>
      <c r="F130" s="571"/>
    </row>
    <row r="131" spans="3:6" ht="12.75">
      <c r="C131" s="238" t="s">
        <v>599</v>
      </c>
      <c r="D131" s="238" t="s">
        <v>600</v>
      </c>
      <c r="E131" s="239" t="s">
        <v>602</v>
      </c>
      <c r="F131" s="238" t="s">
        <v>601</v>
      </c>
    </row>
    <row r="132" spans="1:6" ht="12.75">
      <c r="A132" s="106" t="s">
        <v>630</v>
      </c>
      <c r="C132" s="244">
        <f>$C126*C70+$C127*C81</f>
        <v>0</v>
      </c>
      <c r="D132" s="244">
        <f>$C126*D70+$C127*D81</f>
        <v>0.03586666027690286</v>
      </c>
      <c r="E132" s="244">
        <f>$C126*E70+$C127*E81</f>
        <v>0.2704085037047246</v>
      </c>
      <c r="F132" s="244">
        <f>$C126*F70+$C127*F81</f>
        <v>0.6937248360183722</v>
      </c>
    </row>
    <row r="133" spans="1:6" ht="12.75">
      <c r="A133" s="106" t="s">
        <v>663</v>
      </c>
      <c r="C133" s="132">
        <f>($C126*C72+$C127*C83)*$C129</f>
        <v>0</v>
      </c>
      <c r="D133" s="132">
        <f>($C126*D72+$C127*D83)*$C129</f>
        <v>6098598.874251874</v>
      </c>
      <c r="E133" s="132">
        <f>($C126*E72+$C127*E83)*$C129</f>
        <v>48467812.10589648</v>
      </c>
      <c r="F133" s="132">
        <f>($C126*F72+$C127*F83)*$C129</f>
        <v>105923033.07911152</v>
      </c>
    </row>
    <row r="134" spans="1:6" ht="12.75">
      <c r="A134" s="106" t="s">
        <v>637</v>
      </c>
      <c r="C134" s="8">
        <f>C132*$C56</f>
        <v>0</v>
      </c>
      <c r="D134" s="8">
        <f>D132*$C56</f>
        <v>58597.06936421386</v>
      </c>
      <c r="E134" s="8">
        <f>E132*$C56</f>
        <v>441779.23804249096</v>
      </c>
      <c r="F134" s="8">
        <f>F132*$C56</f>
        <v>1133371.2707570957</v>
      </c>
    </row>
    <row r="135" spans="1:6" ht="12.75">
      <c r="A135" s="106" t="s">
        <v>661</v>
      </c>
      <c r="C135">
        <v>0</v>
      </c>
      <c r="D135" s="8">
        <f>D133/D134</f>
        <v>104.07685811632729</v>
      </c>
      <c r="E135" s="8">
        <f>E133/E134</f>
        <v>109.7104796519088</v>
      </c>
      <c r="F135" s="8">
        <f>F133/F134</f>
        <v>93.4583713317125</v>
      </c>
    </row>
    <row r="136" spans="1:6" ht="12.75">
      <c r="A136" s="106"/>
      <c r="D136" s="8"/>
      <c r="E136" s="8"/>
      <c r="F136" s="8"/>
    </row>
    <row r="137" spans="1:6" ht="12.75">
      <c r="A137" s="106" t="s">
        <v>659</v>
      </c>
      <c r="C137" s="8">
        <f>$C126*C74+$C127*C85</f>
        <v>0</v>
      </c>
      <c r="D137" s="8">
        <f>$C126*D74+$C127*D85</f>
        <v>730</v>
      </c>
      <c r="E137" s="8">
        <f>$C126*E74+$C127*E85</f>
        <v>1095</v>
      </c>
      <c r="F137" s="8">
        <f>$C126*F74+$C127*F85</f>
        <v>3759.406610484537</v>
      </c>
    </row>
    <row r="138" spans="1:7" ht="12.75">
      <c r="A138" s="106" t="s">
        <v>657</v>
      </c>
      <c r="C138" s="8"/>
      <c r="D138" s="8"/>
      <c r="E138" s="8"/>
      <c r="F138" s="8"/>
      <c r="G138" s="8">
        <f>C126*G75+C127*G86</f>
        <v>244.18947566196587</v>
      </c>
    </row>
    <row r="139" spans="1:8" ht="12.75">
      <c r="A139" s="106" t="s">
        <v>658</v>
      </c>
      <c r="C139" s="8"/>
      <c r="D139" s="8"/>
      <c r="E139" s="8"/>
      <c r="F139" s="8"/>
      <c r="G139" s="8">
        <f>G138*12</f>
        <v>2930.2737079435906</v>
      </c>
      <c r="H139" s="8">
        <f>SUMPRODUCT(D132:F132,D137:F137)</f>
        <v>2930.2737079435824</v>
      </c>
    </row>
    <row r="140" spans="1:7" ht="12.75">
      <c r="A140" s="106"/>
      <c r="C140" s="8"/>
      <c r="D140" s="8"/>
      <c r="E140" s="8"/>
      <c r="F140" s="8"/>
      <c r="G140" s="8"/>
    </row>
    <row r="141" ht="12.75">
      <c r="A141" s="1" t="s">
        <v>666</v>
      </c>
    </row>
    <row r="142" ht="12.75">
      <c r="A142" s="106" t="s">
        <v>648</v>
      </c>
    </row>
    <row r="143" ht="12.75">
      <c r="A143" s="106" t="s">
        <v>649</v>
      </c>
    </row>
    <row r="144" spans="1:3" ht="12.75">
      <c r="A144" s="106" t="s">
        <v>664</v>
      </c>
      <c r="C144" s="237">
        <f>C44/(C44+C56)</f>
        <v>0.31105462593068883</v>
      </c>
    </row>
    <row r="145" spans="1:3" ht="12.75">
      <c r="A145" s="106" t="s">
        <v>665</v>
      </c>
      <c r="C145" s="241">
        <f>1-C144</f>
        <v>0.6889453740693112</v>
      </c>
    </row>
    <row r="147" spans="3:6" ht="12.75">
      <c r="C147" s="571" t="s">
        <v>636</v>
      </c>
      <c r="D147" s="571"/>
      <c r="E147" s="571"/>
      <c r="F147" s="571"/>
    </row>
    <row r="148" spans="3:6" ht="12.75">
      <c r="C148" s="238" t="s">
        <v>599</v>
      </c>
      <c r="D148" s="238" t="s">
        <v>600</v>
      </c>
      <c r="E148" s="239" t="s">
        <v>602</v>
      </c>
      <c r="F148" s="238" t="s">
        <v>601</v>
      </c>
    </row>
    <row r="149" spans="1:6" ht="12.75">
      <c r="A149" s="106" t="s">
        <v>630</v>
      </c>
      <c r="C149" s="245">
        <f>$C144*C119+$C145*C132</f>
        <v>0</v>
      </c>
      <c r="D149" s="245">
        <f>$C144*D119+$C145*D132</f>
        <v>0.03586666027690286</v>
      </c>
      <c r="E149" s="245">
        <f>$C144*E119+$C145*E132</f>
        <v>0.2704085037047246</v>
      </c>
      <c r="F149" s="245">
        <f>$C144*F119+$C145*F132</f>
        <v>0.6937248360183722</v>
      </c>
    </row>
    <row r="150" spans="1:6" ht="12.75">
      <c r="A150" s="106" t="s">
        <v>663</v>
      </c>
      <c r="C150" s="132">
        <f>C116+C134</f>
        <v>0</v>
      </c>
      <c r="D150" s="132">
        <f>D116+D134</f>
        <v>9665624.304649884</v>
      </c>
      <c r="E150" s="132">
        <f>E116+E134</f>
        <v>76792364.10794438</v>
      </c>
      <c r="F150" s="132">
        <f>F116+F134</f>
        <v>167992265.3572977</v>
      </c>
    </row>
    <row r="151" spans="1:7" ht="12.75">
      <c r="A151" s="106" t="s">
        <v>637</v>
      </c>
      <c r="C151" s="8">
        <f>C134</f>
        <v>0</v>
      </c>
      <c r="D151" s="8">
        <f>D134</f>
        <v>58597.06936421386</v>
      </c>
      <c r="E151" s="8">
        <f>E134</f>
        <v>441779.23804249096</v>
      </c>
      <c r="F151" s="8">
        <f>F134</f>
        <v>1133371.2707570957</v>
      </c>
      <c r="G151" s="106" t="s">
        <v>683</v>
      </c>
    </row>
    <row r="152" spans="1:8" ht="12.75">
      <c r="A152" s="106" t="s">
        <v>662</v>
      </c>
      <c r="C152">
        <v>0</v>
      </c>
      <c r="D152" s="8">
        <f>D150/D151</f>
        <v>164.95064359912905</v>
      </c>
      <c r="E152" s="8">
        <f>E150/E151</f>
        <v>173.82519931948087</v>
      </c>
      <c r="F152" s="8">
        <f>F150/F151</f>
        <v>148.22350776994577</v>
      </c>
      <c r="H152" s="8">
        <f>SUMPRODUCT(D149:F149,D152:F152)</f>
        <v>155.74636937235633</v>
      </c>
    </row>
    <row r="153" spans="1:8" ht="12.75">
      <c r="A153" s="106" t="s">
        <v>660</v>
      </c>
      <c r="C153" s="8">
        <f>$C144*C121+$C145*C137</f>
        <v>0</v>
      </c>
      <c r="D153" s="8">
        <f>$C144*D121+$C145*D137</f>
        <v>730</v>
      </c>
      <c r="E153" s="8">
        <f>$C144*E121+$C145*E137</f>
        <v>1095</v>
      </c>
      <c r="F153" s="8">
        <f>$C144*F121+$C145*F137</f>
        <v>3759.4066104845374</v>
      </c>
      <c r="H153" s="130">
        <f>H152/G156</f>
        <v>0.05315079234753674</v>
      </c>
    </row>
    <row r="154" spans="1:6" ht="12.75">
      <c r="A154" s="106" t="s">
        <v>656</v>
      </c>
      <c r="C154" s="8">
        <v>0</v>
      </c>
      <c r="D154" s="130">
        <f>D152/D153</f>
        <v>0.22595978575223158</v>
      </c>
      <c r="E154" s="130">
        <f>E152/E153</f>
        <v>0.15874447426436608</v>
      </c>
      <c r="F154" s="130">
        <f>F152/F153</f>
        <v>0.03942736796721271</v>
      </c>
    </row>
    <row r="155" spans="1:7" ht="12.75">
      <c r="A155" s="106" t="s">
        <v>657</v>
      </c>
      <c r="D155" s="8"/>
      <c r="E155" s="8"/>
      <c r="F155" s="8"/>
      <c r="G155" s="8">
        <f>C144*G122+C145*G138</f>
        <v>244.1894756619659</v>
      </c>
    </row>
    <row r="156" spans="1:8" ht="12.75">
      <c r="A156" s="106" t="s">
        <v>658</v>
      </c>
      <c r="E156" s="8"/>
      <c r="F156" s="8"/>
      <c r="G156" s="8">
        <f>G155*12</f>
        <v>2930.273707943591</v>
      </c>
      <c r="H156" s="8">
        <f>SUMPRODUCT(D149:F149,D153:F153)</f>
        <v>2930.2737079435824</v>
      </c>
    </row>
    <row r="157" spans="5:6" ht="12.75">
      <c r="E157" s="8"/>
      <c r="F157" s="8"/>
    </row>
    <row r="158" spans="1:6" ht="12.75">
      <c r="A158" s="106" t="s">
        <v>669</v>
      </c>
      <c r="C158" s="8">
        <f>SUM(C151:F151)</f>
        <v>1633747.5781638005</v>
      </c>
      <c r="D158" s="8"/>
      <c r="E158" s="8"/>
      <c r="F158" s="8"/>
    </row>
    <row r="159" spans="1:3" ht="12.75">
      <c r="A159" s="106" t="s">
        <v>707</v>
      </c>
      <c r="C159" s="8">
        <f>C158/BA_Rescaled!hh_size</f>
        <v>302545.84780811117</v>
      </c>
    </row>
  </sheetData>
  <sheetProtection/>
  <mergeCells count="7">
    <mergeCell ref="C147:F147"/>
    <mergeCell ref="C114:F114"/>
    <mergeCell ref="C68:F68"/>
    <mergeCell ref="C79:F79"/>
    <mergeCell ref="C100:F100"/>
    <mergeCell ref="C108:F108"/>
    <mergeCell ref="C130:F13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sheetPr codeName="Sheet13"/>
  <dimension ref="A1:N155"/>
  <sheetViews>
    <sheetView zoomScale="85" zoomScaleNormal="85" zoomScalePageLayoutView="0" workbookViewId="0" topLeftCell="A1">
      <selection activeCell="A1" sqref="A1:I1"/>
    </sheetView>
  </sheetViews>
  <sheetFormatPr defaultColWidth="9.140625" defaultRowHeight="12.75"/>
  <cols>
    <col min="1" max="1" width="22.7109375" style="204" customWidth="1"/>
    <col min="2" max="2" width="16.00390625" style="204" customWidth="1"/>
    <col min="3" max="3" width="15.421875" style="448" customWidth="1"/>
    <col min="4" max="4" width="14.7109375" style="204" customWidth="1"/>
    <col min="5" max="5" width="26.28125" style="204" customWidth="1"/>
    <col min="6" max="6" width="16.7109375" style="204" customWidth="1"/>
    <col min="7" max="7" width="15.00390625" style="204" customWidth="1"/>
    <col min="8" max="8" width="20.57421875" style="204" customWidth="1"/>
    <col min="9" max="9" width="13.8515625" style="204" customWidth="1"/>
    <col min="10" max="10" width="11.7109375" style="204" customWidth="1"/>
    <col min="11" max="11" width="10.421875" style="204" customWidth="1"/>
    <col min="12" max="13" width="10.140625" style="204" bestFit="1" customWidth="1"/>
    <col min="14" max="16384" width="9.140625" style="204" customWidth="1"/>
  </cols>
  <sheetData>
    <row r="1" spans="1:9" ht="18">
      <c r="A1" s="603" t="s">
        <v>788</v>
      </c>
      <c r="B1" s="603"/>
      <c r="C1" s="603"/>
      <c r="D1" s="603"/>
      <c r="E1" s="603"/>
      <c r="F1" s="603"/>
      <c r="G1" s="603"/>
      <c r="H1" s="603"/>
      <c r="I1" s="603"/>
    </row>
    <row r="2" spans="1:9" ht="20.25">
      <c r="A2" s="602" t="s">
        <v>746</v>
      </c>
      <c r="B2" s="602"/>
      <c r="C2" s="602"/>
      <c r="D2" s="602"/>
      <c r="E2" s="602"/>
      <c r="F2" s="602"/>
      <c r="G2" s="602"/>
      <c r="H2" s="602"/>
      <c r="I2" s="602"/>
    </row>
    <row r="3" spans="1:9" ht="12.75">
      <c r="A3" s="361">
        <f>IF('ERR &amp; Sensitivity Analysis'!$I$20="N","NOTE: Current calculations are based on USER INPUT and are not the original MCC estimates.",IF('ERR &amp; Sensitivity Analysis'!$I$24="N","NOTE: Current calculations are based on USER INPUT and are not the original MCC estimates.",""))</f>
      </c>
      <c r="B3" s="360"/>
      <c r="C3" s="360"/>
      <c r="D3" s="360"/>
      <c r="I3" s="360" t="str">
        <f>'User''s Guide'!B1</f>
        <v>LAST UPDATED: 1/10/2011</v>
      </c>
    </row>
    <row r="5" spans="1:7" ht="12.75">
      <c r="A5" s="391" t="s">
        <v>231</v>
      </c>
      <c r="B5" s="424"/>
      <c r="C5" s="442"/>
      <c r="D5" s="424"/>
      <c r="E5" s="424"/>
      <c r="F5" s="424"/>
      <c r="G5" s="438"/>
    </row>
    <row r="6" spans="1:7" ht="12.75">
      <c r="A6" s="443" t="s">
        <v>239</v>
      </c>
      <c r="B6" s="444"/>
      <c r="C6" s="444"/>
      <c r="D6" s="444"/>
      <c r="E6" s="444"/>
      <c r="F6" s="426"/>
      <c r="G6" s="432"/>
    </row>
    <row r="7" spans="1:7" ht="12.75">
      <c r="A7" s="443" t="s">
        <v>258</v>
      </c>
      <c r="B7" s="444"/>
      <c r="C7" s="444"/>
      <c r="D7" s="444"/>
      <c r="E7" s="444"/>
      <c r="F7" s="426"/>
      <c r="G7" s="432"/>
    </row>
    <row r="8" spans="1:7" ht="12.75">
      <c r="A8" s="445" t="s">
        <v>240</v>
      </c>
      <c r="B8" s="446"/>
      <c r="C8" s="446"/>
      <c r="D8" s="446"/>
      <c r="E8" s="446"/>
      <c r="F8" s="375"/>
      <c r="G8" s="376"/>
    </row>
    <row r="9" spans="1:5" ht="12.75">
      <c r="A9" s="447"/>
      <c r="B9" s="448"/>
      <c r="D9" s="448"/>
      <c r="E9" s="448"/>
    </row>
    <row r="10" spans="1:5" ht="12.75">
      <c r="A10" s="386" t="s">
        <v>192</v>
      </c>
      <c r="B10" s="448"/>
      <c r="D10" s="448"/>
      <c r="E10" s="448"/>
    </row>
    <row r="11" spans="1:10" ht="12.75">
      <c r="A11" s="430" t="s">
        <v>209</v>
      </c>
      <c r="B11" s="424"/>
      <c r="C11" s="449" t="s">
        <v>172</v>
      </c>
      <c r="D11" s="450" t="s">
        <v>172</v>
      </c>
      <c r="E11" s="450" t="s">
        <v>182</v>
      </c>
      <c r="F11" s="450" t="s">
        <v>182</v>
      </c>
      <c r="G11" s="449" t="s">
        <v>173</v>
      </c>
      <c r="H11" s="449" t="s">
        <v>185</v>
      </c>
      <c r="I11" s="450" t="s">
        <v>182</v>
      </c>
      <c r="J11" s="451" t="s">
        <v>182</v>
      </c>
    </row>
    <row r="12" spans="1:10" ht="12.75">
      <c r="A12" s="431" t="s">
        <v>210</v>
      </c>
      <c r="B12" s="426"/>
      <c r="C12" s="452" t="s">
        <v>211</v>
      </c>
      <c r="D12" s="453" t="s">
        <v>211</v>
      </c>
      <c r="E12" s="453" t="s">
        <v>177</v>
      </c>
      <c r="F12" s="453" t="s">
        <v>177</v>
      </c>
      <c r="G12" s="452" t="s">
        <v>211</v>
      </c>
      <c r="H12" s="452" t="s">
        <v>186</v>
      </c>
      <c r="I12" s="453" t="s">
        <v>177</v>
      </c>
      <c r="J12" s="454" t="s">
        <v>177</v>
      </c>
    </row>
    <row r="13" spans="1:10" ht="12.75">
      <c r="A13" s="433"/>
      <c r="B13" s="375"/>
      <c r="C13" s="455" t="s">
        <v>235</v>
      </c>
      <c r="D13" s="456" t="s">
        <v>177</v>
      </c>
      <c r="E13" s="456" t="s">
        <v>183</v>
      </c>
      <c r="F13" s="456" t="s">
        <v>184</v>
      </c>
      <c r="G13" s="456"/>
      <c r="H13" s="456"/>
      <c r="I13" s="456" t="s">
        <v>183</v>
      </c>
      <c r="J13" s="457" t="s">
        <v>184</v>
      </c>
    </row>
    <row r="14" spans="1:10" ht="12.75">
      <c r="A14" s="430" t="s">
        <v>160</v>
      </c>
      <c r="B14" s="424"/>
      <c r="C14" s="442">
        <v>4635648</v>
      </c>
      <c r="D14" s="458">
        <f>C14/C$26</f>
        <v>0.26338419735042423</v>
      </c>
      <c r="E14" s="458">
        <f>D14</f>
        <v>0.26338419735042423</v>
      </c>
      <c r="F14" s="458">
        <f aca="true" t="shared" si="0" ref="F14:F24">D14+F15</f>
        <v>1</v>
      </c>
      <c r="G14" s="442">
        <v>62044</v>
      </c>
      <c r="H14" s="458">
        <f>G14/G$26</f>
        <v>0.5144055781715072</v>
      </c>
      <c r="I14" s="458">
        <f>H14</f>
        <v>0.5144055781715072</v>
      </c>
      <c r="J14" s="459">
        <f aca="true" t="shared" si="1" ref="J14:J22">H14+J15</f>
        <v>1</v>
      </c>
    </row>
    <row r="15" spans="1:10" ht="12.75">
      <c r="A15" s="431" t="s">
        <v>161</v>
      </c>
      <c r="B15" s="426" t="s">
        <v>162</v>
      </c>
      <c r="C15" s="444">
        <v>2709956</v>
      </c>
      <c r="D15" s="460">
        <f aca="true" t="shared" si="2" ref="D15:D24">C15/C$26</f>
        <v>0.153971911999135</v>
      </c>
      <c r="E15" s="460">
        <f>E14+D15</f>
        <v>0.41735610934955925</v>
      </c>
      <c r="F15" s="460">
        <f t="shared" si="0"/>
        <v>0.7366158026495757</v>
      </c>
      <c r="G15" s="444">
        <v>18291</v>
      </c>
      <c r="H15" s="460">
        <f aca="true" t="shared" si="3" ref="H15:H24">G15/G$26</f>
        <v>0.15165031961728836</v>
      </c>
      <c r="I15" s="460">
        <f>I14+H15</f>
        <v>0.6660558977887956</v>
      </c>
      <c r="J15" s="461">
        <f t="shared" si="1"/>
        <v>0.4855944218284928</v>
      </c>
    </row>
    <row r="16" spans="1:10" ht="12.75">
      <c r="A16" s="431" t="s">
        <v>163</v>
      </c>
      <c r="B16" s="426" t="s">
        <v>164</v>
      </c>
      <c r="C16" s="444">
        <v>2522226</v>
      </c>
      <c r="D16" s="460">
        <f t="shared" si="2"/>
        <v>0.14330563290102508</v>
      </c>
      <c r="E16" s="460">
        <f aca="true" t="shared" si="4" ref="E16:E24">E15+D16</f>
        <v>0.5606617422505843</v>
      </c>
      <c r="F16" s="460">
        <f t="shared" si="0"/>
        <v>0.5826438906504408</v>
      </c>
      <c r="G16" s="444">
        <v>13528</v>
      </c>
      <c r="H16" s="460">
        <f t="shared" si="3"/>
        <v>0.11216038072181274</v>
      </c>
      <c r="I16" s="460">
        <f aca="true" t="shared" si="5" ref="I16:I24">I15+H16</f>
        <v>0.7782162785106084</v>
      </c>
      <c r="J16" s="461">
        <f t="shared" si="1"/>
        <v>0.3339441022112044</v>
      </c>
    </row>
    <row r="17" spans="1:10" ht="12.75">
      <c r="A17" s="431" t="s">
        <v>165</v>
      </c>
      <c r="B17" s="426" t="s">
        <v>166</v>
      </c>
      <c r="C17" s="444">
        <v>4793678</v>
      </c>
      <c r="D17" s="460">
        <f t="shared" si="2"/>
        <v>0.2723630078009346</v>
      </c>
      <c r="E17" s="460">
        <f t="shared" si="4"/>
        <v>0.8330247500515189</v>
      </c>
      <c r="F17" s="460">
        <f t="shared" si="0"/>
        <v>0.43933825774941565</v>
      </c>
      <c r="G17" s="444">
        <v>19259</v>
      </c>
      <c r="H17" s="460">
        <f t="shared" si="3"/>
        <v>0.15967598849211942</v>
      </c>
      <c r="I17" s="460">
        <f t="shared" si="5"/>
        <v>0.9378922670027278</v>
      </c>
      <c r="J17" s="461">
        <f t="shared" si="1"/>
        <v>0.22178372148939168</v>
      </c>
    </row>
    <row r="18" spans="1:10" ht="12.75">
      <c r="A18" s="431" t="s">
        <v>167</v>
      </c>
      <c r="B18" s="426" t="s">
        <v>168</v>
      </c>
      <c r="C18" s="444">
        <v>1389365</v>
      </c>
      <c r="D18" s="460">
        <f t="shared" si="2"/>
        <v>0.07893972651758117</v>
      </c>
      <c r="E18" s="460">
        <f t="shared" si="4"/>
        <v>0.9119644765691001</v>
      </c>
      <c r="F18" s="460">
        <f t="shared" si="0"/>
        <v>0.16697524994848106</v>
      </c>
      <c r="G18" s="444">
        <v>4104</v>
      </c>
      <c r="H18" s="460">
        <f t="shared" si="3"/>
        <v>0.034026182915606114</v>
      </c>
      <c r="I18" s="460">
        <f t="shared" si="5"/>
        <v>0.9719184499183339</v>
      </c>
      <c r="J18" s="461">
        <f t="shared" si="1"/>
        <v>0.06210773299727227</v>
      </c>
    </row>
    <row r="19" spans="1:10" ht="12.75">
      <c r="A19" s="431" t="s">
        <v>169</v>
      </c>
      <c r="B19" s="426" t="s">
        <v>170</v>
      </c>
      <c r="C19" s="444">
        <v>624570</v>
      </c>
      <c r="D19" s="460">
        <f t="shared" si="2"/>
        <v>0.03548627249936891</v>
      </c>
      <c r="E19" s="460">
        <f t="shared" si="4"/>
        <v>0.9474507490684689</v>
      </c>
      <c r="F19" s="460">
        <f t="shared" si="0"/>
        <v>0.08803552343089989</v>
      </c>
      <c r="G19" s="444">
        <v>1570</v>
      </c>
      <c r="H19" s="460">
        <f t="shared" si="3"/>
        <v>0.013016838980872709</v>
      </c>
      <c r="I19" s="460">
        <f t="shared" si="5"/>
        <v>0.9849352888992066</v>
      </c>
      <c r="J19" s="461">
        <f t="shared" si="1"/>
        <v>0.028081550081666157</v>
      </c>
    </row>
    <row r="20" spans="1:10" ht="12.75">
      <c r="A20" s="431" t="s">
        <v>171</v>
      </c>
      <c r="B20" s="426" t="s">
        <v>252</v>
      </c>
      <c r="C20" s="444">
        <v>349621</v>
      </c>
      <c r="D20" s="460">
        <f t="shared" si="2"/>
        <v>0.019864460472808262</v>
      </c>
      <c r="E20" s="460">
        <f t="shared" si="4"/>
        <v>0.9673152095412771</v>
      </c>
      <c r="F20" s="460">
        <f t="shared" si="0"/>
        <v>0.05254925093153098</v>
      </c>
      <c r="G20" s="444">
        <v>777</v>
      </c>
      <c r="H20" s="460">
        <f t="shared" si="3"/>
        <v>0.0064420916484956015</v>
      </c>
      <c r="I20" s="460">
        <f t="shared" si="5"/>
        <v>0.9913773805477022</v>
      </c>
      <c r="J20" s="461">
        <f t="shared" si="1"/>
        <v>0.015064711100793446</v>
      </c>
    </row>
    <row r="21" spans="1:10" ht="12.75">
      <c r="A21" s="431" t="s">
        <v>252</v>
      </c>
      <c r="B21" s="426" t="s">
        <v>253</v>
      </c>
      <c r="C21" s="444">
        <v>230410</v>
      </c>
      <c r="D21" s="460">
        <f t="shared" si="2"/>
        <v>0.013091234043549305</v>
      </c>
      <c r="E21" s="460">
        <f t="shared" si="4"/>
        <v>0.9804064435848264</v>
      </c>
      <c r="F21" s="460">
        <f t="shared" si="0"/>
        <v>0.032684790458722725</v>
      </c>
      <c r="G21" s="444">
        <v>460</v>
      </c>
      <c r="H21" s="460">
        <f t="shared" si="3"/>
        <v>0.0038138509115932776</v>
      </c>
      <c r="I21" s="460">
        <f t="shared" si="5"/>
        <v>0.9951912314592954</v>
      </c>
      <c r="J21" s="461">
        <f t="shared" si="1"/>
        <v>0.008622619452297845</v>
      </c>
    </row>
    <row r="22" spans="1:10" ht="12.75">
      <c r="A22" s="431" t="s">
        <v>253</v>
      </c>
      <c r="B22" s="462" t="s">
        <v>254</v>
      </c>
      <c r="C22" s="444">
        <v>136962</v>
      </c>
      <c r="D22" s="460">
        <f t="shared" si="2"/>
        <v>0.007781787236112147</v>
      </c>
      <c r="E22" s="460">
        <f t="shared" si="4"/>
        <v>0.9881882308209385</v>
      </c>
      <c r="F22" s="460">
        <f t="shared" si="0"/>
        <v>0.01959355641517342</v>
      </c>
      <c r="G22" s="444">
        <v>248</v>
      </c>
      <c r="H22" s="460">
        <f t="shared" si="3"/>
        <v>0.0020561631001633322</v>
      </c>
      <c r="I22" s="460">
        <f t="shared" si="5"/>
        <v>0.9972473945594588</v>
      </c>
      <c r="J22" s="461">
        <f t="shared" si="1"/>
        <v>0.004808768540704568</v>
      </c>
    </row>
    <row r="23" spans="1:10" ht="12.75">
      <c r="A23" s="431" t="s">
        <v>254</v>
      </c>
      <c r="B23" s="426" t="s">
        <v>255</v>
      </c>
      <c r="C23" s="444">
        <v>125671</v>
      </c>
      <c r="D23" s="460">
        <f t="shared" si="2"/>
        <v>0.007140265064393406</v>
      </c>
      <c r="E23" s="460">
        <f t="shared" si="4"/>
        <v>0.9953284958853319</v>
      </c>
      <c r="F23" s="460">
        <f t="shared" si="0"/>
        <v>0.011811769179061276</v>
      </c>
      <c r="G23" s="444">
        <v>207</v>
      </c>
      <c r="H23" s="460">
        <f t="shared" si="3"/>
        <v>0.001716232910216975</v>
      </c>
      <c r="I23" s="460">
        <f t="shared" si="5"/>
        <v>0.9989636274696757</v>
      </c>
      <c r="J23" s="461">
        <f>H23+J24</f>
        <v>0.0027526054405412354</v>
      </c>
    </row>
    <row r="24" spans="1:10" ht="12.75">
      <c r="A24" s="433" t="s">
        <v>255</v>
      </c>
      <c r="B24" s="375" t="s">
        <v>256</v>
      </c>
      <c r="C24" s="446">
        <v>82220</v>
      </c>
      <c r="D24" s="463">
        <f t="shared" si="2"/>
        <v>0.00467150411466787</v>
      </c>
      <c r="E24" s="463">
        <f t="shared" si="4"/>
        <v>0.9999999999999998</v>
      </c>
      <c r="F24" s="463">
        <f t="shared" si="0"/>
        <v>0.00467150411466787</v>
      </c>
      <c r="G24" s="446">
        <v>125</v>
      </c>
      <c r="H24" s="463">
        <f t="shared" si="3"/>
        <v>0.0010363725303242602</v>
      </c>
      <c r="I24" s="463">
        <f t="shared" si="5"/>
        <v>1</v>
      </c>
      <c r="J24" s="464">
        <f>H24</f>
        <v>0.0010363725303242602</v>
      </c>
    </row>
    <row r="25" spans="4:6" ht="12.75">
      <c r="D25" s="448"/>
      <c r="F25" s="448"/>
    </row>
    <row r="26" spans="1:7" ht="12.75">
      <c r="A26" s="465" t="s">
        <v>309</v>
      </c>
      <c r="B26" s="420"/>
      <c r="C26" s="466">
        <f>SUM(C14:C25)</f>
        <v>17600327</v>
      </c>
      <c r="D26" s="466"/>
      <c r="E26" s="420"/>
      <c r="F26" s="466"/>
      <c r="G26" s="467">
        <f>SUM(G14:G25)</f>
        <v>120613</v>
      </c>
    </row>
    <row r="27" spans="1:7" ht="12.75">
      <c r="A27" s="410"/>
      <c r="D27" s="448"/>
      <c r="F27" s="448"/>
      <c r="G27" s="448"/>
    </row>
    <row r="28" spans="1:8" ht="12.75">
      <c r="A28" s="468" t="s">
        <v>190</v>
      </c>
      <c r="B28" s="424"/>
      <c r="C28" s="442"/>
      <c r="D28" s="442"/>
      <c r="E28" s="442"/>
      <c r="F28" s="424"/>
      <c r="G28" s="424"/>
      <c r="H28" s="438"/>
    </row>
    <row r="29" spans="1:8" ht="12.75">
      <c r="A29" s="469">
        <f>G14</f>
        <v>62044</v>
      </c>
      <c r="B29" s="444" t="s">
        <v>191</v>
      </c>
      <c r="C29" s="460">
        <f>H14</f>
        <v>0.5144055781715072</v>
      </c>
      <c r="D29" s="453" t="s">
        <v>264</v>
      </c>
      <c r="E29" s="426"/>
      <c r="F29" s="426"/>
      <c r="G29" s="460">
        <f>D14</f>
        <v>0.26338419735042423</v>
      </c>
      <c r="H29" s="454" t="s">
        <v>265</v>
      </c>
    </row>
    <row r="30" spans="1:8" ht="12.75">
      <c r="A30" s="470">
        <f>SUM(G15:G24)</f>
        <v>58569</v>
      </c>
      <c r="B30" s="446" t="s">
        <v>191</v>
      </c>
      <c r="C30" s="463">
        <f>SUM(H15:H24)</f>
        <v>0.4855944218284928</v>
      </c>
      <c r="D30" s="456" t="s">
        <v>257</v>
      </c>
      <c r="E30" s="375"/>
      <c r="F30" s="375"/>
      <c r="G30" s="463">
        <f>SUM(D15:D24)</f>
        <v>0.7366158026495756</v>
      </c>
      <c r="H30" s="457" t="s">
        <v>265</v>
      </c>
    </row>
    <row r="31" spans="1:9" ht="12.75">
      <c r="A31" s="410"/>
      <c r="B31" s="448"/>
      <c r="D31" s="471"/>
      <c r="E31" s="410"/>
      <c r="I31" s="471"/>
    </row>
    <row r="32" spans="1:5" ht="12.75">
      <c r="A32" s="410" t="s">
        <v>292</v>
      </c>
      <c r="D32" s="448"/>
      <c r="E32" s="410"/>
    </row>
    <row r="33" spans="1:8" ht="12.75">
      <c r="A33" s="410" t="s">
        <v>293</v>
      </c>
      <c r="D33" s="471"/>
      <c r="E33" s="410"/>
      <c r="F33" s="410"/>
      <c r="G33" s="471"/>
      <c r="H33" s="410"/>
    </row>
    <row r="34" spans="1:7" ht="12.75">
      <c r="A34" s="410"/>
      <c r="D34" s="448"/>
      <c r="F34" s="448"/>
      <c r="G34" s="448"/>
    </row>
    <row r="35" spans="1:5" ht="12.75">
      <c r="A35" s="410" t="s">
        <v>193</v>
      </c>
      <c r="D35" s="448"/>
      <c r="E35" s="410"/>
    </row>
    <row r="36" spans="1:5" ht="12.75">
      <c r="A36" s="410" t="s">
        <v>194</v>
      </c>
      <c r="D36" s="448"/>
      <c r="E36" s="410"/>
    </row>
    <row r="37" spans="1:7" ht="12.75">
      <c r="A37" s="410"/>
      <c r="D37" s="448"/>
      <c r="F37" s="448"/>
      <c r="G37" s="448"/>
    </row>
    <row r="38" spans="1:7" ht="12.75">
      <c r="A38" s="377" t="s">
        <v>319</v>
      </c>
      <c r="D38" s="448"/>
      <c r="F38" s="448"/>
      <c r="G38" s="448"/>
    </row>
    <row r="39" spans="1:14" ht="12.75">
      <c r="A39" s="465" t="s">
        <v>104</v>
      </c>
      <c r="B39" s="472" t="s">
        <v>310</v>
      </c>
      <c r="C39" s="472" t="s">
        <v>311</v>
      </c>
      <c r="D39" s="473" t="s">
        <v>312</v>
      </c>
      <c r="E39" s="473" t="s">
        <v>313</v>
      </c>
      <c r="F39" s="466" t="s">
        <v>314</v>
      </c>
      <c r="G39" s="466" t="s">
        <v>315</v>
      </c>
      <c r="H39" s="474" t="s">
        <v>317</v>
      </c>
      <c r="I39" s="474" t="s">
        <v>318</v>
      </c>
      <c r="J39" s="474" t="s">
        <v>317</v>
      </c>
      <c r="K39" s="472" t="s">
        <v>318</v>
      </c>
      <c r="L39" s="474" t="s">
        <v>317</v>
      </c>
      <c r="M39" s="474" t="s">
        <v>318</v>
      </c>
      <c r="N39" s="475" t="s">
        <v>318</v>
      </c>
    </row>
    <row r="40" spans="1:14" ht="12.75">
      <c r="A40" s="476"/>
      <c r="B40" s="452"/>
      <c r="C40" s="452"/>
      <c r="D40" s="453"/>
      <c r="E40" s="453"/>
      <c r="F40" s="444"/>
      <c r="G40" s="444"/>
      <c r="H40" s="477" t="s">
        <v>316</v>
      </c>
      <c r="I40" s="449" t="s">
        <v>316</v>
      </c>
      <c r="J40" s="450" t="s">
        <v>43</v>
      </c>
      <c r="K40" s="449" t="s">
        <v>43</v>
      </c>
      <c r="L40" s="449" t="str">
        <f>"=&gt;60lcd"</f>
        <v>=&gt;60lcd</v>
      </c>
      <c r="M40" s="449" t="s">
        <v>375</v>
      </c>
      <c r="N40" s="478" t="s">
        <v>375</v>
      </c>
    </row>
    <row r="41" spans="1:14" ht="12.75">
      <c r="A41" s="476"/>
      <c r="B41" s="452"/>
      <c r="C41" s="452"/>
      <c r="D41" s="453"/>
      <c r="E41" s="453"/>
      <c r="F41" s="444"/>
      <c r="G41" s="444"/>
      <c r="H41" s="445"/>
      <c r="I41" s="455"/>
      <c r="J41" s="456"/>
      <c r="K41" s="455"/>
      <c r="L41" s="456" t="s">
        <v>377</v>
      </c>
      <c r="M41" s="456" t="s">
        <v>376</v>
      </c>
      <c r="N41" s="457" t="s">
        <v>376</v>
      </c>
    </row>
    <row r="42" spans="1:14" ht="12.75">
      <c r="A42" s="479">
        <v>2010</v>
      </c>
      <c r="B42" s="452">
        <f>Hsehold!B$22</f>
        <v>14151425.525217257</v>
      </c>
      <c r="C42" s="452">
        <f>B42*$D$14</f>
        <v>3727261.853323653</v>
      </c>
      <c r="D42" s="444">
        <f aca="true" t="shared" si="6" ref="D42:D61">B42*SUM(D$15:D$24)</f>
        <v>10424163.671893602</v>
      </c>
      <c r="E42" s="452">
        <f>Hsehold!B$11/Wcon!$F$29</f>
        <v>96976.46453077343</v>
      </c>
      <c r="F42" s="444">
        <f>$H$14*E42</f>
        <v>49885.23430598117</v>
      </c>
      <c r="G42" s="444">
        <f>SUM($H$15:$H$24)*E42</f>
        <v>47091.23022479226</v>
      </c>
      <c r="H42" s="444">
        <f>C42/F42</f>
        <v>74.71673542639368</v>
      </c>
      <c r="I42" s="444">
        <f>D42/G42</f>
        <v>221.36103945752433</v>
      </c>
      <c r="J42" s="444">
        <f>(H42*1000)/(365*Wcon!$F$29)</f>
        <v>28.900661404750206</v>
      </c>
      <c r="K42" s="444">
        <f>(I42*1000)/(365*Wcon!$F$29)</f>
        <v>85.62312597112683</v>
      </c>
      <c r="L42" s="426"/>
      <c r="M42" s="453" t="s">
        <v>377</v>
      </c>
      <c r="N42" s="454" t="s">
        <v>378</v>
      </c>
    </row>
    <row r="43" spans="1:14" ht="12.75">
      <c r="A43" s="479">
        <v>2011</v>
      </c>
      <c r="B43" s="452">
        <f>Hsehold!C$22</f>
        <v>14108248.102207795</v>
      </c>
      <c r="C43" s="452">
        <f aca="true" t="shared" si="7" ref="C43:C61">B43*$D$14</f>
        <v>3715889.6024206458</v>
      </c>
      <c r="D43" s="444">
        <f t="shared" si="6"/>
        <v>10392358.499787146</v>
      </c>
      <c r="E43" s="452">
        <f>Hsehold!C$11/Wcon!$F$29</f>
        <v>100179.1129985766</v>
      </c>
      <c r="F43" s="444">
        <f aca="true" t="shared" si="8" ref="F43:F61">$H$14*E43</f>
        <v>51532.69454274155</v>
      </c>
      <c r="G43" s="444">
        <f aca="true" t="shared" si="9" ref="G43:G61">SUM($H$15:$H$24)*E43</f>
        <v>48646.41845583505</v>
      </c>
      <c r="H43" s="444">
        <f aca="true" t="shared" si="10" ref="H43:H61">C43/F43</f>
        <v>72.10741909369135</v>
      </c>
      <c r="I43" s="444">
        <f aca="true" t="shared" si="11" ref="I43:I61">D43/G43</f>
        <v>213.63049592689183</v>
      </c>
      <c r="J43" s="444">
        <f>(H43*1000)/(365*Wcon!$F$29)</f>
        <v>27.891369879913647</v>
      </c>
      <c r="K43" s="444">
        <f>(I43*1000)/(365*Wcon!$F$29)</f>
        <v>82.6329281288564</v>
      </c>
      <c r="L43" s="426"/>
      <c r="M43" s="426"/>
      <c r="N43" s="432"/>
    </row>
    <row r="44" spans="1:14" ht="12.75">
      <c r="A44" s="479">
        <f>A43+1</f>
        <v>2012</v>
      </c>
      <c r="B44" s="452">
        <f>Hsehold!D$22</f>
        <v>14064886.820363447</v>
      </c>
      <c r="C44" s="452">
        <f t="shared" si="7"/>
        <v>3704468.926005987</v>
      </c>
      <c r="D44" s="444">
        <f t="shared" si="6"/>
        <v>10360417.894357458</v>
      </c>
      <c r="E44" s="452">
        <f>Hsehold!D$11/Wcon!$F$29</f>
        <v>103487.5289560274</v>
      </c>
      <c r="F44" s="444">
        <f t="shared" si="8"/>
        <v>53234.562166165866</v>
      </c>
      <c r="G44" s="444">
        <f t="shared" si="9"/>
        <v>50252.96678986153</v>
      </c>
      <c r="H44" s="444">
        <f t="shared" si="10"/>
        <v>69.58766589350152</v>
      </c>
      <c r="I44" s="444">
        <f t="shared" si="11"/>
        <v>206.16529841274283</v>
      </c>
      <c r="J44" s="444">
        <f>(H44*1000)/(365*Wcon!$F$29)</f>
        <v>26.916721648207083</v>
      </c>
      <c r="K44" s="444">
        <f>(I44*1000)/(365*Wcon!$F$29)</f>
        <v>79.74536693597551</v>
      </c>
      <c r="L44" s="426"/>
      <c r="M44" s="426"/>
      <c r="N44" s="432"/>
    </row>
    <row r="45" spans="1:14" ht="12.75">
      <c r="A45" s="479">
        <f aca="true" t="shared" si="12" ref="A45:A61">A44+1</f>
        <v>2013</v>
      </c>
      <c r="B45" s="452">
        <f>Hsehold!E$22</f>
        <v>17909086.29882256</v>
      </c>
      <c r="C45" s="452">
        <f t="shared" si="7"/>
        <v>4716970.320094859</v>
      </c>
      <c r="D45" s="444">
        <f t="shared" si="6"/>
        <v>13192115.978727696</v>
      </c>
      <c r="E45" s="452">
        <f>Hsehold!E$11/Wcon!$F$29</f>
        <v>106905.20537526395</v>
      </c>
      <c r="F45" s="444">
        <f t="shared" si="8"/>
        <v>54992.63398060637</v>
      </c>
      <c r="G45" s="444">
        <f t="shared" si="9"/>
        <v>51912.57139465758</v>
      </c>
      <c r="H45" s="444">
        <f t="shared" si="10"/>
        <v>85.77458431538922</v>
      </c>
      <c r="I45" s="444">
        <f t="shared" si="11"/>
        <v>254.12179794440547</v>
      </c>
      <c r="J45" s="444">
        <f>(H45*1000)/(365*Wcon!$F$29)</f>
        <v>33.17787111930716</v>
      </c>
      <c r="K45" s="444">
        <f>(I45*1000)/(365*Wcon!$F$29)</f>
        <v>98.29508738631586</v>
      </c>
      <c r="L45" s="426"/>
      <c r="M45" s="426"/>
      <c r="N45" s="432"/>
    </row>
    <row r="46" spans="1:14" ht="12.75">
      <c r="A46" s="479">
        <f t="shared" si="12"/>
        <v>2014</v>
      </c>
      <c r="B46" s="452">
        <f>Hsehold!F$22</f>
        <v>21841970.929924067</v>
      </c>
      <c r="C46" s="452">
        <f t="shared" si="7"/>
        <v>5752829.98192935</v>
      </c>
      <c r="D46" s="444">
        <f t="shared" si="6"/>
        <v>16089140.947994715</v>
      </c>
      <c r="E46" s="452">
        <f>Hsehold!F$11/Wcon!$F$29</f>
        <v>110435.75058385552</v>
      </c>
      <c r="F46" s="444">
        <f t="shared" si="8"/>
        <v>56808.76612989257</v>
      </c>
      <c r="G46" s="444">
        <f t="shared" si="9"/>
        <v>53626.984453962956</v>
      </c>
      <c r="H46" s="444">
        <f t="shared" si="10"/>
        <v>101.2665891875837</v>
      </c>
      <c r="I46" s="444">
        <f t="shared" si="11"/>
        <v>300.01949786691296</v>
      </c>
      <c r="J46" s="444">
        <f>(H46*1000)/(365*Wcon!$F$29)</f>
        <v>39.170225907520695</v>
      </c>
      <c r="K46" s="444">
        <f>(I46*1000)/(365*Wcon!$F$29)</f>
        <v>116.0484578614483</v>
      </c>
      <c r="L46" s="426"/>
      <c r="M46" s="426"/>
      <c r="N46" s="432"/>
    </row>
    <row r="47" spans="1:14" ht="12.75">
      <c r="A47" s="479">
        <f t="shared" si="12"/>
        <v>2015</v>
      </c>
      <c r="B47" s="452">
        <f>Hsehold!G$22</f>
        <v>25864510.969561353</v>
      </c>
      <c r="C47" s="452">
        <f t="shared" si="7"/>
        <v>6812303.46157916</v>
      </c>
      <c r="D47" s="444">
        <f t="shared" si="6"/>
        <v>19052207.50798219</v>
      </c>
      <c r="E47" s="452">
        <f>Hsehold!G$11/Wcon!$F$29</f>
        <v>114082.89207441629</v>
      </c>
      <c r="F47" s="444">
        <f t="shared" si="8"/>
        <v>58684.87605701777</v>
      </c>
      <c r="G47" s="444">
        <f t="shared" si="9"/>
        <v>55398.01601739852</v>
      </c>
      <c r="H47" s="444">
        <f t="shared" si="10"/>
        <v>116.08277837990795</v>
      </c>
      <c r="I47" s="444">
        <f t="shared" si="11"/>
        <v>343.91497886853165</v>
      </c>
      <c r="J47" s="444">
        <f>(H47*1000)/(365*Wcon!$F$29)</f>
        <v>44.901173127209056</v>
      </c>
      <c r="K47" s="444">
        <f>(I47*1000)/(365*Wcon!$F$29)</f>
        <v>133.02736394435902</v>
      </c>
      <c r="L47" s="444">
        <f>F47*Wcon!$F$29*60*365/1000</f>
        <v>9103062.998749666</v>
      </c>
      <c r="M47" s="452">
        <f>D47-(L47-C47)</f>
        <v>16761447.970811684</v>
      </c>
      <c r="N47" s="480">
        <f>M47*1000/(G47*Wcon!$F$29*365)</f>
        <v>117.03269757656304</v>
      </c>
    </row>
    <row r="48" spans="1:14" ht="12.75">
      <c r="A48" s="479">
        <f t="shared" si="12"/>
        <v>2016</v>
      </c>
      <c r="B48" s="452">
        <f>Hsehold!H$22</f>
        <v>26223804.343166385</v>
      </c>
      <c r="C48" s="452">
        <f t="shared" si="7"/>
        <v>6906935.658399447</v>
      </c>
      <c r="D48" s="444">
        <f t="shared" si="6"/>
        <v>19316868.684766933</v>
      </c>
      <c r="E48" s="452">
        <f>Hsehold!H$11/Wcon!$F$29</f>
        <v>117850.48044003194</v>
      </c>
      <c r="F48" s="444">
        <f t="shared" si="8"/>
        <v>60622.94452854453</v>
      </c>
      <c r="G48" s="444">
        <f t="shared" si="9"/>
        <v>57227.53591148741</v>
      </c>
      <c r="H48" s="444">
        <f t="shared" si="10"/>
        <v>113.93269845458086</v>
      </c>
      <c r="I48" s="444">
        <f t="shared" si="11"/>
        <v>337.54500131971287</v>
      </c>
      <c r="J48" s="444">
        <f>(H48*1000)/(365*Wcon!$F$29)</f>
        <v>44.06951564698839</v>
      </c>
      <c r="K48" s="444">
        <f>(I48*1000)/(365*Wcon!$F$29)</f>
        <v>130.56343717823802</v>
      </c>
      <c r="L48" s="444">
        <f>F48*Wcon!$F$29*60*365/1000</f>
        <v>9403691.722495412</v>
      </c>
      <c r="M48" s="452">
        <f>D48-(L48-C48)</f>
        <v>16820112.620670967</v>
      </c>
      <c r="N48" s="480">
        <f>M48*1000/(G48*Wcon!$F$29*365)</f>
        <v>113.68776965449248</v>
      </c>
    </row>
    <row r="49" spans="1:14" ht="12.75">
      <c r="A49" s="479">
        <f t="shared" si="12"/>
        <v>2017</v>
      </c>
      <c r="B49" s="452">
        <f>Hsehold!I$22</f>
        <v>26589964.567418315</v>
      </c>
      <c r="C49" s="452">
        <f t="shared" si="7"/>
        <v>7003376.475165693</v>
      </c>
      <c r="D49" s="444">
        <f t="shared" si="6"/>
        <v>19586588.092252616</v>
      </c>
      <c r="E49" s="452">
        <f>Hsehold!I$11/Wcon!$F$29</f>
        <v>121742.49343965376</v>
      </c>
      <c r="F49" s="444">
        <f t="shared" si="8"/>
        <v>62625.01772586602</v>
      </c>
      <c r="G49" s="444">
        <f t="shared" si="9"/>
        <v>59117.47571378774</v>
      </c>
      <c r="H49" s="444">
        <f t="shared" si="10"/>
        <v>111.83033122357246</v>
      </c>
      <c r="I49" s="444">
        <f t="shared" si="11"/>
        <v>331.3163807446621</v>
      </c>
      <c r="J49" s="444">
        <f>(H49*1000)/(365*Wcon!$F$29)</f>
        <v>43.256313582617246</v>
      </c>
      <c r="K49" s="444">
        <f>(I49*1000)/(365*Wcon!$F$29)</f>
        <v>128.15418772119318</v>
      </c>
      <c r="L49" s="444">
        <f>F49*Wcon!$F$29*60*365/1000</f>
        <v>9714248.712095568</v>
      </c>
      <c r="M49" s="452">
        <f>D49-(L49-C49)</f>
        <v>16875715.85532274</v>
      </c>
      <c r="N49" s="480">
        <f>M49*1000/(G49*Wcon!$F$29*365)</f>
        <v>110.41706944906808</v>
      </c>
    </row>
    <row r="50" spans="1:14" ht="12.75">
      <c r="A50" s="479">
        <f t="shared" si="12"/>
        <v>2018</v>
      </c>
      <c r="B50" s="452">
        <f>Hsehold!J$22</f>
        <v>26963072.046688054</v>
      </c>
      <c r="C50" s="452">
        <f t="shared" si="7"/>
        <v>7101647.089118593</v>
      </c>
      <c r="D50" s="444">
        <f t="shared" si="6"/>
        <v>19861424.957569458</v>
      </c>
      <c r="E50" s="452">
        <f>Hsehold!J$11/Wcon!$F$29</f>
        <v>125763.04019775218</v>
      </c>
      <c r="F50" s="444">
        <f t="shared" si="8"/>
        <v>64693.20940553122</v>
      </c>
      <c r="G50" s="444">
        <f t="shared" si="9"/>
        <v>61069.830792220964</v>
      </c>
      <c r="H50" s="444">
        <f t="shared" si="10"/>
        <v>109.77422753293499</v>
      </c>
      <c r="I50" s="444">
        <f t="shared" si="11"/>
        <v>325.22482377828027</v>
      </c>
      <c r="J50" s="444">
        <f>(H50*1000)/(365*Wcon!$F$29)</f>
        <v>42.46100639692374</v>
      </c>
      <c r="K50" s="444">
        <f>(I50*1000)/(365*Wcon!$F$29)</f>
        <v>125.7979548864947</v>
      </c>
      <c r="L50" s="444">
        <f>F50*Wcon!$F$29*60*365/1000</f>
        <v>10035061.848604368</v>
      </c>
      <c r="M50" s="452">
        <f>D50-(L50-C50)</f>
        <v>16928010.198083684</v>
      </c>
      <c r="N50" s="480">
        <f>M50*1000/(G50*Wcon!$F$29*365)</f>
        <v>107.2183424787489</v>
      </c>
    </row>
    <row r="51" spans="1:14" ht="12.75">
      <c r="A51" s="479">
        <f t="shared" si="12"/>
        <v>2019</v>
      </c>
      <c r="B51" s="452">
        <f>Hsehold!K$22</f>
        <v>27343208.650334667</v>
      </c>
      <c r="C51" s="452">
        <f t="shared" si="7"/>
        <v>7201769.063353573</v>
      </c>
      <c r="D51" s="444">
        <f t="shared" si="6"/>
        <v>20141439.58698109</v>
      </c>
      <c r="E51" s="452">
        <f>Hsehold!K$11/Wcon!$F$29</f>
        <v>129916.36554266393</v>
      </c>
      <c r="F51" s="444">
        <f t="shared" si="8"/>
        <v>66829.70313091492</v>
      </c>
      <c r="G51" s="444">
        <f t="shared" si="9"/>
        <v>63086.662411749014</v>
      </c>
      <c r="H51" s="444">
        <f t="shared" si="10"/>
        <v>107.7629964814566</v>
      </c>
      <c r="I51" s="444">
        <f t="shared" si="11"/>
        <v>319.26620963910796</v>
      </c>
      <c r="J51" s="444">
        <f>(H51*1000)/(365*Wcon!$F$29)</f>
        <v>41.683056085072145</v>
      </c>
      <c r="K51" s="444">
        <f>(I51*1000)/(365*Wcon!$F$29)</f>
        <v>123.49314474329157</v>
      </c>
      <c r="L51" s="444">
        <f>F51*Wcon!$F$29*60*365/1000</f>
        <v>10366469.84135032</v>
      </c>
      <c r="M51" s="452">
        <f aca="true" t="shared" si="13" ref="M51:M61">D51-(L51-C51)</f>
        <v>16976738.808984343</v>
      </c>
      <c r="N51" s="480">
        <f>M51*1000/(G51*Wcon!$F$29*365)</f>
        <v>104.08942488709144</v>
      </c>
    </row>
    <row r="52" spans="1:14" ht="12.75">
      <c r="A52" s="479">
        <f t="shared" si="12"/>
        <v>2020</v>
      </c>
      <c r="B52" s="452">
        <f>Hsehold!L$22</f>
        <v>27730457.747347962</v>
      </c>
      <c r="C52" s="452">
        <f t="shared" si="7"/>
        <v>7303764.355945096</v>
      </c>
      <c r="D52" s="444">
        <f t="shared" si="6"/>
        <v>20426693.391402863</v>
      </c>
      <c r="E52" s="452">
        <f>Hsehold!L$11/Wcon!$F$29</f>
        <v>134206.85448821358</v>
      </c>
      <c r="F52" s="444">
        <f t="shared" si="8"/>
        <v>69036.75457758884</v>
      </c>
      <c r="G52" s="444">
        <f t="shared" si="9"/>
        <v>65170.09991062473</v>
      </c>
      <c r="H52" s="444">
        <f t="shared" si="10"/>
        <v>105.79530281564092</v>
      </c>
      <c r="I52" s="444">
        <f t="shared" si="11"/>
        <v>313.4365824115099</v>
      </c>
      <c r="J52" s="444">
        <f>(H52*1000)/(365*Wcon!$F$29)</f>
        <v>40.921946166932955</v>
      </c>
      <c r="K52" s="444">
        <f>(I52*1000)/(365*Wcon!$F$29)</f>
        <v>121.238227131337</v>
      </c>
      <c r="L52" s="444">
        <f>F52*Wcon!$F$29*60*365/1000</f>
        <v>10708822.585540054</v>
      </c>
      <c r="M52" s="452">
        <f t="shared" si="13"/>
        <v>17021635.161807906</v>
      </c>
      <c r="N52" s="480">
        <f>M52*1000/(G52*Wcon!$F$29*365)</f>
        <v>101.02823939006068</v>
      </c>
    </row>
    <row r="53" spans="1:14" ht="12.75">
      <c r="A53" s="479">
        <f t="shared" si="12"/>
        <v>2021</v>
      </c>
      <c r="B53" s="452">
        <f>Hsehold!M$22</f>
        <v>27841402.194166843</v>
      </c>
      <c r="C53" s="452">
        <f t="shared" si="7"/>
        <v>7332985.370020974</v>
      </c>
      <c r="D53" s="444">
        <f t="shared" si="6"/>
        <v>20508416.824145865</v>
      </c>
      <c r="E53" s="452">
        <f>Hsehold!M$11/Wcon!$F$29</f>
        <v>138639.0368633399</v>
      </c>
      <c r="F53" s="444">
        <f t="shared" si="8"/>
        <v>71316.69391482726</v>
      </c>
      <c r="G53" s="444">
        <f t="shared" si="9"/>
        <v>67322.34294851263</v>
      </c>
      <c r="H53" s="444">
        <f t="shared" si="10"/>
        <v>102.82284507998475</v>
      </c>
      <c r="I53" s="444">
        <f t="shared" si="11"/>
        <v>304.63017069727465</v>
      </c>
      <c r="J53" s="444">
        <f>(H53*1000)/(365*Wcon!$F$29)</f>
        <v>39.77219043860942</v>
      </c>
      <c r="K53" s="444">
        <f>(I53*1000)/(365*Wcon!$F$29)</f>
        <v>117.83188019056807</v>
      </c>
      <c r="L53" s="444">
        <f>F53*Wcon!$F$29*60*365/1000</f>
        <v>11062481.531672</v>
      </c>
      <c r="M53" s="452">
        <f t="shared" si="13"/>
        <v>16778920.66249484</v>
      </c>
      <c r="N53" s="480">
        <f>M53*1000/(G53*Wcon!$F$29*365)</f>
        <v>96.40391972638194</v>
      </c>
    </row>
    <row r="54" spans="1:14" ht="12.75">
      <c r="A54" s="479">
        <f t="shared" si="12"/>
        <v>2022</v>
      </c>
      <c r="B54" s="452">
        <f>Hsehold!N$22</f>
        <v>27953344.018812515</v>
      </c>
      <c r="C54" s="452">
        <f t="shared" si="7"/>
        <v>7362469.077655217</v>
      </c>
      <c r="D54" s="444">
        <f t="shared" si="6"/>
        <v>20590874.941157293</v>
      </c>
      <c r="E54" s="452">
        <f>Hsehold!N$11/Wcon!$F$29</f>
        <v>143217.59209461653</v>
      </c>
      <c r="F54" s="444">
        <f t="shared" si="8"/>
        <v>73671.9282657623</v>
      </c>
      <c r="G54" s="444">
        <f t="shared" si="9"/>
        <v>69545.66382885423</v>
      </c>
      <c r="H54" s="444">
        <f t="shared" si="10"/>
        <v>99.93588129112119</v>
      </c>
      <c r="I54" s="444">
        <f t="shared" si="11"/>
        <v>296.07704934458064</v>
      </c>
      <c r="J54" s="444">
        <f>(H54*1000)/(365*Wcon!$F$29)</f>
        <v>38.655504029954486</v>
      </c>
      <c r="K54" s="444">
        <f>(I54*1000)/(365*Wcon!$F$29)</f>
        <v>114.52350673504594</v>
      </c>
      <c r="L54" s="444">
        <f>F54*Wcon!$F$29*60*365/1000</f>
        <v>11427820.067150036</v>
      </c>
      <c r="M54" s="452">
        <f t="shared" si="13"/>
        <v>16525523.951662473</v>
      </c>
      <c r="N54" s="480">
        <f>M54*1000/(G54*Wcon!$F$29*365)</f>
        <v>91.9126049275112</v>
      </c>
    </row>
    <row r="55" spans="1:14" ht="12.75">
      <c r="A55" s="479">
        <f t="shared" si="12"/>
        <v>2023</v>
      </c>
      <c r="B55" s="452">
        <f>Hsehold!O$22</f>
        <v>28066299.222364396</v>
      </c>
      <c r="C55" s="452">
        <f t="shared" si="7"/>
        <v>7392219.693279282</v>
      </c>
      <c r="D55" s="444">
        <f t="shared" si="6"/>
        <v>20674079.529085107</v>
      </c>
      <c r="E55" s="452">
        <f>Hsehold!O$11/Wcon!$F$29</f>
        <v>147947.3541467145</v>
      </c>
      <c r="F55" s="444">
        <f t="shared" si="8"/>
        <v>76104.94424878541</v>
      </c>
      <c r="G55" s="444">
        <f t="shared" si="9"/>
        <v>71842.40989792909</v>
      </c>
      <c r="H55" s="444">
        <f t="shared" si="10"/>
        <v>97.13192442680565</v>
      </c>
      <c r="I55" s="444">
        <f t="shared" si="11"/>
        <v>287.7698501269381</v>
      </c>
      <c r="J55" s="444">
        <f>(H55*1000)/(365*Wcon!$F$29)</f>
        <v>37.57092495317001</v>
      </c>
      <c r="K55" s="444">
        <f>(I55*1000)/(365*Wcon!$F$29)</f>
        <v>111.31025671226614</v>
      </c>
      <c r="L55" s="444">
        <f>F55*Wcon!$F$29*60*365/1000</f>
        <v>11805223.91049982</v>
      </c>
      <c r="M55" s="452">
        <f t="shared" si="13"/>
        <v>16261075.31186457</v>
      </c>
      <c r="N55" s="480">
        <f>M55*1000/(G55*Wcon!$F$29*365)</f>
        <v>87.55042587674701</v>
      </c>
    </row>
    <row r="56" spans="1:14" ht="12.75">
      <c r="A56" s="479">
        <f t="shared" si="12"/>
        <v>2024</v>
      </c>
      <c r="B56" s="452">
        <f>Hsehold!P$22</f>
        <v>28180284.118400868</v>
      </c>
      <c r="C56" s="452">
        <f t="shared" si="7"/>
        <v>7422241.51363192</v>
      </c>
      <c r="D56" s="444">
        <f t="shared" si="6"/>
        <v>20758042.604768943</v>
      </c>
      <c r="E56" s="452">
        <f>Hsehold!P$11/Wcon!$F$29</f>
        <v>152833.31662602464</v>
      </c>
      <c r="F56" s="444">
        <f t="shared" si="8"/>
        <v>78618.31060287922</v>
      </c>
      <c r="G56" s="444">
        <f t="shared" si="9"/>
        <v>74215.00602314541</v>
      </c>
      <c r="H56" s="444">
        <f t="shared" si="10"/>
        <v>94.40856025415658</v>
      </c>
      <c r="I56" s="444">
        <f t="shared" si="11"/>
        <v>279.7014204687276</v>
      </c>
      <c r="J56" s="444">
        <f>(H56*1000)/(365*Wcon!$F$29)</f>
        <v>36.517519375605715</v>
      </c>
      <c r="K56" s="444">
        <f>(I56*1000)/(365*Wcon!$F$29)</f>
        <v>108.18936348413918</v>
      </c>
      <c r="L56" s="444">
        <f>F56*Wcon!$F$29*60*365/1000</f>
        <v>12195091.518604238</v>
      </c>
      <c r="M56" s="452">
        <f t="shared" si="13"/>
        <v>15985192.599796627</v>
      </c>
      <c r="N56" s="480">
        <f>M56*1000/(G56*Wcon!$F$29*365)</f>
        <v>83.31362669744452</v>
      </c>
    </row>
    <row r="57" spans="1:14" ht="12.75">
      <c r="A57" s="479">
        <f t="shared" si="12"/>
        <v>2025</v>
      </c>
      <c r="B57" s="452">
        <f>Hsehold!Q$22</f>
        <v>28295315.340931945</v>
      </c>
      <c r="C57" s="452">
        <f t="shared" si="7"/>
        <v>7452538.919848505</v>
      </c>
      <c r="D57" s="444">
        <f t="shared" si="6"/>
        <v>20842776.421083435</v>
      </c>
      <c r="E57" s="452">
        <f>Hsehold!Q$11/Wcon!$F$29</f>
        <v>157880.63805282596</v>
      </c>
      <c r="F57" s="444">
        <f t="shared" si="8"/>
        <v>81214.6808996504</v>
      </c>
      <c r="G57" s="444">
        <f t="shared" si="9"/>
        <v>76665.95715317556</v>
      </c>
      <c r="H57" s="444">
        <f t="shared" si="10"/>
        <v>91.76344519603458</v>
      </c>
      <c r="I57" s="444">
        <f t="shared" si="11"/>
        <v>271.8648171239862</v>
      </c>
      <c r="J57" s="444">
        <f>(H57*1000)/(365*Wcon!$F$29)</f>
        <v>35.494380794468164</v>
      </c>
      <c r="K57" s="444">
        <f>(I57*1000)/(365*Wcon!$F$29)</f>
        <v>105.15814138192593</v>
      </c>
      <c r="L57" s="444">
        <f>F57*Wcon!$F$29*60*365/1000</f>
        <v>12597834.507387701</v>
      </c>
      <c r="M57" s="452">
        <f t="shared" si="13"/>
        <v>15697480.83354424</v>
      </c>
      <c r="N57" s="480">
        <f>M57*1000/(G57*Wcon!$F$29*365)</f>
        <v>79.19856143369363</v>
      </c>
    </row>
    <row r="58" spans="1:14" ht="12.75">
      <c r="A58" s="479">
        <f t="shared" si="12"/>
        <v>2026</v>
      </c>
      <c r="B58" s="452">
        <f>Hsehold!R$22</f>
        <v>28411409.852572434</v>
      </c>
      <c r="C58" s="452">
        <f t="shared" si="7"/>
        <v>7483116.3796137255</v>
      </c>
      <c r="D58" s="444">
        <f t="shared" si="6"/>
        <v>20928293.472958703</v>
      </c>
      <c r="E58" s="452">
        <f>Hsehold!R$11/Wcon!$F$29</f>
        <v>163094.6473075686</v>
      </c>
      <c r="F58" s="444">
        <f t="shared" si="8"/>
        <v>83896.79634492789</v>
      </c>
      <c r="G58" s="444">
        <f t="shared" si="9"/>
        <v>79197.85096264072</v>
      </c>
      <c r="H58" s="444">
        <f t="shared" si="10"/>
        <v>89.19430425982087</v>
      </c>
      <c r="I58" s="444">
        <f t="shared" si="11"/>
        <v>264.25330004006065</v>
      </c>
      <c r="J58" s="444">
        <f>(H58*1000)/(365*Wcon!$F$29)</f>
        <v>34.5006292356659</v>
      </c>
      <c r="K58" s="444">
        <f>(I58*1000)/(365*Wcon!$F$29)</f>
        <v>102.21398333267989</v>
      </c>
      <c r="L58" s="444">
        <f>F58*Wcon!$F$29*60*365/1000</f>
        <v>13013878.08639362</v>
      </c>
      <c r="M58" s="452">
        <f t="shared" si="13"/>
        <v>15397531.766178807</v>
      </c>
      <c r="N58" s="480">
        <f>M58*1000/(G58*Wcon!$F$29*365)</f>
        <v>75.20169082807257</v>
      </c>
    </row>
    <row r="59" spans="1:14" ht="12.75">
      <c r="A59" s="479">
        <f t="shared" si="12"/>
        <v>2027</v>
      </c>
      <c r="B59" s="452">
        <f>Hsehold!S$22</f>
        <v>28528584.9529639</v>
      </c>
      <c r="C59" s="452">
        <f t="shared" si="7"/>
        <v>7513978.449379787</v>
      </c>
      <c r="D59" s="444">
        <f t="shared" si="6"/>
        <v>21014606.50358411</v>
      </c>
      <c r="E59" s="452">
        <f>Hsehold!S$11/Wcon!$F$29</f>
        <v>168480.84925701926</v>
      </c>
      <c r="F59" s="444">
        <f t="shared" si="8"/>
        <v>86667.48867288354</v>
      </c>
      <c r="G59" s="444">
        <f t="shared" si="9"/>
        <v>81813.36058413572</v>
      </c>
      <c r="H59" s="444">
        <f t="shared" si="10"/>
        <v>86.69892902678228</v>
      </c>
      <c r="I59" s="444">
        <f t="shared" si="11"/>
        <v>256.8603264007592</v>
      </c>
      <c r="J59" s="444">
        <f>(H59*1000)/(365*Wcon!$F$29)</f>
        <v>33.53541047608968</v>
      </c>
      <c r="K59" s="444">
        <f>(I59*1000)/(365*Wcon!$F$29)</f>
        <v>99.3543585551201</v>
      </c>
      <c r="L59" s="444">
        <f>F59*Wcon!$F$29*60*365/1000</f>
        <v>13443661.507713746</v>
      </c>
      <c r="M59" s="452">
        <f t="shared" si="13"/>
        <v>15084923.44525015</v>
      </c>
      <c r="N59" s="480">
        <f>M59*1000/(G59*Wcon!$F$29*365)</f>
        <v>71.3195791936577</v>
      </c>
    </row>
    <row r="60" spans="1:14" ht="12.75">
      <c r="A60" s="479">
        <f t="shared" si="12"/>
        <v>2028</v>
      </c>
      <c r="B60" s="452">
        <f>Hsehold!T$22</f>
        <v>28646858.28745457</v>
      </c>
      <c r="C60" s="452">
        <f t="shared" si="7"/>
        <v>7545129.776652571</v>
      </c>
      <c r="D60" s="444">
        <f t="shared" si="6"/>
        <v>21101728.510801997</v>
      </c>
      <c r="E60" s="452">
        <f>Hsehold!T$11/Wcon!$F$29</f>
        <v>174044.93056621094</v>
      </c>
      <c r="F60" s="444">
        <f t="shared" si="8"/>
        <v>89529.68313573157</v>
      </c>
      <c r="G60" s="444">
        <f t="shared" si="9"/>
        <v>84515.24743047937</v>
      </c>
      <c r="H60" s="444">
        <f t="shared" si="10"/>
        <v>84.2751757002621</v>
      </c>
      <c r="I60" s="444">
        <f t="shared" si="11"/>
        <v>249.67954484378544</v>
      </c>
      <c r="J60" s="444">
        <f>(H60*1000)/(365*Wcon!$F$29)</f>
        <v>32.59789528864679</v>
      </c>
      <c r="K60" s="444">
        <f>(I60*1000)/(365*Wcon!$F$29)</f>
        <v>96.5768103229169</v>
      </c>
      <c r="L60" s="444">
        <f>F60*Wcon!$F$29*60*365/1000</f>
        <v>13887638.529743468</v>
      </c>
      <c r="M60" s="452">
        <f t="shared" si="13"/>
        <v>14759219.7577111</v>
      </c>
      <c r="N60" s="480">
        <f>M60*1000/(G60*Wcon!$F$29*365)</f>
        <v>67.54889137754992</v>
      </c>
    </row>
    <row r="61" spans="1:14" ht="12.75">
      <c r="A61" s="481">
        <f t="shared" si="12"/>
        <v>2029</v>
      </c>
      <c r="B61" s="455">
        <f>Hsehold!U$22</f>
        <v>28766247.856046233</v>
      </c>
      <c r="C61" s="455">
        <f t="shared" si="7"/>
        <v>7576575.102348099</v>
      </c>
      <c r="D61" s="446">
        <f t="shared" si="6"/>
        <v>21189672.75369813</v>
      </c>
      <c r="E61" s="455">
        <f>Hsehold!U$11/Wcon!$F$29</f>
        <v>179792.76570233205</v>
      </c>
      <c r="F61" s="446">
        <f t="shared" si="8"/>
        <v>92486.40159216245</v>
      </c>
      <c r="G61" s="446">
        <f t="shared" si="9"/>
        <v>87306.3641101696</v>
      </c>
      <c r="H61" s="446">
        <f t="shared" si="10"/>
        <v>81.92096321098688</v>
      </c>
      <c r="I61" s="446">
        <f t="shared" si="11"/>
        <v>242.70478984738662</v>
      </c>
      <c r="J61" s="446">
        <f>(H61*1000)/(365*Wcon!$F$29)</f>
        <v>31.687278709387858</v>
      </c>
      <c r="K61" s="446">
        <f>(I61*1000)/(365*Wcon!$F$29)</f>
        <v>93.87895379343038</v>
      </c>
      <c r="L61" s="446">
        <f>F61*Wcon!$F$29*60*365/1000</f>
        <v>14346277.896252578</v>
      </c>
      <c r="M61" s="455">
        <f t="shared" si="13"/>
        <v>14419969.95979365</v>
      </c>
      <c r="N61" s="482">
        <f>M61*1000/(G61*Wcon!$F$29*365)</f>
        <v>63.886389813257594</v>
      </c>
    </row>
    <row r="62" spans="1:5" ht="12.75">
      <c r="A62" s="410"/>
      <c r="B62" s="448"/>
      <c r="D62" s="448"/>
      <c r="E62" s="448"/>
    </row>
    <row r="63" spans="1:10" ht="12.75">
      <c r="A63" s="383"/>
      <c r="J63" s="410"/>
    </row>
    <row r="64" spans="1:8" ht="12.75">
      <c r="A64" s="383"/>
      <c r="H64" s="410"/>
    </row>
    <row r="65" ht="15" customHeight="1">
      <c r="A65" s="410"/>
    </row>
    <row r="66" ht="15" customHeight="1">
      <c r="A66" s="410"/>
    </row>
    <row r="67" ht="15" customHeight="1">
      <c r="A67" s="410"/>
    </row>
    <row r="68" spans="1:5" ht="12.75">
      <c r="A68" s="410" t="s">
        <v>195</v>
      </c>
      <c r="D68" s="448"/>
      <c r="E68" s="410"/>
    </row>
    <row r="69" spans="1:5" ht="12.75">
      <c r="A69" s="483" t="s">
        <v>196</v>
      </c>
      <c r="D69" s="448"/>
      <c r="E69" s="410"/>
    </row>
    <row r="70" spans="1:5" ht="12.75">
      <c r="A70" s="410" t="s">
        <v>197</v>
      </c>
      <c r="D70" s="448"/>
      <c r="E70" s="410"/>
    </row>
    <row r="71" spans="1:5" ht="12.75">
      <c r="A71" s="410"/>
      <c r="D71" s="448"/>
      <c r="E71" s="410"/>
    </row>
    <row r="72" spans="1:8" ht="12.75">
      <c r="A72" s="391" t="s">
        <v>279</v>
      </c>
      <c r="B72" s="424"/>
      <c r="C72" s="442"/>
      <c r="D72" s="442"/>
      <c r="E72" s="450"/>
      <c r="F72" s="450" t="s">
        <v>198</v>
      </c>
      <c r="G72" s="450" t="s">
        <v>199</v>
      </c>
      <c r="H72" s="451" t="s">
        <v>200</v>
      </c>
    </row>
    <row r="73" spans="1:8" ht="12.75">
      <c r="A73" s="468" t="s">
        <v>280</v>
      </c>
      <c r="B73" s="424"/>
      <c r="C73" s="442"/>
      <c r="D73" s="442"/>
      <c r="E73" s="450"/>
      <c r="F73" s="484">
        <f>1000/(Wcon!$F$29*7)</f>
        <v>20.169016357072266</v>
      </c>
      <c r="G73" s="484">
        <f>2000/(Wcon!$F$29*7)</f>
        <v>40.33803271414453</v>
      </c>
      <c r="H73" s="485">
        <f>2730/(Wcon!$F$29*7)</f>
        <v>55.06141465480728</v>
      </c>
    </row>
    <row r="74" spans="1:8" ht="12.75">
      <c r="A74" s="476" t="s">
        <v>201</v>
      </c>
      <c r="B74" s="426"/>
      <c r="C74" s="444"/>
      <c r="D74" s="444"/>
      <c r="E74" s="453"/>
      <c r="F74" s="426"/>
      <c r="G74" s="426"/>
      <c r="H74" s="432"/>
    </row>
    <row r="75" spans="1:8" ht="12.75">
      <c r="A75" s="486" t="s">
        <v>202</v>
      </c>
      <c r="B75" s="375"/>
      <c r="C75" s="446"/>
      <c r="D75" s="446"/>
      <c r="E75" s="456"/>
      <c r="F75" s="487">
        <f>F73*3</f>
        <v>60.5070490712168</v>
      </c>
      <c r="G75" s="487">
        <f>G73*3</f>
        <v>121.0140981424336</v>
      </c>
      <c r="H75" s="488">
        <f>H73*3</f>
        <v>165.18424396442185</v>
      </c>
    </row>
    <row r="76" spans="1:5" ht="12.75">
      <c r="A76" s="410"/>
      <c r="D76" s="448"/>
      <c r="E76" s="410"/>
    </row>
    <row r="77" spans="1:5" ht="12.75">
      <c r="A77" s="483" t="s">
        <v>203</v>
      </c>
      <c r="D77" s="448"/>
      <c r="E77" s="410"/>
    </row>
    <row r="78" spans="1:5" ht="12.75">
      <c r="A78" s="410" t="s">
        <v>212</v>
      </c>
      <c r="D78" s="448"/>
      <c r="E78" s="410"/>
    </row>
    <row r="79" spans="1:5" ht="12.75">
      <c r="A79" s="410"/>
      <c r="D79" s="448"/>
      <c r="E79" s="410"/>
    </row>
    <row r="80" spans="1:5" ht="12.75">
      <c r="A80" s="483" t="s">
        <v>204</v>
      </c>
      <c r="D80" s="448"/>
      <c r="E80" s="410"/>
    </row>
    <row r="81" spans="1:5" ht="12.75">
      <c r="A81" s="410" t="s">
        <v>281</v>
      </c>
      <c r="D81" s="448"/>
      <c r="E81" s="410"/>
    </row>
    <row r="82" spans="1:5" ht="12.75">
      <c r="A82" s="410" t="s">
        <v>282</v>
      </c>
      <c r="D82" s="448"/>
      <c r="E82" s="410"/>
    </row>
    <row r="83" spans="1:5" ht="12.75">
      <c r="A83" s="410" t="s">
        <v>379</v>
      </c>
      <c r="D83" s="448"/>
      <c r="E83" s="410"/>
    </row>
    <row r="84" spans="1:5" ht="12.75">
      <c r="A84" s="410" t="s">
        <v>380</v>
      </c>
      <c r="D84" s="448"/>
      <c r="E84" s="410"/>
    </row>
    <row r="85" spans="1:5" ht="12.75">
      <c r="A85" s="410" t="s">
        <v>381</v>
      </c>
      <c r="D85" s="448"/>
      <c r="E85" s="410"/>
    </row>
    <row r="86" spans="1:5" ht="12.75">
      <c r="A86" s="410" t="s">
        <v>382</v>
      </c>
      <c r="D86" s="448"/>
      <c r="E86" s="410"/>
    </row>
    <row r="87" spans="1:5" ht="12.75">
      <c r="A87" s="410" t="s">
        <v>283</v>
      </c>
      <c r="D87" s="448"/>
      <c r="E87" s="410"/>
    </row>
    <row r="88" spans="1:5" ht="12.75">
      <c r="A88" s="410" t="s">
        <v>241</v>
      </c>
      <c r="D88" s="448"/>
      <c r="E88" s="410"/>
    </row>
    <row r="89" spans="1:5" ht="12.75">
      <c r="A89" s="410" t="s">
        <v>213</v>
      </c>
      <c r="D89" s="448"/>
      <c r="E89" s="410"/>
    </row>
    <row r="90" spans="1:7" ht="12.75">
      <c r="A90" s="410" t="s">
        <v>205</v>
      </c>
      <c r="D90" s="448"/>
      <c r="E90" s="410"/>
      <c r="F90" s="448">
        <f>G14</f>
        <v>62044</v>
      </c>
      <c r="G90" s="410" t="s">
        <v>207</v>
      </c>
    </row>
    <row r="91" spans="1:8" ht="12.75">
      <c r="A91" s="489">
        <f>H14</f>
        <v>0.5144055781715072</v>
      </c>
      <c r="B91" s="410" t="s">
        <v>208</v>
      </c>
      <c r="D91" s="448"/>
      <c r="E91" s="410"/>
      <c r="H91" s="448"/>
    </row>
    <row r="92" spans="1:8" ht="12.75">
      <c r="A92" s="410"/>
      <c r="D92" s="448"/>
      <c r="E92" s="410"/>
      <c r="H92" s="448"/>
    </row>
    <row r="93" spans="1:8" ht="12.75">
      <c r="A93" s="490" t="s">
        <v>232</v>
      </c>
      <c r="D93" s="448"/>
      <c r="E93" s="410"/>
      <c r="H93" s="448"/>
    </row>
    <row r="94" spans="1:8" ht="12.75">
      <c r="A94" s="410" t="s">
        <v>320</v>
      </c>
      <c r="D94" s="448"/>
      <c r="E94" s="410"/>
      <c r="H94" s="448"/>
    </row>
    <row r="95" spans="1:8" ht="12.75">
      <c r="A95" s="410"/>
      <c r="D95" s="448"/>
      <c r="E95" s="410"/>
      <c r="H95" s="448"/>
    </row>
    <row r="96" spans="1:5" ht="12.75">
      <c r="A96" s="377" t="s">
        <v>233</v>
      </c>
      <c r="D96" s="448"/>
      <c r="E96" s="410"/>
    </row>
    <row r="97" spans="1:11" ht="12.75">
      <c r="A97" s="430" t="s">
        <v>209</v>
      </c>
      <c r="B97" s="424"/>
      <c r="C97" s="449" t="s">
        <v>175</v>
      </c>
      <c r="D97" s="449" t="s">
        <v>176</v>
      </c>
      <c r="E97" s="449" t="s">
        <v>178</v>
      </c>
      <c r="F97" s="449" t="s">
        <v>180</v>
      </c>
      <c r="G97" s="449" t="s">
        <v>187</v>
      </c>
      <c r="H97" s="449" t="s">
        <v>188</v>
      </c>
      <c r="I97" s="424"/>
      <c r="J97" s="450" t="s">
        <v>182</v>
      </c>
      <c r="K97" s="451" t="s">
        <v>182</v>
      </c>
    </row>
    <row r="98" spans="1:11" ht="12.75">
      <c r="A98" s="431" t="s">
        <v>210</v>
      </c>
      <c r="B98" s="426"/>
      <c r="C98" s="452" t="s">
        <v>211</v>
      </c>
      <c r="D98" s="452" t="s">
        <v>211</v>
      </c>
      <c r="E98" s="426"/>
      <c r="F98" s="452" t="s">
        <v>181</v>
      </c>
      <c r="G98" s="452" t="s">
        <v>189</v>
      </c>
      <c r="H98" s="452" t="s">
        <v>211</v>
      </c>
      <c r="I98" s="426"/>
      <c r="J98" s="453" t="s">
        <v>177</v>
      </c>
      <c r="K98" s="454" t="s">
        <v>177</v>
      </c>
    </row>
    <row r="99" spans="1:11" ht="12.75">
      <c r="A99" s="433"/>
      <c r="B99" s="375"/>
      <c r="C99" s="455" t="s">
        <v>174</v>
      </c>
      <c r="D99" s="456" t="s">
        <v>174</v>
      </c>
      <c r="E99" s="456" t="s">
        <v>179</v>
      </c>
      <c r="F99" s="456" t="s">
        <v>179</v>
      </c>
      <c r="G99" s="456" t="s">
        <v>214</v>
      </c>
      <c r="H99" s="456" t="s">
        <v>179</v>
      </c>
      <c r="I99" s="375"/>
      <c r="J99" s="456" t="s">
        <v>183</v>
      </c>
      <c r="K99" s="457" t="s">
        <v>184</v>
      </c>
    </row>
    <row r="100" spans="1:11" ht="12.75">
      <c r="A100" s="431" t="s">
        <v>160</v>
      </c>
      <c r="B100" s="426"/>
      <c r="C100" s="444">
        <f aca="true" t="shared" si="14" ref="C100:C110">C14/G14</f>
        <v>74.71549223131971</v>
      </c>
      <c r="D100" s="444">
        <f>C100/4</f>
        <v>18.67887305782993</v>
      </c>
      <c r="E100" s="491">
        <v>3.75</v>
      </c>
      <c r="F100" s="444">
        <f>E100*4</f>
        <v>15</v>
      </c>
      <c r="G100" s="492">
        <f>F100/C100</f>
        <v>0.20076157637508282</v>
      </c>
      <c r="H100" s="444">
        <f aca="true" t="shared" si="15" ref="H100:H110">G14*F100</f>
        <v>930660</v>
      </c>
      <c r="I100" s="460">
        <f aca="true" t="shared" si="16" ref="I100:I110">H100/$H$111</f>
        <v>0.22320810173544092</v>
      </c>
      <c r="J100" s="460">
        <f>I100</f>
        <v>0.22320810173544092</v>
      </c>
      <c r="K100" s="461">
        <f aca="true" t="shared" si="17" ref="K100:K108">I100+K101</f>
        <v>0.9999999999999999</v>
      </c>
    </row>
    <row r="101" spans="1:11" ht="12.75">
      <c r="A101" s="431" t="s">
        <v>161</v>
      </c>
      <c r="B101" s="426" t="s">
        <v>162</v>
      </c>
      <c r="C101" s="444">
        <f t="shared" si="14"/>
        <v>148.1578918593844</v>
      </c>
      <c r="D101" s="444">
        <f aca="true" t="shared" si="18" ref="D101:D110">C101/4</f>
        <v>37.0394729648461</v>
      </c>
      <c r="E101" s="491">
        <v>6.45</v>
      </c>
      <c r="F101" s="444">
        <f aca="true" t="shared" si="19" ref="F101:F110">E101*4</f>
        <v>25.8</v>
      </c>
      <c r="G101" s="492">
        <f aca="true" t="shared" si="20" ref="G101:G110">F101/C101</f>
        <v>0.17413854689891645</v>
      </c>
      <c r="H101" s="444">
        <f t="shared" si="15"/>
        <v>471907.8</v>
      </c>
      <c r="I101" s="460">
        <f t="shared" si="16"/>
        <v>0.11318166057652429</v>
      </c>
      <c r="J101" s="460">
        <f>J100+I101</f>
        <v>0.3363897623119652</v>
      </c>
      <c r="K101" s="461">
        <f t="shared" si="17"/>
        <v>0.776791898264559</v>
      </c>
    </row>
    <row r="102" spans="1:11" ht="12.75">
      <c r="A102" s="431" t="s">
        <v>163</v>
      </c>
      <c r="B102" s="426" t="s">
        <v>164</v>
      </c>
      <c r="C102" s="444">
        <f t="shared" si="14"/>
        <v>186.4448551153164</v>
      </c>
      <c r="D102" s="444">
        <f t="shared" si="18"/>
        <v>46.6112137788291</v>
      </c>
      <c r="E102" s="491">
        <v>9.341</v>
      </c>
      <c r="F102" s="444">
        <f t="shared" si="19"/>
        <v>37.364</v>
      </c>
      <c r="G102" s="492">
        <f t="shared" si="20"/>
        <v>0.2004024191329405</v>
      </c>
      <c r="H102" s="444">
        <f t="shared" si="15"/>
        <v>505460.192</v>
      </c>
      <c r="I102" s="460">
        <f t="shared" si="16"/>
        <v>0.12122881606510594</v>
      </c>
      <c r="J102" s="460">
        <f aca="true" t="shared" si="21" ref="J102:J110">J101+I102</f>
        <v>0.45761857837707115</v>
      </c>
      <c r="K102" s="461">
        <f t="shared" si="17"/>
        <v>0.6636102376880347</v>
      </c>
    </row>
    <row r="103" spans="1:11" ht="12.75">
      <c r="A103" s="431" t="s">
        <v>165</v>
      </c>
      <c r="B103" s="426" t="s">
        <v>166</v>
      </c>
      <c r="C103" s="444">
        <f t="shared" si="14"/>
        <v>248.90586219429878</v>
      </c>
      <c r="D103" s="444">
        <f t="shared" si="18"/>
        <v>62.226465548574694</v>
      </c>
      <c r="E103" s="491">
        <v>14.87</v>
      </c>
      <c r="F103" s="444">
        <f t="shared" si="19"/>
        <v>59.48</v>
      </c>
      <c r="G103" s="492">
        <f t="shared" si="20"/>
        <v>0.23896584626668707</v>
      </c>
      <c r="H103" s="444">
        <f t="shared" si="15"/>
        <v>1145525.3199999998</v>
      </c>
      <c r="I103" s="460">
        <f t="shared" si="16"/>
        <v>0.27474107855401914</v>
      </c>
      <c r="J103" s="460">
        <f t="shared" si="21"/>
        <v>0.7323596569310903</v>
      </c>
      <c r="K103" s="461">
        <f t="shared" si="17"/>
        <v>0.5423814216229288</v>
      </c>
    </row>
    <row r="104" spans="1:11" ht="12.75">
      <c r="A104" s="431" t="s">
        <v>167</v>
      </c>
      <c r="B104" s="426" t="s">
        <v>168</v>
      </c>
      <c r="C104" s="444">
        <f t="shared" si="14"/>
        <v>338.5392300194932</v>
      </c>
      <c r="D104" s="444">
        <f t="shared" si="18"/>
        <v>84.6348075048733</v>
      </c>
      <c r="E104" s="491">
        <v>26.657</v>
      </c>
      <c r="F104" s="444">
        <f t="shared" si="19"/>
        <v>106.628</v>
      </c>
      <c r="G104" s="492">
        <f t="shared" si="20"/>
        <v>0.3149649746466911</v>
      </c>
      <c r="H104" s="444">
        <f t="shared" si="15"/>
        <v>437601.312</v>
      </c>
      <c r="I104" s="460">
        <f t="shared" si="16"/>
        <v>0.10495364383175211</v>
      </c>
      <c r="J104" s="460">
        <f t="shared" si="21"/>
        <v>0.8373133007628424</v>
      </c>
      <c r="K104" s="461">
        <f t="shared" si="17"/>
        <v>0.26764034306890966</v>
      </c>
    </row>
    <row r="105" spans="1:11" ht="12.75">
      <c r="A105" s="431" t="s">
        <v>169</v>
      </c>
      <c r="B105" s="426" t="s">
        <v>170</v>
      </c>
      <c r="C105" s="444">
        <f t="shared" si="14"/>
        <v>397.81528662420385</v>
      </c>
      <c r="D105" s="444">
        <f t="shared" si="18"/>
        <v>99.45382165605096</v>
      </c>
      <c r="E105" s="491">
        <v>36.483</v>
      </c>
      <c r="F105" s="444">
        <f t="shared" si="19"/>
        <v>145.932</v>
      </c>
      <c r="G105" s="492">
        <f t="shared" si="20"/>
        <v>0.3668335654930592</v>
      </c>
      <c r="H105" s="444">
        <f t="shared" si="15"/>
        <v>229113.24</v>
      </c>
      <c r="I105" s="460">
        <f t="shared" si="16"/>
        <v>0.05495017663040905</v>
      </c>
      <c r="J105" s="460">
        <f t="shared" si="21"/>
        <v>0.8922634773932514</v>
      </c>
      <c r="K105" s="461">
        <f t="shared" si="17"/>
        <v>0.16268669923715756</v>
      </c>
    </row>
    <row r="106" spans="1:11" ht="12.75">
      <c r="A106" s="431" t="s">
        <v>171</v>
      </c>
      <c r="B106" s="453" t="s">
        <v>252</v>
      </c>
      <c r="C106" s="444">
        <f t="shared" si="14"/>
        <v>449.96267696267694</v>
      </c>
      <c r="D106" s="444">
        <f t="shared" si="18"/>
        <v>112.49066924066923</v>
      </c>
      <c r="E106" s="491">
        <v>47.097</v>
      </c>
      <c r="F106" s="444">
        <f t="shared" si="19"/>
        <v>188.388</v>
      </c>
      <c r="G106" s="492">
        <f t="shared" si="20"/>
        <v>0.4186747249164095</v>
      </c>
      <c r="H106" s="444">
        <f t="shared" si="15"/>
        <v>146377.476</v>
      </c>
      <c r="I106" s="460">
        <f t="shared" si="16"/>
        <v>0.03510695480066303</v>
      </c>
      <c r="J106" s="460">
        <f t="shared" si="21"/>
        <v>0.9273704321939145</v>
      </c>
      <c r="K106" s="461">
        <f t="shared" si="17"/>
        <v>0.10773652260674851</v>
      </c>
    </row>
    <row r="107" spans="1:11" ht="12.75">
      <c r="A107" s="431" t="s">
        <v>252</v>
      </c>
      <c r="B107" s="426" t="s">
        <v>253</v>
      </c>
      <c r="C107" s="444">
        <f t="shared" si="14"/>
        <v>500.89130434782606</v>
      </c>
      <c r="D107" s="444">
        <f t="shared" si="18"/>
        <v>125.22282608695652</v>
      </c>
      <c r="E107" s="491">
        <v>58.296</v>
      </c>
      <c r="F107" s="444">
        <f t="shared" si="19"/>
        <v>233.184</v>
      </c>
      <c r="G107" s="492">
        <f t="shared" si="20"/>
        <v>0.46553812768543035</v>
      </c>
      <c r="H107" s="444">
        <f t="shared" si="15"/>
        <v>107264.64</v>
      </c>
      <c r="I107" s="460">
        <f t="shared" si="16"/>
        <v>0.025726190743918773</v>
      </c>
      <c r="J107" s="460">
        <f t="shared" si="21"/>
        <v>0.9530966229378333</v>
      </c>
      <c r="K107" s="461">
        <f t="shared" si="17"/>
        <v>0.07262956780608548</v>
      </c>
    </row>
    <row r="108" spans="1:11" ht="12.75">
      <c r="A108" s="431" t="s">
        <v>253</v>
      </c>
      <c r="B108" s="462" t="s">
        <v>254</v>
      </c>
      <c r="C108" s="444">
        <f t="shared" si="14"/>
        <v>552.266129032258</v>
      </c>
      <c r="D108" s="444">
        <f t="shared" si="18"/>
        <v>138.0665322580645</v>
      </c>
      <c r="E108" s="491">
        <v>71.896</v>
      </c>
      <c r="F108" s="444">
        <f t="shared" si="19"/>
        <v>287.584</v>
      </c>
      <c r="G108" s="492">
        <f t="shared" si="20"/>
        <v>0.5207344518917656</v>
      </c>
      <c r="H108" s="444">
        <f t="shared" si="15"/>
        <v>71320.832</v>
      </c>
      <c r="I108" s="460">
        <f t="shared" si="16"/>
        <v>0.0171054816204761</v>
      </c>
      <c r="J108" s="460">
        <f t="shared" si="21"/>
        <v>0.9702021045583094</v>
      </c>
      <c r="K108" s="461">
        <f t="shared" si="17"/>
        <v>0.04690337706216671</v>
      </c>
    </row>
    <row r="109" spans="1:11" ht="12.75">
      <c r="A109" s="431" t="s">
        <v>254</v>
      </c>
      <c r="B109" s="426" t="s">
        <v>255</v>
      </c>
      <c r="C109" s="444">
        <f t="shared" si="14"/>
        <v>607.1062801932367</v>
      </c>
      <c r="D109" s="444">
        <f t="shared" si="18"/>
        <v>151.77657004830917</v>
      </c>
      <c r="E109" s="493">
        <v>88.25</v>
      </c>
      <c r="F109" s="444">
        <f t="shared" si="19"/>
        <v>353</v>
      </c>
      <c r="G109" s="492">
        <f t="shared" si="20"/>
        <v>0.5814467936118914</v>
      </c>
      <c r="H109" s="444">
        <f t="shared" si="15"/>
        <v>73071</v>
      </c>
      <c r="I109" s="460">
        <f t="shared" si="16"/>
        <v>0.017525239294597816</v>
      </c>
      <c r="J109" s="460">
        <f t="shared" si="21"/>
        <v>0.9877273438529072</v>
      </c>
      <c r="K109" s="461">
        <f>I109+K110</f>
        <v>0.02979789544169061</v>
      </c>
    </row>
    <row r="110" spans="1:11" ht="12.75">
      <c r="A110" s="433" t="s">
        <v>255</v>
      </c>
      <c r="B110" s="375" t="s">
        <v>256</v>
      </c>
      <c r="C110" s="446">
        <f t="shared" si="14"/>
        <v>657.76</v>
      </c>
      <c r="D110" s="446">
        <f t="shared" si="18"/>
        <v>164.44</v>
      </c>
      <c r="E110" s="494">
        <v>102.341</v>
      </c>
      <c r="F110" s="446">
        <f t="shared" si="19"/>
        <v>409.364</v>
      </c>
      <c r="G110" s="495">
        <f t="shared" si="20"/>
        <v>0.6223607394794454</v>
      </c>
      <c r="H110" s="446">
        <f t="shared" si="15"/>
        <v>51170.5</v>
      </c>
      <c r="I110" s="463">
        <f t="shared" si="16"/>
        <v>0.012272656147092793</v>
      </c>
      <c r="J110" s="463">
        <f t="shared" si="21"/>
        <v>1</v>
      </c>
      <c r="K110" s="464">
        <f>I110</f>
        <v>0.012272656147092793</v>
      </c>
    </row>
    <row r="111" spans="4:11" ht="12.75">
      <c r="D111" s="448"/>
      <c r="E111" s="448"/>
      <c r="H111" s="496">
        <f>SUM(H100:H110)</f>
        <v>4169472.312</v>
      </c>
      <c r="I111" s="471"/>
      <c r="K111" s="471"/>
    </row>
    <row r="112" spans="1:5" ht="12.75">
      <c r="A112" s="410" t="s">
        <v>267</v>
      </c>
      <c r="D112" s="448"/>
      <c r="E112" s="448"/>
    </row>
    <row r="113" spans="1:5" ht="12.75">
      <c r="A113" s="410"/>
      <c r="D113" s="448"/>
      <c r="E113" s="448"/>
    </row>
    <row r="114" spans="1:5" ht="12.75">
      <c r="A114" s="447"/>
      <c r="D114" s="448"/>
      <c r="E114" s="448"/>
    </row>
    <row r="115" spans="1:5" ht="12.75">
      <c r="A115" s="496" t="s">
        <v>230</v>
      </c>
      <c r="D115" s="448"/>
      <c r="E115" s="448"/>
    </row>
    <row r="116" spans="1:5" ht="12" customHeight="1">
      <c r="A116" s="447" t="s">
        <v>206</v>
      </c>
      <c r="D116" s="448"/>
      <c r="E116" s="448"/>
    </row>
    <row r="117" spans="1:5" ht="12.75">
      <c r="A117" s="447" t="s">
        <v>384</v>
      </c>
      <c r="D117" s="448"/>
      <c r="E117" s="448"/>
    </row>
    <row r="118" ht="12.75">
      <c r="A118" s="497" t="s">
        <v>399</v>
      </c>
    </row>
    <row r="119" spans="1:9" ht="12.75">
      <c r="A119" s="447"/>
      <c r="B119" s="498"/>
      <c r="D119" s="448"/>
      <c r="E119" s="448"/>
      <c r="I119" s="448"/>
    </row>
    <row r="120" spans="1:5" ht="12.75">
      <c r="A120" s="447" t="s">
        <v>216</v>
      </c>
      <c r="B120" s="498"/>
      <c r="D120" s="448"/>
      <c r="E120" s="448"/>
    </row>
    <row r="121" spans="1:4" ht="12.75">
      <c r="A121" s="447" t="s">
        <v>228</v>
      </c>
      <c r="B121" s="410"/>
      <c r="C121" s="410"/>
      <c r="D121" s="447"/>
    </row>
    <row r="122" spans="1:5" ht="12.75">
      <c r="A122" s="447" t="s">
        <v>321</v>
      </c>
      <c r="B122" s="410"/>
      <c r="C122" s="410"/>
      <c r="D122" s="447"/>
      <c r="E122" s="448"/>
    </row>
    <row r="123" spans="1:5" ht="12.75">
      <c r="A123" s="386" t="s">
        <v>715</v>
      </c>
      <c r="B123" s="410"/>
      <c r="C123" s="410"/>
      <c r="D123" s="447"/>
      <c r="E123" s="448"/>
    </row>
    <row r="124" spans="1:5" ht="12.75">
      <c r="A124" s="386" t="s">
        <v>234</v>
      </c>
      <c r="B124" s="410"/>
      <c r="C124" s="410"/>
      <c r="D124" s="447"/>
      <c r="E124" s="448"/>
    </row>
    <row r="125" spans="1:5" ht="12.75">
      <c r="A125" s="477" t="s">
        <v>217</v>
      </c>
      <c r="B125" s="449" t="s">
        <v>218</v>
      </c>
      <c r="C125" s="499" t="s">
        <v>219</v>
      </c>
      <c r="D125" s="485"/>
      <c r="E125" s="448"/>
    </row>
    <row r="126" spans="1:9" ht="12.75">
      <c r="A126" s="431"/>
      <c r="B126" s="452" t="s">
        <v>179</v>
      </c>
      <c r="C126" s="492"/>
      <c r="D126" s="500"/>
      <c r="E126" s="448"/>
      <c r="I126" s="448"/>
    </row>
    <row r="127" spans="1:5" ht="12.75">
      <c r="A127" s="468">
        <v>0.61</v>
      </c>
      <c r="B127" s="449">
        <v>56323128</v>
      </c>
      <c r="C127" s="442">
        <v>5100396</v>
      </c>
      <c r="D127" s="478" t="s">
        <v>229</v>
      </c>
      <c r="E127" s="448"/>
    </row>
    <row r="128" spans="1:9" ht="12.75">
      <c r="A128" s="431">
        <v>0.27</v>
      </c>
      <c r="B128" s="444">
        <f>B127*0.27/0.61</f>
        <v>24929909.1147541</v>
      </c>
      <c r="C128" s="444">
        <v>5100396</v>
      </c>
      <c r="D128" s="501" t="s">
        <v>229</v>
      </c>
      <c r="E128" s="448"/>
      <c r="I128" s="448"/>
    </row>
    <row r="129" spans="1:5" ht="12.75">
      <c r="A129" s="486" t="s">
        <v>220</v>
      </c>
      <c r="B129" s="446">
        <f>B127-B128</f>
        <v>31393218.8852459</v>
      </c>
      <c r="C129" s="446">
        <v>5100396</v>
      </c>
      <c r="D129" s="502"/>
      <c r="E129" s="448"/>
    </row>
    <row r="130" spans="1:9" ht="12.75">
      <c r="A130" s="447"/>
      <c r="B130" s="410"/>
      <c r="C130" s="503"/>
      <c r="E130" s="448"/>
      <c r="I130" s="448"/>
    </row>
    <row r="131" spans="1:9" ht="12.75">
      <c r="A131" s="477"/>
      <c r="B131" s="365" t="s">
        <v>419</v>
      </c>
      <c r="C131" s="499"/>
      <c r="D131" s="424" t="s">
        <v>418</v>
      </c>
      <c r="E131" s="485"/>
      <c r="I131" s="448"/>
    </row>
    <row r="132" spans="1:9" ht="12.75">
      <c r="A132" s="486" t="s">
        <v>222</v>
      </c>
      <c r="B132" s="455" t="s">
        <v>322</v>
      </c>
      <c r="C132" s="455" t="s">
        <v>221</v>
      </c>
      <c r="D132" s="455" t="s">
        <v>322</v>
      </c>
      <c r="E132" s="504" t="s">
        <v>221</v>
      </c>
      <c r="I132" s="428"/>
    </row>
    <row r="133" spans="1:5" ht="12.75">
      <c r="A133" s="476">
        <v>1</v>
      </c>
      <c r="B133" s="444">
        <f>Hsehold!$B$10*Wcon!E144</f>
        <v>623054.6653544802</v>
      </c>
      <c r="C133" s="444">
        <v>0</v>
      </c>
      <c r="D133" s="444">
        <f>Hsehold!$B$69</f>
        <v>263407.8831107527</v>
      </c>
      <c r="E133" s="500">
        <v>0</v>
      </c>
    </row>
    <row r="134" spans="1:5" ht="12.75">
      <c r="A134" s="476">
        <f>A133+1</f>
        <v>2</v>
      </c>
      <c r="B134" s="444">
        <f>Hsehold!$C$10*Wcon!E144</f>
        <v>643303.9419785008</v>
      </c>
      <c r="C134" s="444">
        <v>0</v>
      </c>
      <c r="D134" s="444">
        <f>Hsehold!$C$69</f>
        <v>271968.6393118521</v>
      </c>
      <c r="E134" s="500">
        <v>0</v>
      </c>
    </row>
    <row r="135" spans="1:5" ht="12.75">
      <c r="A135" s="476">
        <f aca="true" t="shared" si="22" ref="A135:A152">A134+1</f>
        <v>3</v>
      </c>
      <c r="B135" s="444">
        <f>Hsehold!$D$10*Wcon!E144</f>
        <v>664211.320092802</v>
      </c>
      <c r="C135" s="444">
        <v>0</v>
      </c>
      <c r="D135" s="444">
        <f>Hsehold!$D$69</f>
        <v>280807.6200894873</v>
      </c>
      <c r="E135" s="500">
        <v>0</v>
      </c>
    </row>
    <row r="136" spans="1:8" ht="12.75">
      <c r="A136" s="476">
        <f t="shared" si="22"/>
        <v>4</v>
      </c>
      <c r="B136" s="444">
        <f>Hsehold!$E$10*Wcon!E144</f>
        <v>685798.187995818</v>
      </c>
      <c r="C136" s="444">
        <v>0</v>
      </c>
      <c r="D136" s="444">
        <f>Hsehold!$E$69</f>
        <v>289933.8677423956</v>
      </c>
      <c r="E136" s="500">
        <v>0</v>
      </c>
      <c r="F136" s="448"/>
      <c r="H136" s="428"/>
    </row>
    <row r="137" spans="1:8" ht="12.75">
      <c r="A137" s="476">
        <f t="shared" si="22"/>
        <v>5</v>
      </c>
      <c r="B137" s="444">
        <f>Hsehold!$F$10*Wcon!E144</f>
        <v>708086.6291056821</v>
      </c>
      <c r="C137" s="444">
        <v>0</v>
      </c>
      <c r="D137" s="444">
        <f>Hsehold!$F$69</f>
        <v>299356.7184440235</v>
      </c>
      <c r="E137" s="500">
        <v>0</v>
      </c>
      <c r="F137" s="448"/>
      <c r="H137" s="428"/>
    </row>
    <row r="138" spans="1:8" ht="12.75">
      <c r="A138" s="476">
        <f t="shared" si="22"/>
        <v>6</v>
      </c>
      <c r="B138" s="444">
        <f>Hsehold!$G$10*Wcon!E144</f>
        <v>731099.4445516168</v>
      </c>
      <c r="C138" s="444">
        <f aca="true" t="shared" si="23" ref="C138:C152">B138*$B$129/$C$129</f>
        <v>4499957.432656328</v>
      </c>
      <c r="D138" s="444">
        <f>Hsehold!$G$69</f>
        <v>309085.8117934542</v>
      </c>
      <c r="E138" s="500">
        <f aca="true" t="shared" si="24" ref="E138:E152">D138*$B$129/$C$129</f>
        <v>1902440.2309067429</v>
      </c>
      <c r="H138" s="428"/>
    </row>
    <row r="139" spans="1:5" ht="12.75">
      <c r="A139" s="476">
        <f t="shared" si="22"/>
        <v>7</v>
      </c>
      <c r="B139" s="444">
        <f>Hsehold!$H$10*Wcon!E144</f>
        <v>754860.1764995443</v>
      </c>
      <c r="C139" s="444">
        <f t="shared" si="23"/>
        <v>4646206.049217658</v>
      </c>
      <c r="D139" s="444">
        <f>Hsehold!$H$69</f>
        <v>319131.10067674145</v>
      </c>
      <c r="E139" s="500">
        <f t="shared" si="24"/>
        <v>1964269.5384112117</v>
      </c>
    </row>
    <row r="140" spans="1:5" ht="12.75">
      <c r="A140" s="476">
        <f t="shared" si="22"/>
        <v>8</v>
      </c>
      <c r="B140" s="444">
        <f>Hsehold!$I$10*Wcon!E144</f>
        <v>779393.1322357794</v>
      </c>
      <c r="C140" s="444">
        <f t="shared" si="23"/>
        <v>4797207.745817232</v>
      </c>
      <c r="D140" s="444">
        <f>Hsehold!$I$69</f>
        <v>329502.8614487356</v>
      </c>
      <c r="E140" s="500">
        <f t="shared" si="24"/>
        <v>2028108.2984095763</v>
      </c>
    </row>
    <row r="141" spans="1:5" ht="12.75">
      <c r="A141" s="476">
        <f t="shared" si="22"/>
        <v>9</v>
      </c>
      <c r="B141" s="444">
        <f>Hsehold!$J$10*Wcon!E144</f>
        <v>804723.4090334424</v>
      </c>
      <c r="C141" s="444">
        <f t="shared" si="23"/>
        <v>4953116.997556292</v>
      </c>
      <c r="D141" s="444">
        <f>Hsehold!$J$69</f>
        <v>340211.70444581955</v>
      </c>
      <c r="E141" s="500">
        <f t="shared" si="24"/>
        <v>2094021.8181078879</v>
      </c>
    </row>
    <row r="142" spans="1:5" ht="12.75">
      <c r="A142" s="476">
        <f t="shared" si="22"/>
        <v>10</v>
      </c>
      <c r="B142" s="444">
        <f>Hsehold!$K$10*Wcon!E144</f>
        <v>830876.9198270292</v>
      </c>
      <c r="C142" s="444">
        <f t="shared" si="23"/>
        <v>5114093.299976872</v>
      </c>
      <c r="D142" s="444">
        <f>Hsehold!$K$69</f>
        <v>351268.58484030864</v>
      </c>
      <c r="E142" s="500">
        <f t="shared" si="24"/>
        <v>2162077.527196394</v>
      </c>
    </row>
    <row r="143" spans="1:5" ht="12.75">
      <c r="A143" s="476">
        <f t="shared" si="22"/>
        <v>11</v>
      </c>
      <c r="B143" s="444">
        <f>Hsehold!$L$10*Wcon!E144</f>
        <v>857880.4197214077</v>
      </c>
      <c r="C143" s="444">
        <f t="shared" si="23"/>
        <v>5280301.332226121</v>
      </c>
      <c r="D143" s="444">
        <f>Hsehold!$L$69</f>
        <v>362684.8138476187</v>
      </c>
      <c r="E143" s="500">
        <f t="shared" si="24"/>
        <v>2232345.046830277</v>
      </c>
    </row>
    <row r="144" spans="1:5" ht="12.75">
      <c r="A144" s="476">
        <f t="shared" si="22"/>
        <v>12</v>
      </c>
      <c r="B144" s="444">
        <f>Hsehold!$M$10*Wcon!E144</f>
        <v>885761.5333623533</v>
      </c>
      <c r="C144" s="444">
        <f t="shared" si="23"/>
        <v>5451911.1255234685</v>
      </c>
      <c r="D144" s="444">
        <f>Hsehold!$M$69</f>
        <v>374472.07029766624</v>
      </c>
      <c r="E144" s="500">
        <f t="shared" si="24"/>
        <v>2304896.2608522605</v>
      </c>
    </row>
    <row r="145" spans="1:5" ht="12.75">
      <c r="A145" s="476">
        <f t="shared" si="22"/>
        <v>13</v>
      </c>
      <c r="B145" s="444">
        <f>Hsehold!$N$10*Wcon!E144</f>
        <v>914548.78319663</v>
      </c>
      <c r="C145" s="444">
        <f t="shared" si="23"/>
        <v>5629098.237102982</v>
      </c>
      <c r="D145" s="444">
        <f>Hsehold!$N$69</f>
        <v>386642.4125823404</v>
      </c>
      <c r="E145" s="500">
        <f t="shared" si="24"/>
        <v>2379805.389329959</v>
      </c>
    </row>
    <row r="146" spans="1:5" ht="12.75">
      <c r="A146" s="476">
        <f t="shared" si="22"/>
        <v>14</v>
      </c>
      <c r="B146" s="444">
        <f>Hsehold!$O$10*Wcon!E144</f>
        <v>944271.6186505202</v>
      </c>
      <c r="C146" s="444">
        <f t="shared" si="23"/>
        <v>5812043.929808828</v>
      </c>
      <c r="D146" s="444">
        <f>Hsehold!$O$69</f>
        <v>399208.2909912664</v>
      </c>
      <c r="E146" s="500">
        <f t="shared" si="24"/>
        <v>2457149.064483182</v>
      </c>
    </row>
    <row r="147" spans="1:5" ht="12.75">
      <c r="A147" s="476">
        <f t="shared" si="22"/>
        <v>15</v>
      </c>
      <c r="B147" s="444">
        <f>Hsehold!$P$10*Wcon!E144</f>
        <v>974960.4462566619</v>
      </c>
      <c r="C147" s="444">
        <f t="shared" si="23"/>
        <v>6000935.357527614</v>
      </c>
      <c r="D147" s="444">
        <f>Hsehold!$P$69</f>
        <v>412182.5604484825</v>
      </c>
      <c r="E147" s="500">
        <f t="shared" si="24"/>
        <v>2537006.4090788853</v>
      </c>
    </row>
    <row r="148" spans="1:5" ht="12.75">
      <c r="A148" s="476">
        <f t="shared" si="22"/>
        <v>16</v>
      </c>
      <c r="B148" s="444">
        <f>Hsehold!$Q$10*Wcon!E144</f>
        <v>1006646.6607600037</v>
      </c>
      <c r="C148" s="444">
        <f t="shared" si="23"/>
        <v>6195965.756647263</v>
      </c>
      <c r="D148" s="444">
        <f>Hsehold!$Q$69</f>
        <v>425578.49366305827</v>
      </c>
      <c r="E148" s="500">
        <f t="shared" si="24"/>
        <v>2619459.1173739494</v>
      </c>
    </row>
    <row r="149" spans="1:5" ht="12.75">
      <c r="A149" s="476">
        <f t="shared" si="22"/>
        <v>17</v>
      </c>
      <c r="B149" s="444">
        <f>Hsehold!$R$10*Wcon!E144</f>
        <v>1039362.6772347039</v>
      </c>
      <c r="C149" s="444">
        <f t="shared" si="23"/>
        <v>6397334.6437383</v>
      </c>
      <c r="D149" s="444">
        <f>Hsehold!$R$69</f>
        <v>439409.7947071077</v>
      </c>
      <c r="E149" s="500">
        <f t="shared" si="24"/>
        <v>2704591.5386886033</v>
      </c>
    </row>
    <row r="150" spans="1:5" ht="12.75">
      <c r="A150" s="476">
        <f t="shared" si="22"/>
        <v>18</v>
      </c>
      <c r="B150" s="444">
        <f>Hsehold!$S$10*Wcon!E144</f>
        <v>1073141.9642448318</v>
      </c>
      <c r="C150" s="444">
        <f t="shared" si="23"/>
        <v>6605248.019659794</v>
      </c>
      <c r="D150" s="444">
        <f>Hsehold!$S$69</f>
        <v>453690.6130350887</v>
      </c>
      <c r="E150" s="500">
        <f t="shared" si="24"/>
        <v>2792490.7636959828</v>
      </c>
    </row>
    <row r="151" spans="1:5" ht="12.75">
      <c r="A151" s="476">
        <f t="shared" si="22"/>
        <v>19</v>
      </c>
      <c r="B151" s="444">
        <f>Hsehold!$T$10*Wcon!E144</f>
        <v>1108019.0780827887</v>
      </c>
      <c r="C151" s="444">
        <f t="shared" si="23"/>
        <v>6819918.580298737</v>
      </c>
      <c r="D151" s="444">
        <f>Hsehold!$T$69</f>
        <v>468435.5579587291</v>
      </c>
      <c r="E151" s="500">
        <f t="shared" si="24"/>
        <v>2883246.7135161026</v>
      </c>
    </row>
    <row r="152" spans="1:5" ht="12.75">
      <c r="A152" s="486">
        <f t="shared" si="22"/>
        <v>20</v>
      </c>
      <c r="B152" s="446">
        <f>Hsehold!$U$10*Wcon!E144</f>
        <v>1144029.6981204792</v>
      </c>
      <c r="C152" s="446">
        <f t="shared" si="23"/>
        <v>7041565.934158444</v>
      </c>
      <c r="D152" s="446">
        <f>Hsehold!$U$69</f>
        <v>483659.71359238774</v>
      </c>
      <c r="E152" s="502">
        <f t="shared" si="24"/>
        <v>2976952.2317053755</v>
      </c>
    </row>
    <row r="154" spans="1:8" ht="12.75">
      <c r="A154" s="505"/>
      <c r="D154" s="448"/>
      <c r="E154" s="448"/>
      <c r="F154" s="448"/>
      <c r="G154" s="448"/>
      <c r="H154" s="428"/>
    </row>
    <row r="155" spans="1:8" ht="15">
      <c r="A155" s="506"/>
      <c r="D155" s="448"/>
      <c r="E155" s="448"/>
      <c r="F155" s="448"/>
      <c r="G155" s="448"/>
      <c r="H155" s="428"/>
    </row>
  </sheetData>
  <sheetProtection/>
  <mergeCells count="2">
    <mergeCell ref="A1:I1"/>
    <mergeCell ref="A2:I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1:AH137"/>
  <sheetViews>
    <sheetView zoomScalePageLayoutView="0" workbookViewId="0" topLeftCell="A1">
      <selection activeCell="A20" sqref="A20"/>
    </sheetView>
  </sheetViews>
  <sheetFormatPr defaultColWidth="9.140625" defaultRowHeight="12.75"/>
  <cols>
    <col min="1" max="1" width="69.28125" style="0" customWidth="1"/>
    <col min="2" max="2" width="12.28125" style="7" customWidth="1"/>
    <col min="3" max="3" width="9.8515625" style="0" customWidth="1"/>
    <col min="4" max="4" width="10.421875" style="0" customWidth="1"/>
    <col min="5" max="5" width="11.140625" style="0" customWidth="1"/>
    <col min="6" max="6" width="11.00390625" style="0" customWidth="1"/>
    <col min="7" max="7" width="11.140625" style="0" customWidth="1"/>
    <col min="8" max="8" width="11.00390625" style="0" customWidth="1"/>
    <col min="9" max="9" width="10.7109375" style="0" customWidth="1"/>
    <col min="10" max="10" width="11.421875" style="0" customWidth="1"/>
    <col min="11" max="11" width="11.00390625" style="0" customWidth="1"/>
    <col min="12" max="12" width="10.8515625" style="0" customWidth="1"/>
    <col min="13" max="13" width="11.57421875" style="0" customWidth="1"/>
    <col min="14" max="14" width="11.140625" style="0" customWidth="1"/>
    <col min="15" max="18" width="12.00390625" style="0" bestFit="1" customWidth="1"/>
    <col min="19" max="19" width="11.140625" style="0" bestFit="1" customWidth="1"/>
    <col min="20" max="21" width="12.00390625" style="0" bestFit="1" customWidth="1"/>
  </cols>
  <sheetData>
    <row r="1" spans="1:9" ht="18">
      <c r="A1" s="604" t="s">
        <v>788</v>
      </c>
      <c r="B1" s="604"/>
      <c r="C1" s="604"/>
      <c r="D1" s="604"/>
      <c r="E1" s="604"/>
      <c r="F1" s="604"/>
      <c r="G1" s="604"/>
      <c r="H1" s="604"/>
      <c r="I1" s="604"/>
    </row>
    <row r="2" spans="1:9" ht="20.25">
      <c r="A2" s="605" t="s">
        <v>746</v>
      </c>
      <c r="B2" s="605"/>
      <c r="C2" s="605"/>
      <c r="D2" s="605"/>
      <c r="E2" s="605"/>
      <c r="F2" s="605"/>
      <c r="G2" s="605"/>
      <c r="H2" s="605"/>
      <c r="I2" s="605"/>
    </row>
    <row r="3" spans="2:9" ht="12.75">
      <c r="B3" s="345"/>
      <c r="C3" s="345"/>
      <c r="D3" s="345"/>
      <c r="I3" s="345" t="str">
        <f>'User''s Guide'!B1</f>
        <v>LAST UPDATED: 1/10/2011</v>
      </c>
    </row>
    <row r="4" ht="12.75"/>
    <row r="5" spans="1:2" ht="12.75">
      <c r="A5" s="128" t="s">
        <v>536</v>
      </c>
      <c r="B5" s="9" t="s">
        <v>713</v>
      </c>
    </row>
    <row r="6" ht="12.75">
      <c r="A6" s="5" t="s">
        <v>112</v>
      </c>
    </row>
    <row r="7" ht="12.75">
      <c r="A7" s="5" t="s">
        <v>102</v>
      </c>
    </row>
    <row r="8" spans="2:32" ht="12.75">
      <c r="B8" s="63" t="s">
        <v>324</v>
      </c>
      <c r="W8" s="69" t="s">
        <v>121</v>
      </c>
      <c r="X8" s="69"/>
      <c r="Y8" s="69"/>
      <c r="Z8" s="69"/>
      <c r="AA8" s="69"/>
      <c r="AB8" s="69"/>
      <c r="AC8" s="69"/>
      <c r="AD8" s="69"/>
      <c r="AE8" s="69"/>
      <c r="AF8" s="69"/>
    </row>
    <row r="9" spans="1:32" ht="12.75">
      <c r="A9" s="305" t="s">
        <v>223</v>
      </c>
      <c r="B9" s="346">
        <v>2010</v>
      </c>
      <c r="C9" s="347">
        <f>B9+1</f>
        <v>2011</v>
      </c>
      <c r="D9" s="347">
        <f aca="true" t="shared" si="0" ref="D9:U9">C9+1</f>
        <v>2012</v>
      </c>
      <c r="E9" s="347">
        <f t="shared" si="0"/>
        <v>2013</v>
      </c>
      <c r="F9" s="347">
        <f t="shared" si="0"/>
        <v>2014</v>
      </c>
      <c r="G9" s="347">
        <f t="shared" si="0"/>
        <v>2015</v>
      </c>
      <c r="H9" s="347">
        <f t="shared" si="0"/>
        <v>2016</v>
      </c>
      <c r="I9" s="347">
        <f t="shared" si="0"/>
        <v>2017</v>
      </c>
      <c r="J9" s="347">
        <f t="shared" si="0"/>
        <v>2018</v>
      </c>
      <c r="K9" s="347">
        <f t="shared" si="0"/>
        <v>2019</v>
      </c>
      <c r="L9" s="347">
        <f t="shared" si="0"/>
        <v>2020</v>
      </c>
      <c r="M9" s="347">
        <f t="shared" si="0"/>
        <v>2021</v>
      </c>
      <c r="N9" s="347">
        <f t="shared" si="0"/>
        <v>2022</v>
      </c>
      <c r="O9" s="347">
        <f t="shared" si="0"/>
        <v>2023</v>
      </c>
      <c r="P9" s="347">
        <f t="shared" si="0"/>
        <v>2024</v>
      </c>
      <c r="Q9" s="347">
        <f t="shared" si="0"/>
        <v>2025</v>
      </c>
      <c r="R9" s="347">
        <f t="shared" si="0"/>
        <v>2026</v>
      </c>
      <c r="S9" s="347">
        <f t="shared" si="0"/>
        <v>2027</v>
      </c>
      <c r="T9" s="347">
        <f t="shared" si="0"/>
        <v>2028</v>
      </c>
      <c r="U9" s="348">
        <f t="shared" si="0"/>
        <v>2029</v>
      </c>
      <c r="W9" s="69" t="s">
        <v>122</v>
      </c>
      <c r="X9" s="69"/>
      <c r="Y9" s="69"/>
      <c r="Z9" s="69"/>
      <c r="AA9" s="69"/>
      <c r="AB9" s="69"/>
      <c r="AC9" s="69"/>
      <c r="AD9" s="69"/>
      <c r="AE9" s="69"/>
      <c r="AF9" s="69"/>
    </row>
    <row r="10" spans="1:32" ht="12.75">
      <c r="A10" s="352"/>
      <c r="B10" s="349">
        <v>0</v>
      </c>
      <c r="C10" s="350">
        <f>B10+1</f>
        <v>1</v>
      </c>
      <c r="D10" s="350">
        <f aca="true" t="shared" si="1" ref="D10:U10">C10+1</f>
        <v>2</v>
      </c>
      <c r="E10" s="350">
        <f t="shared" si="1"/>
        <v>3</v>
      </c>
      <c r="F10" s="350">
        <f t="shared" si="1"/>
        <v>4</v>
      </c>
      <c r="G10" s="350">
        <f t="shared" si="1"/>
        <v>5</v>
      </c>
      <c r="H10" s="350">
        <f t="shared" si="1"/>
        <v>6</v>
      </c>
      <c r="I10" s="350">
        <f t="shared" si="1"/>
        <v>7</v>
      </c>
      <c r="J10" s="350">
        <f t="shared" si="1"/>
        <v>8</v>
      </c>
      <c r="K10" s="350">
        <f t="shared" si="1"/>
        <v>9</v>
      </c>
      <c r="L10" s="350">
        <f t="shared" si="1"/>
        <v>10</v>
      </c>
      <c r="M10" s="350">
        <f t="shared" si="1"/>
        <v>11</v>
      </c>
      <c r="N10" s="350">
        <f t="shared" si="1"/>
        <v>12</v>
      </c>
      <c r="O10" s="350">
        <f t="shared" si="1"/>
        <v>13</v>
      </c>
      <c r="P10" s="350">
        <f t="shared" si="1"/>
        <v>14</v>
      </c>
      <c r="Q10" s="350">
        <f t="shared" si="1"/>
        <v>15</v>
      </c>
      <c r="R10" s="350">
        <f t="shared" si="1"/>
        <v>16</v>
      </c>
      <c r="S10" s="350">
        <f t="shared" si="1"/>
        <v>17</v>
      </c>
      <c r="T10" s="350">
        <f t="shared" si="1"/>
        <v>18</v>
      </c>
      <c r="U10" s="351">
        <f t="shared" si="1"/>
        <v>19</v>
      </c>
      <c r="W10" s="69" t="s">
        <v>124</v>
      </c>
      <c r="X10" s="69"/>
      <c r="Y10" s="69"/>
      <c r="Z10" s="69"/>
      <c r="AA10" s="69"/>
      <c r="AB10" s="69"/>
      <c r="AC10" s="69"/>
      <c r="AD10" s="69"/>
      <c r="AE10" s="69"/>
      <c r="AF10" s="69"/>
    </row>
    <row r="11" spans="23:27" ht="12.75">
      <c r="W11" s="69" t="s">
        <v>123</v>
      </c>
      <c r="X11" s="69"/>
      <c r="Y11" s="69"/>
      <c r="Z11" s="69"/>
      <c r="AA11" s="69"/>
    </row>
    <row r="12" ht="12.75">
      <c r="A12" s="6" t="s">
        <v>81</v>
      </c>
    </row>
    <row r="13" spans="1:32" ht="12.75">
      <c r="A13" s="1" t="s">
        <v>89</v>
      </c>
      <c r="B13" s="9">
        <f>B14+B15-B16</f>
        <v>52134701.86567268</v>
      </c>
      <c r="C13" s="9">
        <f>C18/0.49</f>
        <v>71666281.63265306</v>
      </c>
      <c r="D13" s="9">
        <f>C13*1.03</f>
        <v>73816270.08163264</v>
      </c>
      <c r="E13" s="9">
        <f aca="true" t="shared" si="2" ref="E13:U13">D13*1.03</f>
        <v>76030758.18408163</v>
      </c>
      <c r="F13" s="9">
        <f t="shared" si="2"/>
        <v>78311680.92960408</v>
      </c>
      <c r="G13" s="9">
        <f t="shared" si="2"/>
        <v>80661031.35749221</v>
      </c>
      <c r="H13" s="9">
        <f t="shared" si="2"/>
        <v>83080862.29821698</v>
      </c>
      <c r="I13" s="9">
        <f t="shared" si="2"/>
        <v>85573288.16716349</v>
      </c>
      <c r="J13" s="9">
        <f t="shared" si="2"/>
        <v>88140486.8121784</v>
      </c>
      <c r="K13" s="9">
        <f t="shared" si="2"/>
        <v>90784701.41654375</v>
      </c>
      <c r="L13" s="9">
        <f t="shared" si="2"/>
        <v>93508242.45904006</v>
      </c>
      <c r="M13" s="9">
        <f t="shared" si="2"/>
        <v>96313489.73281127</v>
      </c>
      <c r="N13" s="9">
        <f t="shared" si="2"/>
        <v>99202894.42479561</v>
      </c>
      <c r="O13" s="9">
        <f t="shared" si="2"/>
        <v>102178981.25753948</v>
      </c>
      <c r="P13" s="9">
        <f t="shared" si="2"/>
        <v>105244350.69526567</v>
      </c>
      <c r="Q13" s="9">
        <f t="shared" si="2"/>
        <v>108401681.21612364</v>
      </c>
      <c r="R13" s="9">
        <f t="shared" si="2"/>
        <v>111653731.65260735</v>
      </c>
      <c r="S13" s="9">
        <f t="shared" si="2"/>
        <v>115003343.60218558</v>
      </c>
      <c r="T13" s="9">
        <f t="shared" si="2"/>
        <v>118453443.91025114</v>
      </c>
      <c r="U13" s="9">
        <f t="shared" si="2"/>
        <v>122007047.22755867</v>
      </c>
      <c r="W13" s="69" t="s">
        <v>126</v>
      </c>
      <c r="X13" s="69"/>
      <c r="Y13" s="69"/>
      <c r="Z13" s="69"/>
      <c r="AA13" s="69"/>
      <c r="AB13" s="69"/>
      <c r="AC13" s="69"/>
      <c r="AD13" s="69"/>
      <c r="AE13" s="69"/>
      <c r="AF13" s="69"/>
    </row>
    <row r="14" spans="1:32" ht="12.75">
      <c r="A14" s="5" t="s">
        <v>90</v>
      </c>
      <c r="B14" s="62">
        <v>39074642</v>
      </c>
      <c r="W14" s="71" t="s">
        <v>242</v>
      </c>
      <c r="X14" s="69"/>
      <c r="Y14" s="69"/>
      <c r="Z14" s="69"/>
      <c r="AA14" s="69"/>
      <c r="AB14" s="69"/>
      <c r="AC14" s="69"/>
      <c r="AD14" s="69"/>
      <c r="AE14" s="69"/>
      <c r="AF14" s="69"/>
    </row>
    <row r="15" spans="1:31" ht="12.75">
      <c r="A15" s="5" t="s">
        <v>91</v>
      </c>
      <c r="B15" s="62">
        <v>13060162</v>
      </c>
      <c r="W15" s="69" t="s">
        <v>127</v>
      </c>
      <c r="X15" s="69"/>
      <c r="Y15" s="69"/>
      <c r="Z15" s="69"/>
      <c r="AA15" s="69"/>
      <c r="AB15" s="69"/>
      <c r="AC15" s="69"/>
      <c r="AD15" s="69"/>
      <c r="AE15" s="69"/>
    </row>
    <row r="16" spans="1:21" ht="12.75">
      <c r="A16" s="9"/>
      <c r="B16" s="62">
        <f>B17/365*1000</f>
        <v>102.13432732407347</v>
      </c>
      <c r="C16" s="62">
        <f aca="true" t="shared" si="3" ref="C16:U16">C17/365*1000</f>
        <v>109.345767805759</v>
      </c>
      <c r="D16" s="62">
        <f t="shared" si="3"/>
        <v>109.02557055537838</v>
      </c>
      <c r="E16" s="62">
        <f t="shared" si="3"/>
        <v>134.79582556401138</v>
      </c>
      <c r="F16" s="62">
        <f t="shared" si="3"/>
        <v>134.40110290053295</v>
      </c>
      <c r="G16" s="62">
        <f t="shared" si="3"/>
        <v>134.00753610356904</v>
      </c>
      <c r="H16" s="62">
        <f t="shared" si="3"/>
        <v>133.6151217883953</v>
      </c>
      <c r="I16" s="62">
        <f t="shared" si="3"/>
        <v>133.2238565801989</v>
      </c>
      <c r="J16" s="62">
        <f t="shared" si="3"/>
        <v>132.83373711404946</v>
      </c>
      <c r="K16" s="62">
        <f t="shared" si="3"/>
        <v>132.4447600348702</v>
      </c>
      <c r="L16" s="62">
        <f t="shared" si="3"/>
        <v>132.05692199740884</v>
      </c>
      <c r="M16" s="62">
        <f t="shared" si="3"/>
        <v>131.67021966620928</v>
      </c>
      <c r="N16" s="62">
        <f t="shared" si="3"/>
        <v>131.2846497155823</v>
      </c>
      <c r="O16" s="62">
        <f t="shared" si="3"/>
        <v>130.90020882957762</v>
      </c>
      <c r="P16" s="62">
        <f t="shared" si="3"/>
        <v>130.5168937019548</v>
      </c>
      <c r="Q16" s="62">
        <f t="shared" si="3"/>
        <v>130.13470103615526</v>
      </c>
      <c r="R16" s="62">
        <f t="shared" si="3"/>
        <v>129.75362754527353</v>
      </c>
      <c r="S16" s="62">
        <f t="shared" si="3"/>
        <v>129.3736699520294</v>
      </c>
      <c r="T16" s="62">
        <f t="shared" si="3"/>
        <v>128.9948249887394</v>
      </c>
      <c r="U16" s="62">
        <f t="shared" si="3"/>
        <v>128.61708939728885</v>
      </c>
    </row>
    <row r="17" spans="1:31" ht="12.75">
      <c r="A17" s="130">
        <f>B18/B13</f>
        <v>0.4911580786627676</v>
      </c>
      <c r="B17" s="9">
        <f>B18/Hsehold!B11</f>
        <v>37.27902947328682</v>
      </c>
      <c r="C17" s="9">
        <f>C18/(Hsehold!C11*1.24)</f>
        <v>39.91120524910203</v>
      </c>
      <c r="D17" s="9">
        <f>D18/(Hsehold!D11*1.24)</f>
        <v>39.79433325271311</v>
      </c>
      <c r="E17" s="9">
        <f>E18/Hsehold!E11</f>
        <v>49.200476330864156</v>
      </c>
      <c r="F17" s="9">
        <f>F18/Hsehold!F11</f>
        <v>49.05640255869453</v>
      </c>
      <c r="G17" s="9">
        <f>G18/Hsehold!G11</f>
        <v>48.91275067780269</v>
      </c>
      <c r="H17" s="9">
        <f>H18/Hsehold!H11</f>
        <v>48.769519452764285</v>
      </c>
      <c r="I17" s="9">
        <f>I18/Hsehold!I11</f>
        <v>48.626707651772605</v>
      </c>
      <c r="J17" s="9">
        <f>J18/Hsehold!J11</f>
        <v>48.48431404662805</v>
      </c>
      <c r="K17" s="9">
        <f>K18/Hsehold!K11</f>
        <v>48.34233741272762</v>
      </c>
      <c r="L17" s="9">
        <f>L18/Hsehold!L11</f>
        <v>48.20077652905423</v>
      </c>
      <c r="M17" s="9">
        <f>M18/Hsehold!M11</f>
        <v>48.059630178166394</v>
      </c>
      <c r="N17" s="9">
        <f>N18/Hsehold!N11</f>
        <v>47.91889714618754</v>
      </c>
      <c r="O17" s="9">
        <f>O18/Hsehold!O11</f>
        <v>47.778576222795834</v>
      </c>
      <c r="P17" s="9">
        <f>P18/Hsehold!P11</f>
        <v>47.63866620121351</v>
      </c>
      <c r="Q17" s="9">
        <f>Q18/Hsehold!Q11</f>
        <v>47.49916587819667</v>
      </c>
      <c r="R17" s="9">
        <f>R18/Hsehold!R11</f>
        <v>47.360074054024835</v>
      </c>
      <c r="S17" s="9">
        <f>S18/Hsehold!S11</f>
        <v>47.221389532490726</v>
      </c>
      <c r="T17" s="9">
        <f>T18/Hsehold!T11</f>
        <v>47.08311112088988</v>
      </c>
      <c r="U17" s="9">
        <f>U18/Hsehold!U11</f>
        <v>46.94523763001043</v>
      </c>
      <c r="W17" s="69" t="s">
        <v>125</v>
      </c>
      <c r="X17" s="69"/>
      <c r="Y17" s="69"/>
      <c r="Z17" s="69"/>
      <c r="AA17" s="69"/>
      <c r="AB17" s="69"/>
      <c r="AC17" s="69"/>
      <c r="AD17" s="69"/>
      <c r="AE17" s="69"/>
    </row>
    <row r="18" spans="1:30" ht="12.75">
      <c r="A18" s="1" t="s">
        <v>86</v>
      </c>
      <c r="B18" s="9">
        <f>B19+B20+B21</f>
        <v>25606380</v>
      </c>
      <c r="C18" s="63">
        <f>BA_Rescaled!C17*37</f>
        <v>35116478</v>
      </c>
      <c r="D18" s="63">
        <f>C18*1.03</f>
        <v>36169972.34</v>
      </c>
      <c r="E18" s="63">
        <f aca="true" t="shared" si="4" ref="E18:U18">D18*1.03</f>
        <v>37255071.5102</v>
      </c>
      <c r="F18" s="63">
        <f t="shared" si="4"/>
        <v>38372723.655506</v>
      </c>
      <c r="G18" s="63">
        <f t="shared" si="4"/>
        <v>39523905.36517118</v>
      </c>
      <c r="H18" s="63">
        <f t="shared" si="4"/>
        <v>40709622.52612632</v>
      </c>
      <c r="I18" s="63">
        <f t="shared" si="4"/>
        <v>41930911.20191011</v>
      </c>
      <c r="J18" s="63">
        <f t="shared" si="4"/>
        <v>43188838.53796741</v>
      </c>
      <c r="K18" s="63">
        <f t="shared" si="4"/>
        <v>44484503.69410644</v>
      </c>
      <c r="L18" s="63">
        <f t="shared" si="4"/>
        <v>45819038.80492963</v>
      </c>
      <c r="M18" s="63">
        <f t="shared" si="4"/>
        <v>47193609.96907752</v>
      </c>
      <c r="N18" s="63">
        <f t="shared" si="4"/>
        <v>48609418.268149845</v>
      </c>
      <c r="O18" s="63">
        <f t="shared" si="4"/>
        <v>50067700.81619434</v>
      </c>
      <c r="P18" s="63">
        <f t="shared" si="4"/>
        <v>51569731.840680175</v>
      </c>
      <c r="Q18" s="63">
        <f t="shared" si="4"/>
        <v>53116823.79590058</v>
      </c>
      <c r="R18" s="63">
        <f t="shared" si="4"/>
        <v>54710328.509777606</v>
      </c>
      <c r="S18" s="63">
        <f t="shared" si="4"/>
        <v>56351638.36507093</v>
      </c>
      <c r="T18" s="63">
        <f t="shared" si="4"/>
        <v>58042187.51602306</v>
      </c>
      <c r="U18" s="63">
        <f t="shared" si="4"/>
        <v>59783453.14150376</v>
      </c>
      <c r="W18" s="69" t="s">
        <v>128</v>
      </c>
      <c r="X18" s="69"/>
      <c r="Y18" s="69"/>
      <c r="Z18" s="69"/>
      <c r="AA18" s="69"/>
      <c r="AB18" s="69"/>
      <c r="AC18" s="69"/>
      <c r="AD18" s="69"/>
    </row>
    <row r="19" spans="1:23" ht="12.75">
      <c r="A19" s="5" t="s">
        <v>87</v>
      </c>
      <c r="B19" s="62">
        <f>24184161</f>
        <v>24184161</v>
      </c>
      <c r="W19" s="40"/>
    </row>
    <row r="20" spans="1:29" ht="12.75">
      <c r="A20" s="5" t="s">
        <v>88</v>
      </c>
      <c r="B20" s="62">
        <v>490706</v>
      </c>
      <c r="W20" s="69" t="s">
        <v>291</v>
      </c>
      <c r="X20" s="69"/>
      <c r="Y20" s="69"/>
      <c r="Z20" s="69"/>
      <c r="AA20" s="69"/>
      <c r="AB20" s="69"/>
      <c r="AC20" s="69"/>
    </row>
    <row r="21" spans="1:2" ht="12.75">
      <c r="A21" s="5" t="s">
        <v>85</v>
      </c>
      <c r="B21" s="62">
        <v>931513</v>
      </c>
    </row>
    <row r="22" ht="12.75"/>
    <row r="23" ht="12.75"/>
    <row r="24" spans="1:34" ht="12.75">
      <c r="A24" s="1" t="s">
        <v>92</v>
      </c>
      <c r="B24" s="7">
        <f>SUM(B25:B31)</f>
        <v>12484700.202942666</v>
      </c>
      <c r="C24" s="7">
        <v>12484700</v>
      </c>
      <c r="D24" s="7">
        <v>12484700</v>
      </c>
      <c r="E24" s="7">
        <v>12484700</v>
      </c>
      <c r="F24" s="7">
        <v>12484700</v>
      </c>
      <c r="G24" s="7">
        <v>12484700</v>
      </c>
      <c r="H24" s="7">
        <v>12484700</v>
      </c>
      <c r="I24" s="7">
        <v>12484700</v>
      </c>
      <c r="J24" s="7">
        <v>12484700</v>
      </c>
      <c r="K24" s="7">
        <v>12484700</v>
      </c>
      <c r="L24" s="7">
        <v>12484700</v>
      </c>
      <c r="M24" s="7">
        <v>12484700</v>
      </c>
      <c r="N24" s="7">
        <v>12484700</v>
      </c>
      <c r="O24" s="7">
        <v>12484700</v>
      </c>
      <c r="P24" s="7">
        <v>12484700</v>
      </c>
      <c r="Q24" s="7">
        <v>12484700</v>
      </c>
      <c r="R24" s="7">
        <v>12484700</v>
      </c>
      <c r="S24" s="7">
        <v>12484700</v>
      </c>
      <c r="T24" s="7">
        <v>12484700</v>
      </c>
      <c r="U24" s="7">
        <v>12484700</v>
      </c>
      <c r="W24" s="71" t="s">
        <v>227</v>
      </c>
      <c r="X24" s="68"/>
      <c r="Y24" s="68"/>
      <c r="Z24" s="69"/>
      <c r="AA24" s="69"/>
      <c r="AB24" s="69"/>
      <c r="AC24" s="69"/>
      <c r="AD24" s="69"/>
      <c r="AE24" s="69"/>
      <c r="AF24" s="69"/>
      <c r="AG24" s="69"/>
      <c r="AH24" s="69"/>
    </row>
    <row r="25" spans="1:2" ht="12.75">
      <c r="A25" s="5" t="s">
        <v>93</v>
      </c>
      <c r="B25" s="7">
        <f>2156313-(354089+59105)</f>
        <v>1743119</v>
      </c>
    </row>
    <row r="26" spans="1:2" ht="12.75">
      <c r="A26" s="5" t="s">
        <v>100</v>
      </c>
      <c r="B26" s="7">
        <f>(1630213*0.05/0.043)+826533+2251206</f>
        <v>4973335.511627907</v>
      </c>
    </row>
    <row r="27" spans="1:6" ht="12.75">
      <c r="A27" s="5" t="s">
        <v>94</v>
      </c>
      <c r="B27" s="7">
        <f>799570+3686</f>
        <v>803256</v>
      </c>
      <c r="D27" s="7"/>
      <c r="E27" s="7"/>
      <c r="F27" s="7"/>
    </row>
    <row r="28" spans="1:6" ht="12.75">
      <c r="A28" s="5" t="s">
        <v>95</v>
      </c>
      <c r="B28" s="7">
        <f>278196+25427+3375</f>
        <v>306998</v>
      </c>
      <c r="D28" s="7"/>
      <c r="E28" s="7"/>
      <c r="F28" s="7"/>
    </row>
    <row r="29" spans="1:7" ht="12.75">
      <c r="A29" s="5" t="s">
        <v>96</v>
      </c>
      <c r="B29" s="7">
        <f>443621*B$32</f>
        <v>358614.0759245063</v>
      </c>
      <c r="D29" s="7"/>
      <c r="E29" s="7"/>
      <c r="F29" s="7"/>
      <c r="G29" s="7"/>
    </row>
    <row r="30" spans="1:4" ht="12.75">
      <c r="A30" s="5" t="s">
        <v>97</v>
      </c>
      <c r="B30" s="7">
        <f>296124-(77521+(1-B$32)*30004)</f>
        <v>212853.6153902518</v>
      </c>
      <c r="D30" s="7"/>
    </row>
    <row r="31" spans="1:2" ht="12.75">
      <c r="A31" s="5" t="s">
        <v>8</v>
      </c>
      <c r="B31" s="7">
        <v>4086524</v>
      </c>
    </row>
    <row r="32" spans="1:2" ht="12.75">
      <c r="A32" s="5" t="s">
        <v>99</v>
      </c>
      <c r="B32" s="16">
        <f>B25/2156313</f>
        <v>0.8083793957556255</v>
      </c>
    </row>
    <row r="33" ht="12.75">
      <c r="A33" s="5" t="s">
        <v>98</v>
      </c>
    </row>
    <row r="34" ht="12.75">
      <c r="A34" s="5"/>
    </row>
    <row r="35" spans="1:21" ht="12.75">
      <c r="A35" s="1" t="s">
        <v>497</v>
      </c>
      <c r="B35" s="64">
        <f>B24/B13</f>
        <v>0.23947006036612692</v>
      </c>
      <c r="C35" s="64">
        <f aca="true" t="shared" si="5" ref="C35:U35">C24/C13</f>
        <v>0.17420605221286714</v>
      </c>
      <c r="D35" s="64">
        <f t="shared" si="5"/>
        <v>0.1691320895270555</v>
      </c>
      <c r="E35" s="64">
        <f t="shared" si="5"/>
        <v>0.16420591216218977</v>
      </c>
      <c r="F35" s="64">
        <f t="shared" si="5"/>
        <v>0.15942321569144638</v>
      </c>
      <c r="G35" s="64">
        <f t="shared" si="5"/>
        <v>0.15477982105965668</v>
      </c>
      <c r="H35" s="64">
        <f t="shared" si="5"/>
        <v>0.1502716709317055</v>
      </c>
      <c r="I35" s="64">
        <f t="shared" si="5"/>
        <v>0.14589482614728688</v>
      </c>
      <c r="J35" s="64">
        <f t="shared" si="5"/>
        <v>0.1416454622789193</v>
      </c>
      <c r="K35" s="64">
        <f t="shared" si="5"/>
        <v>0.13751986629021293</v>
      </c>
      <c r="L35" s="64">
        <f t="shared" si="5"/>
        <v>0.13351443329146886</v>
      </c>
      <c r="M35" s="64">
        <f t="shared" si="5"/>
        <v>0.12962566338977558</v>
      </c>
      <c r="N35" s="64">
        <f t="shared" si="5"/>
        <v>0.12585015863085008</v>
      </c>
      <c r="O35" s="64">
        <f t="shared" si="5"/>
        <v>0.12218462002995152</v>
      </c>
      <c r="P35" s="64">
        <f t="shared" si="5"/>
        <v>0.11862584468927333</v>
      </c>
      <c r="Q35" s="64">
        <f t="shared" si="5"/>
        <v>0.11517072299929448</v>
      </c>
      <c r="R35" s="64">
        <f t="shared" si="5"/>
        <v>0.11181623592164514</v>
      </c>
      <c r="S35" s="64">
        <f t="shared" si="5"/>
        <v>0.10855945235111177</v>
      </c>
      <c r="T35" s="64">
        <f t="shared" si="5"/>
        <v>0.10539752655447746</v>
      </c>
      <c r="U35" s="64">
        <f t="shared" si="5"/>
        <v>0.10232769568395869</v>
      </c>
    </row>
    <row r="36" spans="1:2" ht="12.75">
      <c r="A36" s="1" t="s">
        <v>501</v>
      </c>
      <c r="B36" s="64"/>
    </row>
    <row r="37" spans="1:2" ht="12.75">
      <c r="A37" s="1"/>
      <c r="B37" s="64"/>
    </row>
    <row r="38" spans="1:21" ht="12.75">
      <c r="A38" s="1" t="s">
        <v>498</v>
      </c>
      <c r="B38" s="64">
        <f>B35+$B$41</f>
        <v>0.4043700603661269</v>
      </c>
      <c r="C38" s="64">
        <f aca="true" t="shared" si="6" ref="C38:U38">C35+$B$41</f>
        <v>0.33910605221286716</v>
      </c>
      <c r="D38" s="64">
        <f t="shared" si="6"/>
        <v>0.3340320895270555</v>
      </c>
      <c r="E38" s="64">
        <f t="shared" si="6"/>
        <v>0.32910591216218976</v>
      </c>
      <c r="F38" s="64">
        <f t="shared" si="6"/>
        <v>0.3243232156914464</v>
      </c>
      <c r="G38" s="64">
        <f t="shared" si="6"/>
        <v>0.31967982105965664</v>
      </c>
      <c r="H38" s="64">
        <f t="shared" si="6"/>
        <v>0.3151716709317055</v>
      </c>
      <c r="I38" s="64">
        <f t="shared" si="6"/>
        <v>0.3107948261472869</v>
      </c>
      <c r="J38" s="64">
        <f t="shared" si="6"/>
        <v>0.3065454622789193</v>
      </c>
      <c r="K38" s="64">
        <f t="shared" si="6"/>
        <v>0.3024198662902129</v>
      </c>
      <c r="L38" s="64">
        <f t="shared" si="6"/>
        <v>0.2984144332914689</v>
      </c>
      <c r="M38" s="64">
        <f t="shared" si="6"/>
        <v>0.2945256633897756</v>
      </c>
      <c r="N38" s="64">
        <f t="shared" si="6"/>
        <v>0.2907501586308501</v>
      </c>
      <c r="O38" s="64">
        <f t="shared" si="6"/>
        <v>0.2870846200299515</v>
      </c>
      <c r="P38" s="64">
        <f t="shared" si="6"/>
        <v>0.28352584468927333</v>
      </c>
      <c r="Q38" s="64">
        <f t="shared" si="6"/>
        <v>0.2800707229992945</v>
      </c>
      <c r="R38" s="64">
        <f t="shared" si="6"/>
        <v>0.2767162359216451</v>
      </c>
      <c r="S38" s="64">
        <f t="shared" si="6"/>
        <v>0.27345945235111174</v>
      </c>
      <c r="T38" s="64">
        <f t="shared" si="6"/>
        <v>0.2702975265544775</v>
      </c>
      <c r="U38" s="64">
        <f t="shared" si="6"/>
        <v>0.26722769568395865</v>
      </c>
    </row>
    <row r="39" spans="1:2" ht="12.75">
      <c r="A39" s="1" t="s">
        <v>499</v>
      </c>
      <c r="B39" s="64"/>
    </row>
    <row r="40" spans="1:2" ht="12.75">
      <c r="A40" s="1"/>
      <c r="B40" s="64"/>
    </row>
    <row r="41" spans="1:3" ht="12.75">
      <c r="A41" s="1" t="s">
        <v>503</v>
      </c>
      <c r="B41" s="64">
        <f>0.1649</f>
        <v>0.1649</v>
      </c>
      <c r="C41" s="127" t="s">
        <v>518</v>
      </c>
    </row>
    <row r="42" spans="1:2" ht="12.75">
      <c r="A42" s="1"/>
      <c r="B42" s="64"/>
    </row>
    <row r="43" spans="1:21" ht="12.75">
      <c r="A43" s="1" t="s">
        <v>500</v>
      </c>
      <c r="B43" s="64">
        <f>B24/B18</f>
        <v>0.4875620920623167</v>
      </c>
      <c r="C43" s="64">
        <f aca="true" t="shared" si="7" ref="C43:U43">C24/C18</f>
        <v>0.35552255553646356</v>
      </c>
      <c r="D43" s="64">
        <f t="shared" si="7"/>
        <v>0.34516752964705194</v>
      </c>
      <c r="E43" s="64">
        <f t="shared" si="7"/>
        <v>0.3351141064534485</v>
      </c>
      <c r="F43" s="64">
        <f t="shared" si="7"/>
        <v>0.3253535014111151</v>
      </c>
      <c r="G43" s="64">
        <f t="shared" si="7"/>
        <v>0.3158771858360341</v>
      </c>
      <c r="H43" s="64">
        <f t="shared" si="7"/>
        <v>0.30667687945246025</v>
      </c>
      <c r="I43" s="64">
        <f t="shared" si="7"/>
        <v>0.29774454315772836</v>
      </c>
      <c r="J43" s="64">
        <f t="shared" si="7"/>
        <v>0.2890723719977945</v>
      </c>
      <c r="K43" s="64">
        <f t="shared" si="7"/>
        <v>0.2806527883473733</v>
      </c>
      <c r="L43" s="64">
        <f t="shared" si="7"/>
        <v>0.27247843528871196</v>
      </c>
      <c r="M43" s="64">
        <f t="shared" si="7"/>
        <v>0.26454217018321546</v>
      </c>
      <c r="N43" s="64">
        <f t="shared" si="7"/>
        <v>0.2568370584303063</v>
      </c>
      <c r="O43" s="64">
        <f t="shared" si="7"/>
        <v>0.24935636740806436</v>
      </c>
      <c r="P43" s="64">
        <f t="shared" si="7"/>
        <v>0.24209356059035372</v>
      </c>
      <c r="Q43" s="64">
        <f t="shared" si="7"/>
        <v>0.23504229183529488</v>
      </c>
      <c r="R43" s="64">
        <f t="shared" si="7"/>
        <v>0.2281963998400921</v>
      </c>
      <c r="S43" s="64">
        <f t="shared" si="7"/>
        <v>0.22154990275737096</v>
      </c>
      <c r="T43" s="64">
        <f t="shared" si="7"/>
        <v>0.21509699296832133</v>
      </c>
      <c r="U43" s="64">
        <f t="shared" si="7"/>
        <v>0.20883203200807893</v>
      </c>
    </row>
    <row r="44" ht="12.75">
      <c r="A44" s="1" t="s">
        <v>502</v>
      </c>
    </row>
    <row r="45" ht="12.75">
      <c r="A45" s="5"/>
    </row>
    <row r="46" spans="1:21" ht="12.75">
      <c r="A46" s="1" t="s">
        <v>527</v>
      </c>
      <c r="B46" s="64">
        <f>B43+$B$41</f>
        <v>0.6524620920623168</v>
      </c>
      <c r="C46" s="64">
        <f aca="true" t="shared" si="8" ref="C46:U46">C43+$B$41</f>
        <v>0.5204225555364635</v>
      </c>
      <c r="D46" s="64">
        <f t="shared" si="8"/>
        <v>0.5100675296470519</v>
      </c>
      <c r="E46" s="64">
        <f t="shared" si="8"/>
        <v>0.5000141064534485</v>
      </c>
      <c r="F46" s="64">
        <f t="shared" si="8"/>
        <v>0.49025350141111507</v>
      </c>
      <c r="G46" s="64">
        <f t="shared" si="8"/>
        <v>0.48077718583603407</v>
      </c>
      <c r="H46" s="64">
        <f t="shared" si="8"/>
        <v>0.47157687945246024</v>
      </c>
      <c r="I46" s="64">
        <f t="shared" si="8"/>
        <v>0.46264454315772835</v>
      </c>
      <c r="J46" s="64">
        <f t="shared" si="8"/>
        <v>0.4539723719977945</v>
      </c>
      <c r="K46" s="64">
        <f t="shared" si="8"/>
        <v>0.4455527883473733</v>
      </c>
      <c r="L46" s="64">
        <f t="shared" si="8"/>
        <v>0.43737843528871195</v>
      </c>
      <c r="M46" s="64">
        <f t="shared" si="8"/>
        <v>0.42944217018321545</v>
      </c>
      <c r="N46" s="64">
        <f t="shared" si="8"/>
        <v>0.4217370584303063</v>
      </c>
      <c r="O46" s="64">
        <f t="shared" si="8"/>
        <v>0.4142563674080644</v>
      </c>
      <c r="P46" s="64">
        <f t="shared" si="8"/>
        <v>0.40699356059035374</v>
      </c>
      <c r="Q46" s="64">
        <f t="shared" si="8"/>
        <v>0.39994229183529484</v>
      </c>
      <c r="R46" s="64">
        <f t="shared" si="8"/>
        <v>0.3930963998400921</v>
      </c>
      <c r="S46" s="64">
        <f t="shared" si="8"/>
        <v>0.38644990275737096</v>
      </c>
      <c r="T46" s="64">
        <f t="shared" si="8"/>
        <v>0.37999699296832135</v>
      </c>
      <c r="U46" s="64">
        <f t="shared" si="8"/>
        <v>0.3737320320080789</v>
      </c>
    </row>
    <row r="47" ht="12.75"/>
    <row r="48" spans="1:3" ht="12.75">
      <c r="A48" s="1" t="s">
        <v>113</v>
      </c>
      <c r="C48" s="64"/>
    </row>
    <row r="49" spans="1:22" ht="12.75">
      <c r="A49" s="5" t="s">
        <v>114</v>
      </c>
      <c r="V49" s="7"/>
    </row>
    <row r="50" spans="1:26" ht="12.75">
      <c r="A50" s="5" t="s">
        <v>326</v>
      </c>
      <c r="B50" s="11">
        <f>Wcon!$E129+Wcon!$E144*Wcon!$E133</f>
        <v>0.5698055125618207</v>
      </c>
      <c r="C50" s="11">
        <f>Wcon!$E129*(1+Wcon!$E131)^B10+Wcon!$E144*Wcon!$E133*(1+Wcon!$E135)^B10</f>
        <v>0.5698055125618207</v>
      </c>
      <c r="D50" s="11">
        <f>Wcon!$E129*(1+Wcon!$E131)^C10+Wcon!$E144*Wcon!$E133*(1+Wcon!$E135)^C10</f>
        <v>0.5711213386105124</v>
      </c>
      <c r="E50" s="11">
        <f>Wcon!$E129*(1+Wcon!$E131)^D10+Wcon!$E144*Wcon!$E133*(1+Wcon!$E135)^D10</f>
        <v>0.5724425596263508</v>
      </c>
      <c r="F50" s="11">
        <f>Wcon!$E129*(1+Wcon!$E131)^E10+Wcon!$E144*Wcon!$E133*(1+Wcon!$E135)^E10</f>
        <v>0.5737691870150985</v>
      </c>
      <c r="G50" s="11">
        <f>Wcon!$E129*(1+Wcon!$E131)^F10+Wcon!$E144*Wcon!$E133*(1+Wcon!$E135)^F10</f>
        <v>0.5751012322340685</v>
      </c>
      <c r="H50" s="11">
        <f>Wcon!$E129*(1+Wcon!$E131)^G10+Wcon!$E144*Wcon!$E133*(1+Wcon!$E135)^G10</f>
        <v>0.5764387067922203</v>
      </c>
      <c r="I50" s="11">
        <f>Wcon!$E129*(1+Wcon!$E131)^H10+Wcon!$E144*Wcon!$E133*(1+Wcon!$E135)^H10</f>
        <v>0.5777816222502586</v>
      </c>
      <c r="J50" s="11">
        <f>Wcon!$E129*(1+Wcon!$E131)^I10+Wcon!$E144*Wcon!$E133*(1+Wcon!$E135)^I10</f>
        <v>0.5791299902207288</v>
      </c>
      <c r="K50" s="11">
        <f>Wcon!$E129*(1+Wcon!$E131)^J10+Wcon!$E144*Wcon!$E133*(1+Wcon!$E135)^J10</f>
        <v>0.5804838223681169</v>
      </c>
      <c r="L50" s="11">
        <f>Wcon!$E129*(1+Wcon!$E131)^K10+Wcon!$E144*Wcon!$E133*(1+Wcon!$E135)^K10</f>
        <v>0.5818431304089478</v>
      </c>
      <c r="M50" s="11">
        <f>Wcon!$E129*(1+Wcon!$E131)^L10+Wcon!$E144*Wcon!$E133*(1+Wcon!$E135)^L10</f>
        <v>0.5832079261118845</v>
      </c>
      <c r="N50" s="11">
        <f>Wcon!$E129*(1+Wcon!$E131)^M10+Wcon!$E144*Wcon!$E133*(1+Wcon!$E135)^M10</f>
        <v>0.5845782212978277</v>
      </c>
      <c r="O50" s="11">
        <f>Wcon!$E129*(1+Wcon!$E131)^N10+Wcon!$E144*Wcon!$E133*(1+Wcon!$E135)^N10</f>
        <v>0.5859540278400157</v>
      </c>
      <c r="P50" s="11">
        <f>Wcon!$E129*(1+Wcon!$E131)^O10+Wcon!$E144*Wcon!$E133*(1+Wcon!$E135)^O10</f>
        <v>0.5873353576641263</v>
      </c>
      <c r="Q50" s="11">
        <f>Wcon!$E129*(1+Wcon!$E131)^P10+Wcon!$E144*Wcon!$E133*(1+Wcon!$E135)^P10</f>
        <v>0.5887222227483769</v>
      </c>
      <c r="R50" s="11">
        <f>Wcon!$E129*(1+Wcon!$E131)^Q10+Wcon!$E144*Wcon!$E133*(1+Wcon!$E135)^Q10</f>
        <v>0.5901146351236266</v>
      </c>
      <c r="S50" s="11">
        <f>Wcon!$E129*(1+Wcon!$E131)^R10+Wcon!$E144*Wcon!$E133*(1+Wcon!$E135)^R10</f>
        <v>0.5915126068734785</v>
      </c>
      <c r="T50" s="11">
        <f>Wcon!$E129*(1+Wcon!$E131)^S10+Wcon!$E144*Wcon!$E133*(1+Wcon!$E135)^S10</f>
        <v>0.5929161501343826</v>
      </c>
      <c r="U50" s="11">
        <f>Wcon!$E129*(1+Wcon!$E131)^T10+Wcon!$E144*Wcon!$E133*(1+Wcon!$E135)^T10</f>
        <v>0.594325277095739</v>
      </c>
      <c r="X50" s="71" t="s">
        <v>269</v>
      </c>
      <c r="Y50" s="69"/>
      <c r="Z50" s="69"/>
    </row>
    <row r="51" spans="1:26" ht="12.75">
      <c r="A51" s="5" t="s">
        <v>325</v>
      </c>
      <c r="B51" s="11">
        <f>B50</f>
        <v>0.5698055125618207</v>
      </c>
      <c r="C51" s="11">
        <f>C50</f>
        <v>0.5698055125618207</v>
      </c>
      <c r="D51" s="11">
        <f>D50</f>
        <v>0.5711213386105124</v>
      </c>
      <c r="E51" s="11">
        <f>E50</f>
        <v>0.5724425596263508</v>
      </c>
      <c r="F51" s="11">
        <f>Wcon!$E137*(1+Wcon!$E139)^E10+Wcon!$E144*Wcon!$E141*(1+Wcon!$E143)^E10</f>
        <v>0.19457865722661263</v>
      </c>
      <c r="G51" s="11">
        <f>Wcon!$E137*(1+Wcon!$E139)^F10+Wcon!$E144*Wcon!$E141*(1+Wcon!$E143)^F10</f>
        <v>0.19397928532992723</v>
      </c>
      <c r="H51" s="11">
        <f>Wcon!$E137*(1+Wcon!$E139)^G10+Wcon!$E144*Wcon!$E141*(1+Wcon!$E143)^G10</f>
        <v>0.19338350444024568</v>
      </c>
      <c r="I51" s="11">
        <f>Wcon!$E137*(1+Wcon!$E139)^H10+Wcon!$E144*Wcon!$E141*(1+Wcon!$E143)^H10</f>
        <v>0.19279129707657927</v>
      </c>
      <c r="J51" s="11">
        <f>Wcon!$E137*(1+Wcon!$E139)^I10+Wcon!$E144*Wcon!$E141*(1+Wcon!$E143)^I10</f>
        <v>0.19220264584783134</v>
      </c>
      <c r="K51" s="11">
        <f>Wcon!$E137*(1+Wcon!$E139)^J10+Wcon!$E144*Wcon!$E141*(1+Wcon!$E143)^J10</f>
        <v>0.19161753345234217</v>
      </c>
      <c r="L51" s="11">
        <f>Wcon!$E137*(1+Wcon!$E139)^K10+Wcon!$E144*Wcon!$E141*(1+Wcon!$E143)^K10</f>
        <v>0.191035942677436</v>
      </c>
      <c r="M51" s="11">
        <f>Wcon!$E137*(1+Wcon!$E139)^L10+Wcon!$E144*Wcon!$E141*(1+Wcon!$E143)^L10</f>
        <v>0.19045785639897034</v>
      </c>
      <c r="N51" s="11">
        <f>Wcon!$E137*(1+Wcon!$E139)^M10+Wcon!$E144*Wcon!$E141*(1+Wcon!$E143)^M10</f>
        <v>0.1898832575808878</v>
      </c>
      <c r="O51" s="11">
        <f>Wcon!$E137*(1+Wcon!$E139)^N10+Wcon!$E144*Wcon!$E141*(1+Wcon!$E143)^N10</f>
        <v>0.18931212927476992</v>
      </c>
      <c r="P51" s="11">
        <f>Wcon!$E137*(1+Wcon!$E139)^O10+Wcon!$E144*Wcon!$E141*(1+Wcon!$E143)^O10</f>
        <v>0.18874445461939338</v>
      </c>
      <c r="Q51" s="11">
        <f>Wcon!$E137*(1+Wcon!$E139)^P10+Wcon!$E144*Wcon!$E141*(1+Wcon!$E143)^P10</f>
        <v>0.18818021684028857</v>
      </c>
      <c r="R51" s="11">
        <f>Wcon!$E137*(1+Wcon!$E139)^Q10+Wcon!$E144*Wcon!$E141*(1+Wcon!$E143)^Q10</f>
        <v>0.18761939924930032</v>
      </c>
      <c r="S51" s="11">
        <f>Wcon!$E137*(1+Wcon!$E139)^R10+Wcon!$E144*Wcon!$E141*(1+Wcon!$E143)^R10</f>
        <v>0.18706198524415077</v>
      </c>
      <c r="T51" s="11">
        <f>Wcon!$E137*(1+Wcon!$E139)^S10+Wcon!$E144*Wcon!$E141*(1+Wcon!$E143)^S10</f>
        <v>0.18650795830800454</v>
      </c>
      <c r="U51" s="11">
        <f>Wcon!$E137*(1+Wcon!$E139)^T10+Wcon!$E144*Wcon!$E141*(1+Wcon!$E143)^T10</f>
        <v>0.18595730200903632</v>
      </c>
      <c r="X51" s="71" t="s">
        <v>269</v>
      </c>
      <c r="Y51" s="69"/>
      <c r="Z51" s="69"/>
    </row>
    <row r="52" spans="1:12" ht="12.75">
      <c r="A52" s="5" t="s">
        <v>0</v>
      </c>
      <c r="D52" s="40"/>
      <c r="E52" s="67"/>
      <c r="F52" s="40"/>
      <c r="G52" s="40"/>
      <c r="H52" s="40"/>
      <c r="I52" s="40"/>
      <c r="J52" s="40"/>
      <c r="K52" s="40"/>
      <c r="L52" s="40"/>
    </row>
    <row r="53" spans="1:12" ht="12.75">
      <c r="A53" s="5" t="s">
        <v>1</v>
      </c>
      <c r="D53" s="40"/>
      <c r="E53" s="40"/>
      <c r="F53" s="40"/>
      <c r="G53" s="40"/>
      <c r="H53" s="40"/>
      <c r="I53" s="40"/>
      <c r="J53" s="40"/>
      <c r="K53" s="40"/>
      <c r="L53" s="40"/>
    </row>
    <row r="54" spans="1:12" ht="12.75">
      <c r="A54" s="5" t="s">
        <v>2</v>
      </c>
      <c r="D54" s="40"/>
      <c r="E54" s="40"/>
      <c r="F54" s="40"/>
      <c r="G54" s="40"/>
      <c r="H54" s="40"/>
      <c r="I54" s="40"/>
      <c r="J54" s="40"/>
      <c r="K54" s="40"/>
      <c r="L54" s="40"/>
    </row>
    <row r="55" spans="1:12" ht="12.75">
      <c r="A55" s="5" t="s">
        <v>328</v>
      </c>
      <c r="D55" s="40"/>
      <c r="E55" s="40"/>
      <c r="F55" s="40"/>
      <c r="G55" s="40"/>
      <c r="H55" s="40"/>
      <c r="I55" s="40"/>
      <c r="J55" s="40"/>
      <c r="K55" s="40"/>
      <c r="L55" s="40"/>
    </row>
    <row r="56" ht="12.75">
      <c r="A56" s="5" t="s">
        <v>329</v>
      </c>
    </row>
    <row r="57" ht="12.75">
      <c r="A57" s="5" t="s">
        <v>330</v>
      </c>
    </row>
    <row r="58" ht="12.75">
      <c r="A58" s="5"/>
    </row>
    <row r="59" ht="12.75">
      <c r="A59" s="6" t="s">
        <v>7</v>
      </c>
    </row>
    <row r="60" spans="1:12" ht="12.75">
      <c r="A60" s="5" t="s">
        <v>490</v>
      </c>
      <c r="E60" s="16">
        <v>0.3</v>
      </c>
      <c r="F60" s="16">
        <v>0.6</v>
      </c>
      <c r="G60" s="16">
        <v>0.9</v>
      </c>
      <c r="H60" s="16">
        <v>0.92</v>
      </c>
      <c r="I60" s="16">
        <v>0.94</v>
      </c>
      <c r="J60" s="16">
        <v>0.96</v>
      </c>
      <c r="K60" s="16">
        <v>0.98</v>
      </c>
      <c r="L60" s="16">
        <v>1</v>
      </c>
    </row>
    <row r="61" spans="1:12" ht="12.75">
      <c r="A61" s="5"/>
      <c r="E61" s="16"/>
      <c r="F61" s="16"/>
      <c r="G61" s="16"/>
      <c r="H61" s="16"/>
      <c r="I61" s="16"/>
      <c r="J61" s="16"/>
      <c r="K61" s="16"/>
      <c r="L61" s="16"/>
    </row>
    <row r="62" ht="12.75">
      <c r="A62" s="5"/>
    </row>
    <row r="63" spans="1:21" ht="12.75">
      <c r="A63" s="1" t="s">
        <v>89</v>
      </c>
      <c r="B63" s="9">
        <f>B64+B65</f>
        <v>52134804</v>
      </c>
      <c r="C63" s="7">
        <v>52134804</v>
      </c>
      <c r="D63" s="7">
        <v>52134804</v>
      </c>
      <c r="E63" s="7">
        <v>52134804</v>
      </c>
      <c r="F63" s="7">
        <v>52134804</v>
      </c>
      <c r="G63" s="7">
        <v>52134804</v>
      </c>
      <c r="H63" s="7">
        <v>52134804</v>
      </c>
      <c r="I63" s="7">
        <v>52134804</v>
      </c>
      <c r="J63" s="7">
        <v>52134804</v>
      </c>
      <c r="K63" s="7">
        <v>52134804</v>
      </c>
      <c r="L63" s="7">
        <v>52134804</v>
      </c>
      <c r="M63" s="7">
        <v>52134804</v>
      </c>
      <c r="N63" s="7">
        <v>52134804</v>
      </c>
      <c r="O63" s="7">
        <v>52134804</v>
      </c>
      <c r="P63" s="7">
        <v>52134804</v>
      </c>
      <c r="Q63" s="7">
        <v>52134804</v>
      </c>
      <c r="R63" s="7">
        <v>52134804</v>
      </c>
      <c r="S63" s="7">
        <v>52134804</v>
      </c>
      <c r="T63" s="7">
        <v>52134804</v>
      </c>
      <c r="U63" s="7">
        <v>52134804</v>
      </c>
    </row>
    <row r="64" spans="1:2" ht="12.75">
      <c r="A64" s="5" t="s">
        <v>90</v>
      </c>
      <c r="B64" s="62">
        <v>39074642</v>
      </c>
    </row>
    <row r="65" spans="1:2" ht="12.75">
      <c r="A65" s="5" t="s">
        <v>91</v>
      </c>
      <c r="B65" s="62">
        <v>13060162</v>
      </c>
    </row>
    <row r="66" spans="1:2" ht="12.75">
      <c r="A66" s="1"/>
      <c r="B66" s="9"/>
    </row>
    <row r="67" spans="1:21" ht="12.75">
      <c r="A67" s="1"/>
      <c r="B67" s="7">
        <f>B68/365*1000</f>
        <v>102.13432732407347</v>
      </c>
      <c r="C67" s="7">
        <f aca="true" t="shared" si="9" ref="C67:U67">C68/365*1000</f>
        <v>135.58875207914116</v>
      </c>
      <c r="D67" s="7">
        <f t="shared" si="9"/>
        <v>135.1917074886692</v>
      </c>
      <c r="E67" s="7">
        <f t="shared" si="9"/>
        <v>134.79582556401138</v>
      </c>
      <c r="F67" s="7">
        <f t="shared" si="9"/>
        <v>206.14198675092018</v>
      </c>
      <c r="G67" s="7">
        <f t="shared" si="9"/>
        <v>242.18834348820948</v>
      </c>
      <c r="H67" s="7">
        <f t="shared" si="9"/>
        <v>244.78536058952108</v>
      </c>
      <c r="I67" s="7">
        <f t="shared" si="9"/>
        <v>247.41240131080497</v>
      </c>
      <c r="J67" s="7">
        <f t="shared" si="9"/>
        <v>250.06975724472457</v>
      </c>
      <c r="K67" s="7">
        <f t="shared" si="9"/>
        <v>252.7577276052591</v>
      </c>
      <c r="L67" s="7">
        <f t="shared" si="9"/>
        <v>255.47661938695353</v>
      </c>
      <c r="M67" s="7">
        <f t="shared" si="9"/>
        <v>255.74524698282886</v>
      </c>
      <c r="N67" s="7">
        <f t="shared" si="9"/>
        <v>256.0190587250634</v>
      </c>
      <c r="O67" s="7">
        <f t="shared" si="9"/>
        <v>256.29813766799447</v>
      </c>
      <c r="P67" s="7">
        <f t="shared" si="9"/>
        <v>256.58256831071725</v>
      </c>
      <c r="Q67" s="7">
        <f t="shared" si="9"/>
        <v>256.8724366356668</v>
      </c>
      <c r="R67" s="7">
        <f t="shared" si="9"/>
        <v>257.16783014832606</v>
      </c>
      <c r="S67" s="7">
        <f t="shared" si="9"/>
        <v>257.4688379181041</v>
      </c>
      <c r="T67" s="7">
        <f t="shared" si="9"/>
        <v>257.7755506204233</v>
      </c>
      <c r="U67" s="7">
        <f t="shared" si="9"/>
        <v>258.0880605800601</v>
      </c>
    </row>
    <row r="68" spans="1:21" ht="12.75">
      <c r="A68" s="1"/>
      <c r="B68" s="7">
        <f>B69/Hsehold!B11</f>
        <v>37.27902947328682</v>
      </c>
      <c r="C68" s="7">
        <f>C69/Hsehold!C11</f>
        <v>49.48989450888652</v>
      </c>
      <c r="D68" s="7">
        <f>D69/Hsehold!D11</f>
        <v>49.34497323336426</v>
      </c>
      <c r="E68" s="7">
        <f>E69/Hsehold!E11</f>
        <v>49.200476330864156</v>
      </c>
      <c r="F68" s="7">
        <f>F69/Hsehold!F11</f>
        <v>75.24182516408587</v>
      </c>
      <c r="G68" s="7">
        <f>G69/Hsehold!G11</f>
        <v>88.39874537319646</v>
      </c>
      <c r="H68" s="7">
        <f>H69/Hsehold!H11</f>
        <v>89.34665661517519</v>
      </c>
      <c r="I68" s="7">
        <f>I69/Hsehold!I11</f>
        <v>90.30552647844381</v>
      </c>
      <c r="J68" s="7">
        <f>J69/Hsehold!J11</f>
        <v>91.27546139432448</v>
      </c>
      <c r="K68" s="7">
        <f>K69/Hsehold!K11</f>
        <v>92.25657057591957</v>
      </c>
      <c r="L68" s="7">
        <f>L69/Hsehold!L11</f>
        <v>93.24896607623805</v>
      </c>
      <c r="M68" s="7">
        <f>M69/Hsehold!M11</f>
        <v>93.34701514873252</v>
      </c>
      <c r="N68" s="7">
        <f>N69/Hsehold!N11</f>
        <v>93.44695643464816</v>
      </c>
      <c r="O68" s="7">
        <f>O69/Hsehold!O11</f>
        <v>93.54882024881798</v>
      </c>
      <c r="P68" s="7">
        <f>P69/Hsehold!P11</f>
        <v>93.6526374334118</v>
      </c>
      <c r="Q68" s="7">
        <f>Q69/Hsehold!Q11</f>
        <v>93.75843937201839</v>
      </c>
      <c r="R68" s="7">
        <f>R69/Hsehold!R11</f>
        <v>93.86625800413901</v>
      </c>
      <c r="S68" s="7">
        <f>S69/Hsehold!S11</f>
        <v>93.976125840108</v>
      </c>
      <c r="T68" s="7">
        <f>T69/Hsehold!T11</f>
        <v>94.0880759764545</v>
      </c>
      <c r="U68" s="7">
        <f>U69/Hsehold!U11</f>
        <v>94.20214211172193</v>
      </c>
    </row>
    <row r="69" spans="1:21" ht="12.75">
      <c r="A69" s="1" t="s">
        <v>86</v>
      </c>
      <c r="B69" s="9">
        <f>(B18)*(1-B51)/(1-B50)</f>
        <v>25606380</v>
      </c>
      <c r="C69" s="9">
        <f>(C18)*(1-C51)/(1-C50)</f>
        <v>35116478</v>
      </c>
      <c r="D69" s="9">
        <f>(D18)*(1-D51)/(1-D50)</f>
        <v>36169972.34</v>
      </c>
      <c r="E69" s="9">
        <f aca="true" t="shared" si="10" ref="E69:L69">(E60*(E18)*(1-E51)/(1-E50))+(1-E60)*E18</f>
        <v>37255071.5102</v>
      </c>
      <c r="F69" s="9">
        <f t="shared" si="10"/>
        <v>58855391.21836084</v>
      </c>
      <c r="G69" s="9">
        <f t="shared" si="10"/>
        <v>71430528.81128696</v>
      </c>
      <c r="H69" s="9">
        <f t="shared" si="10"/>
        <v>74580777.20651083</v>
      </c>
      <c r="I69" s="9">
        <f t="shared" si="10"/>
        <v>77870643.41114888</v>
      </c>
      <c r="J69" s="9">
        <f t="shared" si="10"/>
        <v>81306320.24301308</v>
      </c>
      <c r="K69" s="9">
        <f t="shared" si="10"/>
        <v>84894276.40934844</v>
      </c>
      <c r="L69" s="9">
        <f t="shared" si="10"/>
        <v>88641268.93456402</v>
      </c>
      <c r="M69" s="9">
        <f aca="true" t="shared" si="11" ref="M69:U69">(M18)*(1-M51)/(1-M50)</f>
        <v>91664929.76278102</v>
      </c>
      <c r="N69" s="9">
        <f t="shared" si="11"/>
        <v>94793546.21538459</v>
      </c>
      <c r="O69" s="9">
        <f t="shared" si="11"/>
        <v>98030848.01198128</v>
      </c>
      <c r="P69" s="9">
        <f t="shared" si="11"/>
        <v>101380701.51280738</v>
      </c>
      <c r="Q69" s="9">
        <f t="shared" si="11"/>
        <v>104847114.92140423</v>
      </c>
      <c r="R69" s="9">
        <f t="shared" si="11"/>
        <v>108434243.69505513</v>
      </c>
      <c r="S69" s="9">
        <f t="shared" si="11"/>
        <v>112146396.17176971</v>
      </c>
      <c r="T69" s="9">
        <f t="shared" si="11"/>
        <v>115988039.42299855</v>
      </c>
      <c r="U69" s="9">
        <f t="shared" si="11"/>
        <v>119963805.34167837</v>
      </c>
    </row>
    <row r="70" spans="1:21" ht="12.75">
      <c r="A70" s="5" t="s">
        <v>386</v>
      </c>
      <c r="B70" s="62">
        <f aca="true" t="shared" si="12" ref="B70:U70">B69-B18</f>
        <v>0</v>
      </c>
      <c r="C70" s="62">
        <f t="shared" si="12"/>
        <v>0</v>
      </c>
      <c r="D70" s="62">
        <f t="shared" si="12"/>
        <v>0</v>
      </c>
      <c r="E70" s="62">
        <f t="shared" si="12"/>
        <v>0</v>
      </c>
      <c r="F70" s="62">
        <f t="shared" si="12"/>
        <v>20482667.56285484</v>
      </c>
      <c r="G70" s="62">
        <f t="shared" si="12"/>
        <v>31906623.446115777</v>
      </c>
      <c r="H70" s="62">
        <f t="shared" si="12"/>
        <v>33871154.68038451</v>
      </c>
      <c r="I70" s="62">
        <f t="shared" si="12"/>
        <v>35939732.20923877</v>
      </c>
      <c r="J70" s="62">
        <f t="shared" si="12"/>
        <v>38117481.70504567</v>
      </c>
      <c r="K70" s="62">
        <f t="shared" si="12"/>
        <v>40409772.715242006</v>
      </c>
      <c r="L70" s="62">
        <f t="shared" si="12"/>
        <v>42822230.129634395</v>
      </c>
      <c r="M70" s="62">
        <f t="shared" si="12"/>
        <v>44471319.793703504</v>
      </c>
      <c r="N70" s="62">
        <f t="shared" si="12"/>
        <v>46184127.94723474</v>
      </c>
      <c r="O70" s="62">
        <f t="shared" si="12"/>
        <v>47963147.19578694</v>
      </c>
      <c r="P70" s="62">
        <f t="shared" si="12"/>
        <v>49810969.67212721</v>
      </c>
      <c r="Q70" s="62">
        <f t="shared" si="12"/>
        <v>51730291.125503644</v>
      </c>
      <c r="R70" s="62">
        <f t="shared" si="12"/>
        <v>53723915.18527752</v>
      </c>
      <c r="S70" s="62">
        <f t="shared" si="12"/>
        <v>55794757.80669878</v>
      </c>
      <c r="T70" s="62">
        <f t="shared" si="12"/>
        <v>57945851.906975485</v>
      </c>
      <c r="U70" s="62">
        <f t="shared" si="12"/>
        <v>60180352.20017461</v>
      </c>
    </row>
    <row r="71" spans="1:21" ht="12.75">
      <c r="A71" s="5" t="s">
        <v>514</v>
      </c>
      <c r="B71" s="62">
        <f>B70/Hsehold!B11</f>
        <v>0</v>
      </c>
      <c r="C71" s="62">
        <f>C70/Hsehold!C11</f>
        <v>0</v>
      </c>
      <c r="D71" s="62">
        <f>D70/Hsehold!D11</f>
        <v>0</v>
      </c>
      <c r="E71" s="62">
        <f>E70/Hsehold!E11</f>
        <v>0</v>
      </c>
      <c r="F71" s="62">
        <f>F70/Hsehold!F11</f>
        <v>26.185422605391334</v>
      </c>
      <c r="G71" s="62">
        <f>G70/Hsehold!G11</f>
        <v>39.48599469539377</v>
      </c>
      <c r="H71" s="62">
        <f>H70/Hsehold!H11</f>
        <v>40.57713716241091</v>
      </c>
      <c r="I71" s="62">
        <f>I70/Hsehold!I11</f>
        <v>41.6788188266712</v>
      </c>
      <c r="J71" s="62">
        <f>J70/Hsehold!J11</f>
        <v>42.79114734769643</v>
      </c>
      <c r="K71" s="62">
        <f>K70/Hsehold!K11</f>
        <v>43.914233163191945</v>
      </c>
      <c r="L71" s="62">
        <f>L70/Hsehold!L11</f>
        <v>45.04818954718382</v>
      </c>
      <c r="M71" s="62">
        <f>M70/Hsehold!M11</f>
        <v>45.28738497056613</v>
      </c>
      <c r="N71" s="62">
        <f>N70/Hsehold!N11</f>
        <v>45.528059288460625</v>
      </c>
      <c r="O71" s="62">
        <f>O70/Hsehold!O11</f>
        <v>45.770244026022134</v>
      </c>
      <c r="P71" s="62">
        <f>P70/Hsehold!P11</f>
        <v>46.01397123219829</v>
      </c>
      <c r="Q71" s="62">
        <f>Q70/Hsehold!Q11</f>
        <v>46.259273493821716</v>
      </c>
      <c r="R71" s="62">
        <f>R70/Hsehold!R11</f>
        <v>46.50618395011417</v>
      </c>
      <c r="S71" s="62">
        <f>S70/Hsehold!S11</f>
        <v>46.75473630761728</v>
      </c>
      <c r="T71" s="62">
        <f>T70/Hsehold!T11</f>
        <v>47.00496485556462</v>
      </c>
      <c r="U71" s="62">
        <f>U70/Hsehold!U11</f>
        <v>47.256904481711494</v>
      </c>
    </row>
    <row r="72" spans="1:21" ht="12.75">
      <c r="A72" s="86" t="s">
        <v>243</v>
      </c>
      <c r="B72" s="7">
        <f aca="true" t="shared" si="13" ref="B72:U72">B71/365*1000</f>
        <v>0</v>
      </c>
      <c r="C72" s="7">
        <f t="shared" si="13"/>
        <v>0</v>
      </c>
      <c r="D72" s="7">
        <f t="shared" si="13"/>
        <v>0</v>
      </c>
      <c r="E72" s="7">
        <f t="shared" si="13"/>
        <v>0</v>
      </c>
      <c r="F72" s="7">
        <f t="shared" si="13"/>
        <v>71.74088385038722</v>
      </c>
      <c r="G72" s="7">
        <f t="shared" si="13"/>
        <v>108.18080738464046</v>
      </c>
      <c r="H72" s="7">
        <f t="shared" si="13"/>
        <v>111.17023880112576</v>
      </c>
      <c r="I72" s="7">
        <f t="shared" si="13"/>
        <v>114.18854473060603</v>
      </c>
      <c r="J72" s="7">
        <f t="shared" si="13"/>
        <v>117.23602013067514</v>
      </c>
      <c r="K72" s="7">
        <f t="shared" si="13"/>
        <v>120.31296757038889</v>
      </c>
      <c r="L72" s="7">
        <f t="shared" si="13"/>
        <v>123.41969738954471</v>
      </c>
      <c r="M72" s="7">
        <f t="shared" si="13"/>
        <v>124.07502731661954</v>
      </c>
      <c r="N72" s="7">
        <f t="shared" si="13"/>
        <v>124.73440900948117</v>
      </c>
      <c r="O72" s="7">
        <f t="shared" si="13"/>
        <v>125.3979288384168</v>
      </c>
      <c r="P72" s="7">
        <f t="shared" si="13"/>
        <v>126.06567460876242</v>
      </c>
      <c r="Q72" s="7">
        <f t="shared" si="13"/>
        <v>126.73773559951154</v>
      </c>
      <c r="R72" s="7">
        <f t="shared" si="13"/>
        <v>127.41420260305253</v>
      </c>
      <c r="S72" s="7">
        <f t="shared" si="13"/>
        <v>128.09516796607474</v>
      </c>
      <c r="T72" s="7">
        <f t="shared" si="13"/>
        <v>128.7807256316839</v>
      </c>
      <c r="U72" s="7">
        <f t="shared" si="13"/>
        <v>129.4709711827712</v>
      </c>
    </row>
    <row r="73" ht="12.75">
      <c r="A73" s="86" t="s">
        <v>249</v>
      </c>
    </row>
    <row r="74" spans="1:12" ht="12.75">
      <c r="A74" s="86" t="s">
        <v>244</v>
      </c>
      <c r="B74" s="78"/>
      <c r="D74" s="38"/>
      <c r="E74" s="40"/>
      <c r="F74" s="40"/>
      <c r="G74" s="40"/>
      <c r="H74" s="40"/>
      <c r="I74" s="40"/>
      <c r="J74" s="40"/>
      <c r="K74" s="40"/>
      <c r="L74" s="40"/>
    </row>
    <row r="75" ht="12.75">
      <c r="A75" s="86" t="s">
        <v>245</v>
      </c>
    </row>
    <row r="76" ht="12.75">
      <c r="A76" s="86" t="s">
        <v>246</v>
      </c>
    </row>
    <row r="77" ht="12.75">
      <c r="A77" s="86" t="s">
        <v>247</v>
      </c>
    </row>
    <row r="78" ht="12.75">
      <c r="A78" s="86" t="s">
        <v>248</v>
      </c>
    </row>
    <row r="79" ht="12.75">
      <c r="A79" s="86" t="s">
        <v>284</v>
      </c>
    </row>
    <row r="80" ht="12.75">
      <c r="A80" s="5"/>
    </row>
    <row r="81" ht="12.75">
      <c r="A81" s="5"/>
    </row>
    <row r="82" spans="1:21" ht="12.75">
      <c r="A82" s="1" t="s">
        <v>92</v>
      </c>
      <c r="B82" s="7">
        <f>SUM(B83:B89)</f>
        <v>12484700.202942666</v>
      </c>
      <c r="C82" s="7">
        <v>12484700</v>
      </c>
      <c r="D82" s="7">
        <v>12484700</v>
      </c>
      <c r="E82" s="7">
        <v>12484700</v>
      </c>
      <c r="F82" s="7">
        <v>12484700</v>
      </c>
      <c r="G82" s="7">
        <v>12484700</v>
      </c>
      <c r="H82" s="7">
        <v>12484700</v>
      </c>
      <c r="I82" s="7">
        <v>12484700</v>
      </c>
      <c r="J82" s="7">
        <v>12484700</v>
      </c>
      <c r="K82" s="7">
        <v>12484700</v>
      </c>
      <c r="L82" s="7">
        <v>12484700</v>
      </c>
      <c r="M82" s="7">
        <v>12484700</v>
      </c>
      <c r="N82" s="7">
        <v>12484700</v>
      </c>
      <c r="O82" s="7">
        <v>12484700</v>
      </c>
      <c r="P82" s="7">
        <v>12484700</v>
      </c>
      <c r="Q82" s="7">
        <v>12484700</v>
      </c>
      <c r="R82" s="7">
        <v>12484700</v>
      </c>
      <c r="S82" s="7">
        <v>12484700</v>
      </c>
      <c r="T82" s="7">
        <v>12484700</v>
      </c>
      <c r="U82" s="7">
        <v>12484700</v>
      </c>
    </row>
    <row r="83" spans="1:2" ht="12.75">
      <c r="A83" s="5" t="s">
        <v>93</v>
      </c>
      <c r="B83" s="7">
        <f>2156313-(354089+59105)</f>
        <v>1743119</v>
      </c>
    </row>
    <row r="84" spans="1:2" ht="12.75">
      <c r="A84" s="5" t="s">
        <v>100</v>
      </c>
      <c r="B84" s="7">
        <f>(1630213*0.05/0.043)+826533+2251206</f>
        <v>4973335.511627907</v>
      </c>
    </row>
    <row r="85" spans="1:2" ht="12.75">
      <c r="A85" s="5" t="s">
        <v>94</v>
      </c>
      <c r="B85" s="7">
        <f>799570+3686</f>
        <v>803256</v>
      </c>
    </row>
    <row r="86" spans="1:2" ht="12.75">
      <c r="A86" s="5" t="s">
        <v>95</v>
      </c>
      <c r="B86" s="7">
        <f>278196+25427+3375</f>
        <v>306998</v>
      </c>
    </row>
    <row r="87" spans="1:2" ht="12.75">
      <c r="A87" s="5" t="s">
        <v>96</v>
      </c>
      <c r="B87" s="7">
        <f>443621*B$32</f>
        <v>358614.0759245063</v>
      </c>
    </row>
    <row r="88" spans="1:2" ht="12.75">
      <c r="A88" s="5" t="s">
        <v>97</v>
      </c>
      <c r="B88" s="7">
        <f>296124-(77521+(1-B$32)*30004)</f>
        <v>212853.6153902518</v>
      </c>
    </row>
    <row r="89" spans="1:2" ht="12.75">
      <c r="A89" s="5" t="s">
        <v>8</v>
      </c>
      <c r="B89" s="7">
        <v>4086524</v>
      </c>
    </row>
    <row r="90" spans="1:2" ht="12.75">
      <c r="A90" s="5" t="s">
        <v>99</v>
      </c>
      <c r="B90" s="16">
        <f>B83/2156313</f>
        <v>0.8083793957556255</v>
      </c>
    </row>
    <row r="91" ht="12.75">
      <c r="A91" s="5" t="s">
        <v>98</v>
      </c>
    </row>
    <row r="92" ht="12.75">
      <c r="A92" s="5"/>
    </row>
    <row r="93" spans="1:21" ht="12.75">
      <c r="A93" s="1" t="s">
        <v>3</v>
      </c>
      <c r="B93" s="64">
        <f>B82/B63</f>
        <v>0.23946959123396083</v>
      </c>
      <c r="C93" s="64">
        <f aca="true" t="shared" si="14" ref="C93:U93">C82/C63</f>
        <v>0.2394695873413085</v>
      </c>
      <c r="D93" s="64">
        <f t="shared" si="14"/>
        <v>0.2394695873413085</v>
      </c>
      <c r="E93" s="64">
        <f t="shared" si="14"/>
        <v>0.2394695873413085</v>
      </c>
      <c r="F93" s="64">
        <f t="shared" si="14"/>
        <v>0.2394695873413085</v>
      </c>
      <c r="G93" s="64">
        <f t="shared" si="14"/>
        <v>0.2394695873413085</v>
      </c>
      <c r="H93" s="64">
        <f t="shared" si="14"/>
        <v>0.2394695873413085</v>
      </c>
      <c r="I93" s="64">
        <f t="shared" si="14"/>
        <v>0.2394695873413085</v>
      </c>
      <c r="J93" s="64">
        <f t="shared" si="14"/>
        <v>0.2394695873413085</v>
      </c>
      <c r="K93" s="64">
        <f t="shared" si="14"/>
        <v>0.2394695873413085</v>
      </c>
      <c r="L93" s="64">
        <f t="shared" si="14"/>
        <v>0.2394695873413085</v>
      </c>
      <c r="M93" s="64">
        <f t="shared" si="14"/>
        <v>0.2394695873413085</v>
      </c>
      <c r="N93" s="64">
        <f t="shared" si="14"/>
        <v>0.2394695873413085</v>
      </c>
      <c r="O93" s="64">
        <f t="shared" si="14"/>
        <v>0.2394695873413085</v>
      </c>
      <c r="P93" s="64">
        <f t="shared" si="14"/>
        <v>0.2394695873413085</v>
      </c>
      <c r="Q93" s="64">
        <f t="shared" si="14"/>
        <v>0.2394695873413085</v>
      </c>
      <c r="R93" s="64">
        <f t="shared" si="14"/>
        <v>0.2394695873413085</v>
      </c>
      <c r="S93" s="64">
        <f t="shared" si="14"/>
        <v>0.2394695873413085</v>
      </c>
      <c r="T93" s="64">
        <f t="shared" si="14"/>
        <v>0.2394695873413085</v>
      </c>
      <c r="U93" s="64">
        <f t="shared" si="14"/>
        <v>0.2394695873413085</v>
      </c>
    </row>
    <row r="94" spans="1:2" ht="12.75">
      <c r="A94" s="1"/>
      <c r="B94" s="64"/>
    </row>
    <row r="95" spans="1:21" ht="12.75">
      <c r="A95" s="1" t="s">
        <v>500</v>
      </c>
      <c r="B95" s="64">
        <f>B82/B69+$B41</f>
        <v>0.6524620920623168</v>
      </c>
      <c r="C95" s="64">
        <f>C82/C69+$B41</f>
        <v>0.5204225555364635</v>
      </c>
      <c r="D95" s="64">
        <f>D82/D69+$B41</f>
        <v>0.5100675296470519</v>
      </c>
      <c r="E95" s="64">
        <f aca="true" t="shared" si="15" ref="E95:U95">E82/E69</f>
        <v>0.3351141064534485</v>
      </c>
      <c r="F95" s="64">
        <f t="shared" si="15"/>
        <v>0.2121250023414203</v>
      </c>
      <c r="G95" s="64">
        <f t="shared" si="15"/>
        <v>0.174781010413397</v>
      </c>
      <c r="H95" s="64">
        <f t="shared" si="15"/>
        <v>0.16739836279032633</v>
      </c>
      <c r="I95" s="64">
        <f t="shared" si="15"/>
        <v>0.16032614414243485</v>
      </c>
      <c r="J95" s="64">
        <f t="shared" si="15"/>
        <v>0.15355140858281371</v>
      </c>
      <c r="K95" s="64">
        <f t="shared" si="15"/>
        <v>0.14706173994346222</v>
      </c>
      <c r="L95" s="64">
        <f t="shared" si="15"/>
        <v>0.14084523100877927</v>
      </c>
      <c r="M95" s="64">
        <f t="shared" si="15"/>
        <v>0.13619930798298827</v>
      </c>
      <c r="N95" s="64">
        <f t="shared" si="15"/>
        <v>0.13170411381839187</v>
      </c>
      <c r="O95" s="64">
        <f t="shared" si="15"/>
        <v>0.12735480976839175</v>
      </c>
      <c r="P95" s="64">
        <f t="shared" si="15"/>
        <v>0.1231467114914648</v>
      </c>
      <c r="Q95" s="64">
        <f t="shared" si="15"/>
        <v>0.1190752841349885</v>
      </c>
      <c r="R95" s="64">
        <f t="shared" si="15"/>
        <v>0.1151361375757844</v>
      </c>
      <c r="S95" s="64">
        <f t="shared" si="15"/>
        <v>0.11132502181236152</v>
      </c>
      <c r="T95" s="64">
        <f t="shared" si="15"/>
        <v>0.10763782250400282</v>
      </c>
      <c r="U95" s="64">
        <f t="shared" si="15"/>
        <v>0.10407055665199468</v>
      </c>
    </row>
    <row r="96" ht="12.75">
      <c r="A96" s="1" t="s">
        <v>101</v>
      </c>
    </row>
    <row r="97" ht="12.75"/>
    <row r="98" spans="1:21" ht="12.75">
      <c r="A98" s="1" t="s">
        <v>327</v>
      </c>
      <c r="B98" s="92">
        <f aca="true" t="shared" si="16" ref="B98:U98">(B46-B95)</f>
        <v>0</v>
      </c>
      <c r="C98" s="92">
        <f t="shared" si="16"/>
        <v>0</v>
      </c>
      <c r="D98" s="92">
        <f t="shared" si="16"/>
        <v>0</v>
      </c>
      <c r="E98" s="92">
        <f t="shared" si="16"/>
        <v>0.16489999999999994</v>
      </c>
      <c r="F98" s="92">
        <f t="shared" si="16"/>
        <v>0.2781284990696948</v>
      </c>
      <c r="G98" s="92">
        <f t="shared" si="16"/>
        <v>0.3059961754226371</v>
      </c>
      <c r="H98" s="92">
        <f t="shared" si="16"/>
        <v>0.3041785166621339</v>
      </c>
      <c r="I98" s="92">
        <f t="shared" si="16"/>
        <v>0.3023183990152935</v>
      </c>
      <c r="J98" s="92">
        <f t="shared" si="16"/>
        <v>0.3004209634149808</v>
      </c>
      <c r="K98" s="92">
        <f t="shared" si="16"/>
        <v>0.29849104840391105</v>
      </c>
      <c r="L98" s="92">
        <f t="shared" si="16"/>
        <v>0.2965332042799327</v>
      </c>
      <c r="M98" s="92">
        <f t="shared" si="16"/>
        <v>0.2932428622002272</v>
      </c>
      <c r="N98" s="92">
        <f t="shared" si="16"/>
        <v>0.2900329446119144</v>
      </c>
      <c r="O98" s="92">
        <f t="shared" si="16"/>
        <v>0.2869015576396726</v>
      </c>
      <c r="P98" s="92">
        <f t="shared" si="16"/>
        <v>0.2838468490988889</v>
      </c>
      <c r="Q98" s="92">
        <f t="shared" si="16"/>
        <v>0.28086700770030637</v>
      </c>
      <c r="R98" s="92">
        <f t="shared" si="16"/>
        <v>0.2779602622643077</v>
      </c>
      <c r="S98" s="92">
        <f t="shared" si="16"/>
        <v>0.2751248809450094</v>
      </c>
      <c r="T98" s="92">
        <f t="shared" si="16"/>
        <v>0.2723591704643185</v>
      </c>
      <c r="U98" s="92">
        <f t="shared" si="16"/>
        <v>0.26966147535608426</v>
      </c>
    </row>
    <row r="99" ht="12.75">
      <c r="A99" s="5" t="s">
        <v>105</v>
      </c>
    </row>
    <row r="100" ht="12.75"/>
    <row r="101" ht="12.75"/>
    <row r="102" spans="1:2" ht="12.75">
      <c r="A102" s="1" t="s">
        <v>261</v>
      </c>
      <c r="B102" s="9" t="s">
        <v>260</v>
      </c>
    </row>
    <row r="103" spans="1:21" s="1" customFormat="1" ht="12.75">
      <c r="A103" s="1" t="s">
        <v>262</v>
      </c>
      <c r="B103" s="9">
        <v>0</v>
      </c>
      <c r="C103" s="9">
        <f>B103+1</f>
        <v>1</v>
      </c>
      <c r="D103" s="9">
        <f aca="true" t="shared" si="17" ref="D103:U103">C103+1</f>
        <v>2</v>
      </c>
      <c r="E103" s="9">
        <f t="shared" si="17"/>
        <v>3</v>
      </c>
      <c r="F103" s="9">
        <f t="shared" si="17"/>
        <v>4</v>
      </c>
      <c r="G103" s="9">
        <f t="shared" si="17"/>
        <v>5</v>
      </c>
      <c r="H103" s="9">
        <f t="shared" si="17"/>
        <v>6</v>
      </c>
      <c r="I103" s="9">
        <f t="shared" si="17"/>
        <v>7</v>
      </c>
      <c r="J103" s="9">
        <f t="shared" si="17"/>
        <v>8</v>
      </c>
      <c r="K103" s="9">
        <f t="shared" si="17"/>
        <v>9</v>
      </c>
      <c r="L103" s="9">
        <f t="shared" si="17"/>
        <v>10</v>
      </c>
      <c r="M103" s="9">
        <f t="shared" si="17"/>
        <v>11</v>
      </c>
      <c r="N103" s="9">
        <f t="shared" si="17"/>
        <v>12</v>
      </c>
      <c r="O103" s="9">
        <f t="shared" si="17"/>
        <v>13</v>
      </c>
      <c r="P103" s="9">
        <f t="shared" si="17"/>
        <v>14</v>
      </c>
      <c r="Q103" s="9">
        <f t="shared" si="17"/>
        <v>15</v>
      </c>
      <c r="R103" s="9">
        <f t="shared" si="17"/>
        <v>16</v>
      </c>
      <c r="S103" s="9">
        <f t="shared" si="17"/>
        <v>17</v>
      </c>
      <c r="T103" s="9">
        <f t="shared" si="17"/>
        <v>18</v>
      </c>
      <c r="U103" s="9">
        <f t="shared" si="17"/>
        <v>19</v>
      </c>
    </row>
    <row r="104" spans="1:21" s="1" customFormat="1" ht="12.75">
      <c r="A104" s="1" t="s">
        <v>259</v>
      </c>
      <c r="B104" s="9"/>
      <c r="C104" s="9"/>
      <c r="D104" s="9"/>
      <c r="E104" s="9"/>
      <c r="F104" s="9"/>
      <c r="G104" s="9"/>
      <c r="H104" s="9"/>
      <c r="I104" s="9"/>
      <c r="J104" s="9"/>
      <c r="K104" s="9"/>
      <c r="L104" s="9"/>
      <c r="M104" s="9"/>
      <c r="N104" s="9"/>
      <c r="O104" s="9"/>
      <c r="P104" s="9"/>
      <c r="Q104" s="9"/>
      <c r="R104" s="9"/>
      <c r="S104" s="9"/>
      <c r="T104" s="9"/>
      <c r="U104" s="9"/>
    </row>
    <row r="105" spans="2:21" s="1" customFormat="1" ht="12.75">
      <c r="B105" s="9"/>
      <c r="C105" s="9"/>
      <c r="D105" s="9"/>
      <c r="E105" s="9"/>
      <c r="F105" s="9"/>
      <c r="G105" s="9"/>
      <c r="H105" s="9"/>
      <c r="I105" s="9"/>
      <c r="J105" s="9"/>
      <c r="K105" s="9"/>
      <c r="L105" s="9"/>
      <c r="M105" s="9"/>
      <c r="N105" s="9"/>
      <c r="O105" s="9"/>
      <c r="P105" s="9"/>
      <c r="Q105" s="9"/>
      <c r="R105" s="9"/>
      <c r="S105" s="9"/>
      <c r="T105" s="9"/>
      <c r="U105" s="9"/>
    </row>
    <row r="106" spans="1:21" ht="12.75">
      <c r="A106" s="79" t="s">
        <v>224</v>
      </c>
      <c r="C106" s="7"/>
      <c r="D106" s="7"/>
      <c r="E106" s="7"/>
      <c r="F106" s="7"/>
      <c r="G106" s="7"/>
      <c r="H106" s="7"/>
      <c r="I106" s="7"/>
      <c r="J106" s="7"/>
      <c r="K106" s="7"/>
      <c r="L106" s="7"/>
      <c r="M106" s="7"/>
      <c r="N106" s="7"/>
      <c r="O106" s="7"/>
      <c r="P106" s="7"/>
      <c r="Q106" s="7"/>
      <c r="R106" s="7"/>
      <c r="S106" s="7"/>
      <c r="T106" s="7"/>
      <c r="U106" s="7"/>
    </row>
    <row r="107" spans="1:21" ht="12.75">
      <c r="A107" s="3" t="s">
        <v>225</v>
      </c>
      <c r="B107" s="7">
        <f>Wcon!$B158</f>
        <v>0</v>
      </c>
      <c r="C107" s="7">
        <f>Wcon!$B206</f>
        <v>510528.357020732</v>
      </c>
      <c r="D107" s="7">
        <f>Wcon!$B254</f>
        <v>1036674.8409740739</v>
      </c>
      <c r="E107" s="7">
        <f>Wcon!$B302</f>
        <v>1578949.5398971029</v>
      </c>
      <c r="F107" s="7">
        <f>Wcon!$B350</f>
        <v>2137879.3769933414</v>
      </c>
      <c r="G107" s="7">
        <f>Wcon!$B398</f>
        <v>2714008.6665590163</v>
      </c>
      <c r="H107" s="7">
        <f>Wcon!$B446</f>
        <v>3307899.688268846</v>
      </c>
      <c r="I107" s="7">
        <f>Wcon!$B494</f>
        <v>3920133.2804273963</v>
      </c>
      <c r="J107" s="7">
        <f>Wcon!$B542</f>
        <v>4551309.452812612</v>
      </c>
      <c r="K107" s="7">
        <f>Wcon!$B590</f>
        <v>5202048.019758258</v>
      </c>
      <c r="L107" s="7">
        <f>Wcon!$B638</f>
        <v>5872989.254144045</v>
      </c>
      <c r="M107" s="7">
        <f>Wcon!$B686</f>
        <v>6564794.562983474</v>
      </c>
      <c r="N107" s="7">
        <f>Wcon!$B734</f>
        <v>7278147.18532305</v>
      </c>
      <c r="O107" s="7">
        <f>Wcon!$B782</f>
        <v>8013752.913189407</v>
      </c>
      <c r="P107" s="7">
        <f>Wcon!$B830</f>
        <v>8772340.836345766</v>
      </c>
      <c r="Q107" s="7">
        <f>Wcon!$B878</f>
        <v>9554664.11164373</v>
      </c>
      <c r="R107" s="7">
        <f>Wcon!$B926</f>
        <v>10361500.757783</v>
      </c>
      <c r="S107" s="7">
        <f>Wcon!$B974</f>
        <v>11193654.476317791</v>
      </c>
      <c r="T107" s="7">
        <f>Wcon!$B1022</f>
        <v>12051955.499777026</v>
      </c>
      <c r="U107" s="7">
        <f>Wcon!$B1070</f>
        <v>12937261.46779354</v>
      </c>
    </row>
    <row r="108" spans="1:21" ht="12.75">
      <c r="A108" s="3" t="s">
        <v>226</v>
      </c>
      <c r="B108" s="7">
        <f aca="true" t="shared" si="18" ref="B108:U108">B46*B107</f>
        <v>0</v>
      </c>
      <c r="C108" s="7">
        <f t="shared" si="18"/>
        <v>265690.4722345614</v>
      </c>
      <c r="D108" s="7">
        <f t="shared" si="18"/>
        <v>528774.1751828963</v>
      </c>
      <c r="E108" s="7">
        <f t="shared" si="18"/>
        <v>789497.0433267334</v>
      </c>
      <c r="F108" s="7">
        <f t="shared" si="18"/>
        <v>1048102.8501655989</v>
      </c>
      <c r="G108" s="7">
        <f t="shared" si="18"/>
        <v>1304833.4490428513</v>
      </c>
      <c r="H108" s="7">
        <f t="shared" si="18"/>
        <v>1559929.0125355884</v>
      </c>
      <c r="I108" s="7">
        <f t="shared" si="18"/>
        <v>1813628.2706407397</v>
      </c>
      <c r="J108" s="7">
        <f t="shared" si="18"/>
        <v>2066168.7479893256</v>
      </c>
      <c r="K108" s="7">
        <f t="shared" si="18"/>
        <v>2317787.0003202236</v>
      </c>
      <c r="L108" s="7">
        <f t="shared" si="18"/>
        <v>2568718.850444942</v>
      </c>
      <c r="M108" s="7">
        <f t="shared" si="18"/>
        <v>2819199.6239345963</v>
      </c>
      <c r="N108" s="7">
        <f t="shared" si="18"/>
        <v>3069464.3847609563</v>
      </c>
      <c r="O108" s="7">
        <f t="shared" si="18"/>
        <v>3319748.1711236374</v>
      </c>
      <c r="P108" s="7">
        <f t="shared" si="18"/>
        <v>3570286.2316965247</v>
      </c>
      <c r="Q108" s="7">
        <f t="shared" si="18"/>
        <v>3821314.262527235</v>
      </c>
      <c r="R108" s="7">
        <f t="shared" si="18"/>
        <v>4073068.644824883</v>
      </c>
      <c r="S108" s="7">
        <f t="shared" si="18"/>
        <v>4325786.683872621</v>
      </c>
      <c r="T108" s="7">
        <f t="shared" si="18"/>
        <v>4579706.849303292</v>
      </c>
      <c r="U108" s="7">
        <f t="shared" si="18"/>
        <v>4835069.016978301</v>
      </c>
    </row>
    <row r="109" ht="12.75">
      <c r="A109" s="3"/>
    </row>
    <row r="110" spans="1:21" ht="12.75">
      <c r="A110" s="79" t="s">
        <v>7</v>
      </c>
      <c r="C110" s="7"/>
      <c r="D110" s="7"/>
      <c r="E110" s="7"/>
      <c r="F110" s="7"/>
      <c r="G110" s="7"/>
      <c r="H110" s="7"/>
      <c r="I110" s="7"/>
      <c r="J110" s="7"/>
      <c r="K110" s="7"/>
      <c r="L110" s="7"/>
      <c r="M110" s="7"/>
      <c r="N110" s="7"/>
      <c r="O110" s="7"/>
      <c r="P110" s="7"/>
      <c r="Q110" s="7"/>
      <c r="R110" s="7"/>
      <c r="S110" s="7"/>
      <c r="T110" s="7"/>
      <c r="U110" s="7"/>
    </row>
    <row r="111" spans="1:21" ht="12.75">
      <c r="A111" s="3" t="s">
        <v>225</v>
      </c>
      <c r="B111" s="63">
        <f>Wcon!$B182</f>
        <v>0</v>
      </c>
      <c r="C111" s="63">
        <f>Wcon!$B230</f>
        <v>510528.357020732</v>
      </c>
      <c r="D111" s="63">
        <f>Wcon!$B278</f>
        <v>1036674.8409740739</v>
      </c>
      <c r="E111" s="63">
        <f>Wcon!$B326</f>
        <v>-1850306.1332751513</v>
      </c>
      <c r="F111" s="63">
        <f>Wcon!$B374</f>
        <v>-4779218.498756912</v>
      </c>
      <c r="G111" s="63">
        <f>Wcon!$B422</f>
        <v>-7748988.416156437</v>
      </c>
      <c r="H111" s="63">
        <f>Wcon!$B470</f>
        <v>-7476321.133258812</v>
      </c>
      <c r="I111" s="63">
        <f>Wcon!$B518</f>
        <v>-7188537.405136179</v>
      </c>
      <c r="J111" s="63">
        <f>Wcon!$B566</f>
        <v>-6884954.887735404</v>
      </c>
      <c r="K111" s="63">
        <f>Wcon!$B614</f>
        <v>-6564866.2985529825</v>
      </c>
      <c r="L111" s="63">
        <f>Wcon!$B662</f>
        <v>-6227538.53922243</v>
      </c>
      <c r="M111" s="63">
        <f>Wcon!$B710</f>
        <v>-5628348.918065008</v>
      </c>
      <c r="N111" s="63">
        <f>Wcon!$B758</f>
        <v>-5006704.491818193</v>
      </c>
      <c r="O111" s="63">
        <f>Wcon!$B806</f>
        <v>-4361846.753044888</v>
      </c>
      <c r="P111" s="63">
        <f>Wcon!$B854</f>
        <v>-3692991.9286573566</v>
      </c>
      <c r="Q111" s="63">
        <f>Wcon!$B902</f>
        <v>-2999330.1431313716</v>
      </c>
      <c r="R111" s="63">
        <f>Wcon!$B950</f>
        <v>-2280024.55406392</v>
      </c>
      <c r="S111" s="63">
        <f>Wcon!$B998</f>
        <v>-1534210.4591616578</v>
      </c>
      <c r="T111" s="63">
        <f>Wcon!$B1046</f>
        <v>-760994.3737173937</v>
      </c>
      <c r="U111" s="63">
        <f>Wcon!$B1094</f>
        <v>0</v>
      </c>
    </row>
    <row r="112" spans="1:21" ht="12.75">
      <c r="A112" s="3" t="s">
        <v>226</v>
      </c>
      <c r="B112" s="7">
        <f>B95*B111</f>
        <v>0</v>
      </c>
      <c r="C112" s="7">
        <f aca="true" t="shared" si="19" ref="C112:U112">C95*C111</f>
        <v>265690.4722345614</v>
      </c>
      <c r="D112" s="7">
        <f t="shared" si="19"/>
        <v>528774.1751828963</v>
      </c>
      <c r="E112" s="7">
        <f t="shared" si="19"/>
        <v>-620063.6865178378</v>
      </c>
      <c r="F112" s="7">
        <f t="shared" si="19"/>
        <v>-1013791.735238969</v>
      </c>
      <c r="G112" s="7">
        <f t="shared" si="19"/>
        <v>-1354376.025057531</v>
      </c>
      <c r="H112" s="7">
        <f t="shared" si="19"/>
        <v>-1251523.9174022423</v>
      </c>
      <c r="I112" s="7">
        <f t="shared" si="19"/>
        <v>-1152510.4841891476</v>
      </c>
      <c r="J112" s="7">
        <f t="shared" si="19"/>
        <v>-1057194.5210408994</v>
      </c>
      <c r="K112" s="7">
        <f t="shared" si="19"/>
        <v>-965440.6603613981</v>
      </c>
      <c r="L112" s="7">
        <f t="shared" si="19"/>
        <v>-877119.104172859</v>
      </c>
      <c r="M112" s="7">
        <f t="shared" si="19"/>
        <v>-766577.2277272547</v>
      </c>
      <c r="N112" s="7">
        <f t="shared" si="19"/>
        <v>-659403.5782454772</v>
      </c>
      <c r="O112" s="7">
        <f t="shared" si="19"/>
        <v>-555502.163472909</v>
      </c>
      <c r="P112" s="7">
        <f t="shared" si="19"/>
        <v>-454779.8115786757</v>
      </c>
      <c r="Q112" s="7">
        <f t="shared" si="19"/>
        <v>-357146.08900800376</v>
      </c>
      <c r="R112" s="7">
        <f t="shared" si="19"/>
        <v>-262513.22073287</v>
      </c>
      <c r="S112" s="7">
        <f t="shared" si="19"/>
        <v>-170796.01283092474</v>
      </c>
      <c r="T112" s="7">
        <f t="shared" si="19"/>
        <v>-81911.77732473762</v>
      </c>
      <c r="U112" s="7">
        <f t="shared" si="19"/>
        <v>0</v>
      </c>
    </row>
    <row r="113" ht="12.75"/>
    <row r="114" spans="1:21" ht="12.75">
      <c r="A114" s="3" t="s">
        <v>263</v>
      </c>
      <c r="B114" s="63">
        <f>B108-B112</f>
        <v>0</v>
      </c>
      <c r="C114" s="63">
        <f aca="true" t="shared" si="20" ref="C114:U114">C108-C112</f>
        <v>0</v>
      </c>
      <c r="D114" s="63">
        <f t="shared" si="20"/>
        <v>0</v>
      </c>
      <c r="E114" s="63">
        <f t="shared" si="20"/>
        <v>1409560.729844571</v>
      </c>
      <c r="F114" s="63">
        <f t="shared" si="20"/>
        <v>2061894.585404568</v>
      </c>
      <c r="G114" s="63">
        <f t="shared" si="20"/>
        <v>2659209.474100382</v>
      </c>
      <c r="H114" s="63">
        <f t="shared" si="20"/>
        <v>2811452.9299378307</v>
      </c>
      <c r="I114" s="63">
        <f t="shared" si="20"/>
        <v>2966138.7548298873</v>
      </c>
      <c r="J114" s="63">
        <f t="shared" si="20"/>
        <v>3123363.269030225</v>
      </c>
      <c r="K114" s="63">
        <f t="shared" si="20"/>
        <v>3283227.6606816216</v>
      </c>
      <c r="L114" s="63">
        <f t="shared" si="20"/>
        <v>3445837.9546178007</v>
      </c>
      <c r="M114" s="63">
        <f t="shared" si="20"/>
        <v>3585776.851661851</v>
      </c>
      <c r="N114" s="63">
        <f t="shared" si="20"/>
        <v>3728867.9630064336</v>
      </c>
      <c r="O114" s="63">
        <f t="shared" si="20"/>
        <v>3875250.3345965464</v>
      </c>
      <c r="P114" s="63">
        <f t="shared" si="20"/>
        <v>4025066.0432752003</v>
      </c>
      <c r="Q114" s="63">
        <f t="shared" si="20"/>
        <v>4178460.351535239</v>
      </c>
      <c r="R114" s="63">
        <f t="shared" si="20"/>
        <v>4335581.865557753</v>
      </c>
      <c r="S114" s="63">
        <f t="shared" si="20"/>
        <v>4496582.696703546</v>
      </c>
      <c r="T114" s="63">
        <f t="shared" si="20"/>
        <v>4661618.62662803</v>
      </c>
      <c r="U114" s="63">
        <f t="shared" si="20"/>
        <v>4835069.016978301</v>
      </c>
    </row>
    <row r="115" ht="12.75">
      <c r="A115" s="128" t="s">
        <v>521</v>
      </c>
    </row>
    <row r="116" ht="12.75">
      <c r="A116" s="128" t="s">
        <v>519</v>
      </c>
    </row>
    <row r="117" ht="12.75">
      <c r="A117" s="5" t="s">
        <v>712</v>
      </c>
    </row>
    <row r="118" spans="1:21" ht="12.75">
      <c r="A118" s="5" t="s">
        <v>520</v>
      </c>
      <c r="B118" s="13">
        <v>0.23</v>
      </c>
      <c r="C118" s="76">
        <f>B118*(1.07)</f>
        <v>0.2461</v>
      </c>
      <c r="D118" s="76">
        <f>C118</f>
        <v>0.2461</v>
      </c>
      <c r="E118" s="76">
        <f>D118</f>
        <v>0.2461</v>
      </c>
      <c r="F118" s="76">
        <f>E118*1.2</f>
        <v>0.29532</v>
      </c>
      <c r="G118" s="76">
        <f aca="true" t="shared" si="21" ref="G118:U118">F118</f>
        <v>0.29532</v>
      </c>
      <c r="H118" s="76">
        <f t="shared" si="21"/>
        <v>0.29532</v>
      </c>
      <c r="I118" s="76">
        <f t="shared" si="21"/>
        <v>0.29532</v>
      </c>
      <c r="J118" s="76">
        <f t="shared" si="21"/>
        <v>0.29532</v>
      </c>
      <c r="K118" s="76">
        <f t="shared" si="21"/>
        <v>0.29532</v>
      </c>
      <c r="L118" s="76">
        <f t="shared" si="21"/>
        <v>0.29532</v>
      </c>
      <c r="M118" s="76">
        <f t="shared" si="21"/>
        <v>0.29532</v>
      </c>
      <c r="N118" s="76">
        <f t="shared" si="21"/>
        <v>0.29532</v>
      </c>
      <c r="O118" s="76">
        <f t="shared" si="21"/>
        <v>0.29532</v>
      </c>
      <c r="P118" s="76">
        <f t="shared" si="21"/>
        <v>0.29532</v>
      </c>
      <c r="Q118" s="76">
        <f t="shared" si="21"/>
        <v>0.29532</v>
      </c>
      <c r="R118" s="76">
        <f t="shared" si="21"/>
        <v>0.29532</v>
      </c>
      <c r="S118" s="76">
        <f t="shared" si="21"/>
        <v>0.29532</v>
      </c>
      <c r="T118" s="76">
        <f t="shared" si="21"/>
        <v>0.29532</v>
      </c>
      <c r="U118" s="76">
        <f t="shared" si="21"/>
        <v>0.29532</v>
      </c>
    </row>
    <row r="119" spans="1:2" ht="12.75">
      <c r="A119" s="106" t="s">
        <v>528</v>
      </c>
      <c r="B119" s="237">
        <v>0.03</v>
      </c>
    </row>
    <row r="120" spans="1:2" ht="12.75">
      <c r="A120" s="106" t="s">
        <v>531</v>
      </c>
      <c r="B120" s="130">
        <v>0.5</v>
      </c>
    </row>
    <row r="121" spans="1:2" ht="12.75">
      <c r="A121" s="106" t="s">
        <v>532</v>
      </c>
      <c r="B121" s="130">
        <v>0.9</v>
      </c>
    </row>
    <row r="122" spans="1:21" ht="12.75">
      <c r="A122" s="106" t="s">
        <v>533</v>
      </c>
      <c r="B122" s="251">
        <v>1</v>
      </c>
      <c r="D122" s="76"/>
      <c r="E122" s="76"/>
      <c r="F122" s="76">
        <f>Disi_Base_Cost</f>
        <v>1</v>
      </c>
      <c r="G122" s="76">
        <f>F122</f>
        <v>1</v>
      </c>
      <c r="H122" s="76">
        <f aca="true" t="shared" si="22" ref="H122:T122">G122</f>
        <v>1</v>
      </c>
      <c r="I122" s="76">
        <f t="shared" si="22"/>
        <v>1</v>
      </c>
      <c r="J122" s="76">
        <f t="shared" si="22"/>
        <v>1</v>
      </c>
      <c r="K122" s="76">
        <f t="shared" si="22"/>
        <v>1</v>
      </c>
      <c r="L122" s="76">
        <f t="shared" si="22"/>
        <v>1</v>
      </c>
      <c r="M122" s="76">
        <f t="shared" si="22"/>
        <v>1</v>
      </c>
      <c r="N122" s="76">
        <f t="shared" si="22"/>
        <v>1</v>
      </c>
      <c r="O122" s="76">
        <f t="shared" si="22"/>
        <v>1</v>
      </c>
      <c r="P122" s="76">
        <f t="shared" si="22"/>
        <v>1</v>
      </c>
      <c r="Q122" s="76">
        <f t="shared" si="22"/>
        <v>1</v>
      </c>
      <c r="R122" s="76">
        <f t="shared" si="22"/>
        <v>1</v>
      </c>
      <c r="S122" s="76">
        <f t="shared" si="22"/>
        <v>1</v>
      </c>
      <c r="T122" s="76">
        <f t="shared" si="22"/>
        <v>1</v>
      </c>
      <c r="U122" s="76">
        <f>T122*(1+extraction_real_cost_increase)</f>
        <v>1.03</v>
      </c>
    </row>
    <row r="123" spans="1:2" ht="12.75">
      <c r="A123" s="106" t="s">
        <v>534</v>
      </c>
      <c r="B123" s="130">
        <v>0.5</v>
      </c>
    </row>
    <row r="124" spans="1:2" ht="12.75">
      <c r="A124" s="106"/>
      <c r="B124" s="130"/>
    </row>
    <row r="125" spans="1:2" ht="12.75">
      <c r="A125" s="1" t="s">
        <v>529</v>
      </c>
      <c r="B125" s="130"/>
    </row>
    <row r="126" spans="1:21" ht="12.75">
      <c r="A126" s="1" t="s">
        <v>526</v>
      </c>
      <c r="B126" s="64">
        <f>B46</f>
        <v>0.6524620920623168</v>
      </c>
      <c r="C126" s="64">
        <f aca="true" t="shared" si="23" ref="C126:U126">B126*($B120*(1+$B119)+(1-$B120))</f>
        <v>0.6622490234432515</v>
      </c>
      <c r="D126" s="64">
        <f t="shared" si="23"/>
        <v>0.6721827587949004</v>
      </c>
      <c r="E126" s="64">
        <f t="shared" si="23"/>
        <v>0.682265500176824</v>
      </c>
      <c r="F126" s="64">
        <f t="shared" si="23"/>
        <v>0.6924994826794764</v>
      </c>
      <c r="G126" s="64">
        <f t="shared" si="23"/>
        <v>0.7028869749196686</v>
      </c>
      <c r="H126" s="64">
        <f t="shared" si="23"/>
        <v>0.7134302795434637</v>
      </c>
      <c r="I126" s="64">
        <f t="shared" si="23"/>
        <v>0.7241317337366158</v>
      </c>
      <c r="J126" s="64">
        <f t="shared" si="23"/>
        <v>0.7349937097426651</v>
      </c>
      <c r="K126" s="64">
        <f t="shared" si="23"/>
        <v>0.7460186153888052</v>
      </c>
      <c r="L126" s="64">
        <f t="shared" si="23"/>
        <v>0.7572088946196374</v>
      </c>
      <c r="M126" s="64">
        <f t="shared" si="23"/>
        <v>0.7685670280389321</v>
      </c>
      <c r="N126" s="64">
        <f t="shared" si="23"/>
        <v>0.7800955334595161</v>
      </c>
      <c r="O126" s="64">
        <f t="shared" si="23"/>
        <v>0.791796966461409</v>
      </c>
      <c r="P126" s="64">
        <f t="shared" si="23"/>
        <v>0.8036739209583302</v>
      </c>
      <c r="Q126" s="64">
        <f t="shared" si="23"/>
        <v>0.8157290297727053</v>
      </c>
      <c r="R126" s="64">
        <f t="shared" si="23"/>
        <v>0.827964965219296</v>
      </c>
      <c r="S126" s="64">
        <f t="shared" si="23"/>
        <v>0.8403844396975855</v>
      </c>
      <c r="T126" s="64">
        <f t="shared" si="23"/>
        <v>0.8529902062930493</v>
      </c>
      <c r="U126" s="64">
        <f t="shared" si="23"/>
        <v>0.8657850593874452</v>
      </c>
    </row>
    <row r="127" spans="1:21" ht="12.75">
      <c r="A127" s="1" t="s">
        <v>525</v>
      </c>
      <c r="B127" s="64">
        <f>B126</f>
        <v>0.6524620920623168</v>
      </c>
      <c r="C127" s="64">
        <f>C126</f>
        <v>0.6622490234432515</v>
      </c>
      <c r="D127" s="64">
        <f>D126</f>
        <v>0.6721827587949004</v>
      </c>
      <c r="E127" s="64">
        <f>E126</f>
        <v>0.682265500176824</v>
      </c>
      <c r="F127" s="76">
        <f aca="true" t="shared" si="24" ref="F127:U127">(1-Disi_share)*F126+Disi_share*F122</f>
        <v>0.8462497413397382</v>
      </c>
      <c r="G127" s="76">
        <f t="shared" si="24"/>
        <v>0.8514434874598342</v>
      </c>
      <c r="H127" s="76">
        <f t="shared" si="24"/>
        <v>0.8567151397717319</v>
      </c>
      <c r="I127" s="76">
        <f t="shared" si="24"/>
        <v>0.8620658668683079</v>
      </c>
      <c r="J127" s="76">
        <f t="shared" si="24"/>
        <v>0.8674968548713325</v>
      </c>
      <c r="K127" s="76">
        <f t="shared" si="24"/>
        <v>0.8730093076944025</v>
      </c>
      <c r="L127" s="76">
        <f t="shared" si="24"/>
        <v>0.8786044473098187</v>
      </c>
      <c r="M127" s="76">
        <f t="shared" si="24"/>
        <v>0.884283514019466</v>
      </c>
      <c r="N127" s="76">
        <f t="shared" si="24"/>
        <v>0.890047766729758</v>
      </c>
      <c r="O127" s="76">
        <f t="shared" si="24"/>
        <v>0.8958984832307044</v>
      </c>
      <c r="P127" s="76">
        <f t="shared" si="24"/>
        <v>0.9018369604791652</v>
      </c>
      <c r="Q127" s="76">
        <f t="shared" si="24"/>
        <v>0.9078645148863527</v>
      </c>
      <c r="R127" s="76">
        <f t="shared" si="24"/>
        <v>0.913982482609648</v>
      </c>
      <c r="S127" s="76">
        <f t="shared" si="24"/>
        <v>0.9201922198487927</v>
      </c>
      <c r="T127" s="76">
        <f t="shared" si="24"/>
        <v>0.9264951031465247</v>
      </c>
      <c r="U127" s="76">
        <f t="shared" si="24"/>
        <v>0.9478925296937226</v>
      </c>
    </row>
    <row r="128" spans="1:21" ht="12.75">
      <c r="A128" s="1" t="s">
        <v>530</v>
      </c>
      <c r="B128" s="64"/>
      <c r="C128" s="64"/>
      <c r="D128" s="64"/>
      <c r="E128" s="64"/>
      <c r="F128" s="76"/>
      <c r="G128" s="76"/>
      <c r="H128" s="76"/>
      <c r="I128" s="76"/>
      <c r="J128" s="76"/>
      <c r="K128" s="76"/>
      <c r="L128" s="76"/>
      <c r="M128" s="76"/>
      <c r="N128" s="76"/>
      <c r="O128" s="76"/>
      <c r="P128" s="76"/>
      <c r="Q128" s="76"/>
      <c r="R128" s="76"/>
      <c r="S128" s="76"/>
      <c r="T128" s="76"/>
      <c r="U128" s="76"/>
    </row>
    <row r="129" spans="1:21" ht="12.75">
      <c r="A129" s="1" t="s">
        <v>525</v>
      </c>
      <c r="B129" s="64">
        <f>B127</f>
        <v>0.6524620920623168</v>
      </c>
      <c r="C129" s="64">
        <f>C127</f>
        <v>0.6622490234432515</v>
      </c>
      <c r="D129" s="64">
        <f>D127</f>
        <v>0.6721827587949004</v>
      </c>
      <c r="E129" s="76">
        <f aca="true" t="shared" si="25" ref="E129:U129">E127*(1-E50)/(1-E51)</f>
        <v>0.682265500176824</v>
      </c>
      <c r="F129" s="76">
        <f t="shared" si="25"/>
        <v>0.447837294697795</v>
      </c>
      <c r="G129" s="76">
        <f t="shared" si="25"/>
        <v>0.4488436612849295</v>
      </c>
      <c r="H129" s="76">
        <f t="shared" si="25"/>
        <v>0.4498685242738343</v>
      </c>
      <c r="I129" s="76">
        <f t="shared" si="25"/>
        <v>0.4509119518959051</v>
      </c>
      <c r="J129" s="76">
        <f t="shared" si="25"/>
        <v>0.4519740104575887</v>
      </c>
      <c r="K129" s="76">
        <f t="shared" si="25"/>
        <v>0.4530547642443463</v>
      </c>
      <c r="L129" s="76">
        <f t="shared" si="25"/>
        <v>0.45415427542209896</v>
      </c>
      <c r="M129" s="76">
        <f t="shared" si="25"/>
        <v>0.45527260393608854</v>
      </c>
      <c r="N129" s="76">
        <f t="shared" si="25"/>
        <v>0.4564098074070975</v>
      </c>
      <c r="O129" s="76">
        <f t="shared" si="25"/>
        <v>0.45756594102496173</v>
      </c>
      <c r="P129" s="76">
        <f t="shared" si="25"/>
        <v>0.45874105743931315</v>
      </c>
      <c r="Q129" s="76">
        <f t="shared" si="25"/>
        <v>0.45993520664748977</v>
      </c>
      <c r="R129" s="76">
        <f t="shared" si="25"/>
        <v>0.4611484358795436</v>
      </c>
      <c r="S129" s="76">
        <f t="shared" si="25"/>
        <v>0.46238078948027905</v>
      </c>
      <c r="T129" s="76">
        <f t="shared" si="25"/>
        <v>0.4636323087882529</v>
      </c>
      <c r="U129" s="76">
        <f t="shared" si="25"/>
        <v>0.47237821833614496</v>
      </c>
    </row>
    <row r="130" spans="1:21" ht="12.75">
      <c r="A130" s="1" t="s">
        <v>327</v>
      </c>
      <c r="E130" s="64">
        <f aca="true" t="shared" si="26" ref="E130:U130">E127-E129</f>
        <v>0</v>
      </c>
      <c r="F130" s="64">
        <f t="shared" si="26"/>
        <v>0.3984124466419432</v>
      </c>
      <c r="G130" s="64">
        <f t="shared" si="26"/>
        <v>0.40259982617490475</v>
      </c>
      <c r="H130" s="64">
        <f t="shared" si="26"/>
        <v>0.4068466154978976</v>
      </c>
      <c r="I130" s="64">
        <f t="shared" si="26"/>
        <v>0.4111539149724028</v>
      </c>
      <c r="J130" s="64">
        <f t="shared" si="26"/>
        <v>0.4155228444137438</v>
      </c>
      <c r="K130" s="64">
        <f t="shared" si="26"/>
        <v>0.41995454345005623</v>
      </c>
      <c r="L130" s="64">
        <f t="shared" si="26"/>
        <v>0.4244501718877197</v>
      </c>
      <c r="M130" s="64">
        <f t="shared" si="26"/>
        <v>0.4290109100833775</v>
      </c>
      <c r="N130" s="64">
        <f t="shared" si="26"/>
        <v>0.4336379593226605</v>
      </c>
      <c r="O130" s="64">
        <f t="shared" si="26"/>
        <v>0.4383325422057427</v>
      </c>
      <c r="P130" s="64">
        <f t="shared" si="26"/>
        <v>0.443095903039852</v>
      </c>
      <c r="Q130" s="64">
        <f t="shared" si="26"/>
        <v>0.4479293082388629</v>
      </c>
      <c r="R130" s="64">
        <f t="shared" si="26"/>
        <v>0.4528340467301044</v>
      </c>
      <c r="S130" s="64">
        <f t="shared" si="26"/>
        <v>0.4578114303685137</v>
      </c>
      <c r="T130" s="64">
        <f t="shared" si="26"/>
        <v>0.4628627943582718</v>
      </c>
      <c r="U130" s="64">
        <f t="shared" si="26"/>
        <v>0.47551431135757766</v>
      </c>
    </row>
    <row r="131" spans="1:21" ht="12.75">
      <c r="A131" s="1" t="s">
        <v>708</v>
      </c>
      <c r="F131" s="63"/>
      <c r="G131" s="63"/>
      <c r="H131" s="63"/>
      <c r="I131" s="63"/>
      <c r="J131" s="63"/>
      <c r="K131" s="63"/>
      <c r="L131" s="63"/>
      <c r="M131" s="63"/>
      <c r="N131" s="63"/>
      <c r="O131" s="63"/>
      <c r="P131" s="63"/>
      <c r="Q131" s="63"/>
      <c r="R131" s="63"/>
      <c r="S131" s="63"/>
      <c r="T131" s="63"/>
      <c r="U131" s="63"/>
    </row>
    <row r="132" spans="1:21" ht="12.75">
      <c r="A132" s="1" t="s">
        <v>714</v>
      </c>
      <c r="C132" s="63"/>
      <c r="D132" s="63"/>
      <c r="E132" s="63">
        <f>(E69-E18)*(E129-$B118)+E18*E130</f>
        <v>0</v>
      </c>
      <c r="F132" s="63">
        <f>-(F69-F18)*(F129-F118)+F18*F130+F131</f>
        <v>12164209.67102442</v>
      </c>
      <c r="G132" s="63">
        <f aca="true" t="shared" si="27" ref="G132:U132">-(G69-G18)*(G129-G118)+G18*G130+G131</f>
        <v>11013895.779084034</v>
      </c>
      <c r="H132" s="63">
        <f t="shared" si="27"/>
        <v>11327835.171647266</v>
      </c>
      <c r="I132" s="63">
        <f t="shared" si="27"/>
        <v>11648125.213973932</v>
      </c>
      <c r="J132" s="63">
        <f t="shared" si="27"/>
        <v>11974692.658582967</v>
      </c>
      <c r="K132" s="63">
        <f t="shared" si="27"/>
        <v>12307443.467054494</v>
      </c>
      <c r="L132" s="63">
        <f t="shared" si="27"/>
        <v>12646261.00188363</v>
      </c>
      <c r="M132" s="63">
        <f t="shared" si="27"/>
        <v>13133270.161476515</v>
      </c>
      <c r="N132" s="63">
        <f t="shared" si="27"/>
        <v>13639096.665377362</v>
      </c>
      <c r="O132" s="63">
        <f t="shared" si="27"/>
        <v>14164476.629859798</v>
      </c>
      <c r="P132" s="63">
        <f t="shared" si="27"/>
        <v>14710175.563572608</v>
      </c>
      <c r="Q132" s="63">
        <f t="shared" si="27"/>
        <v>15276989.57518373</v>
      </c>
      <c r="R132" s="63">
        <f t="shared" si="27"/>
        <v>15865746.632516166</v>
      </c>
      <c r="S132" s="63">
        <f t="shared" si="27"/>
        <v>16477307.875474278</v>
      </c>
      <c r="T132" s="63">
        <f t="shared" si="27"/>
        <v>17112568.985168003</v>
      </c>
      <c r="U132" s="63">
        <f t="shared" si="27"/>
        <v>17772461.611755557</v>
      </c>
    </row>
    <row r="133" ht="12.75">
      <c r="A133" s="106" t="s">
        <v>522</v>
      </c>
    </row>
    <row r="137" spans="6:21" ht="12.75">
      <c r="F137" s="7"/>
      <c r="G137" s="7"/>
      <c r="H137" s="7"/>
      <c r="I137" s="7"/>
      <c r="J137" s="7"/>
      <c r="K137" s="7"/>
      <c r="L137" s="7"/>
      <c r="M137" s="7"/>
      <c r="N137" s="7"/>
      <c r="O137" s="7"/>
      <c r="P137" s="7"/>
      <c r="Q137" s="7"/>
      <c r="R137" s="7"/>
      <c r="S137" s="7"/>
      <c r="T137" s="7"/>
      <c r="U137" s="7"/>
    </row>
  </sheetData>
  <sheetProtection/>
  <mergeCells count="2">
    <mergeCell ref="A1:I1"/>
    <mergeCell ref="A2:I2"/>
  </mergeCells>
  <printOptions gridLines="1"/>
  <pageMargins left="0.75" right="0.75" top="1" bottom="1" header="0.5" footer="0.5"/>
  <pageSetup horizontalDpi="600" verticalDpi="600" orientation="landscape" paperSize="9" r:id="rId3"/>
  <headerFooter alignWithMargins="0">
    <oddFooter>&amp;LProd analysis: M O'Leary 11.11.09</oddFooter>
  </headerFooter>
  <legacyDrawing r:id="rId2"/>
</worksheet>
</file>

<file path=xl/worksheets/sheet15.xml><?xml version="1.0" encoding="utf-8"?>
<worksheet xmlns="http://schemas.openxmlformats.org/spreadsheetml/2006/main" xmlns:r="http://schemas.openxmlformats.org/officeDocument/2006/relationships">
  <sheetPr codeName="Sheet15"/>
  <dimension ref="A1:AE86"/>
  <sheetViews>
    <sheetView zoomScale="85" zoomScaleNormal="85" zoomScalePageLayoutView="0" workbookViewId="0" topLeftCell="A1">
      <selection activeCell="A1" sqref="A1:I1"/>
    </sheetView>
  </sheetViews>
  <sheetFormatPr defaultColWidth="9.140625" defaultRowHeight="12.75"/>
  <cols>
    <col min="1" max="1" width="62.57421875" style="204" customWidth="1"/>
    <col min="2" max="2" width="11.00390625" style="377" customWidth="1"/>
    <col min="3" max="3" width="10.421875" style="377" customWidth="1"/>
    <col min="4" max="4" width="11.421875" style="204" customWidth="1"/>
    <col min="5" max="5" width="11.140625" style="204" customWidth="1"/>
    <col min="6" max="6" width="12.140625" style="204" customWidth="1"/>
    <col min="7" max="7" width="11.8515625" style="204" customWidth="1"/>
    <col min="8" max="8" width="10.28125" style="204" customWidth="1"/>
    <col min="9" max="9" width="10.8515625" style="204" customWidth="1"/>
    <col min="10" max="10" width="11.00390625" style="204" customWidth="1"/>
    <col min="11" max="11" width="11.140625" style="204" customWidth="1"/>
    <col min="12" max="12" width="10.140625" style="204" customWidth="1"/>
    <col min="13" max="13" width="10.7109375" style="204" customWidth="1"/>
    <col min="14" max="14" width="10.421875" style="204" customWidth="1"/>
    <col min="15" max="15" width="10.7109375" style="204" customWidth="1"/>
    <col min="16" max="16" width="10.140625" style="204" customWidth="1"/>
    <col min="17" max="17" width="10.7109375" style="204" customWidth="1"/>
    <col min="18" max="18" width="10.421875" style="204" customWidth="1"/>
    <col min="19" max="19" width="11.00390625" style="204" customWidth="1"/>
    <col min="20" max="20" width="11.8515625" style="204" customWidth="1"/>
    <col min="21" max="21" width="10.57421875" style="204" customWidth="1"/>
    <col min="22" max="22" width="10.140625" style="204" bestFit="1" customWidth="1"/>
    <col min="23" max="16384" width="9.140625" style="204" customWidth="1"/>
  </cols>
  <sheetData>
    <row r="1" spans="1:9" ht="18">
      <c r="A1" s="603" t="s">
        <v>788</v>
      </c>
      <c r="B1" s="603"/>
      <c r="C1" s="603"/>
      <c r="D1" s="603"/>
      <c r="E1" s="603"/>
      <c r="F1" s="603"/>
      <c r="G1" s="603"/>
      <c r="H1" s="603"/>
      <c r="I1" s="603"/>
    </row>
    <row r="2" spans="1:9" ht="20.25">
      <c r="A2" s="602" t="s">
        <v>746</v>
      </c>
      <c r="B2" s="602"/>
      <c r="C2" s="602"/>
      <c r="D2" s="602"/>
      <c r="E2" s="602"/>
      <c r="F2" s="602"/>
      <c r="G2" s="602"/>
      <c r="H2" s="602"/>
      <c r="I2" s="602"/>
    </row>
    <row r="3" spans="2:9" ht="12.75">
      <c r="B3" s="360"/>
      <c r="C3" s="360"/>
      <c r="D3" s="360"/>
      <c r="I3" s="360" t="str">
        <f>'User''s Guide'!B1</f>
        <v>LAST UPDATED: 1/10/2011</v>
      </c>
    </row>
    <row r="4" ht="12.75">
      <c r="A4" s="361">
        <f>IF('ERR &amp; Sensitivity Analysis'!$I$20="N","NOTE: Current calculations are based on USER INPUT and are not the original MCC estimates.",IF('ERR &amp; Sensitivity Analysis'!$I$24="N","NOTE: Current calculations are based on USER INPUT and are not the original MCC estimates.",""))</f>
      </c>
    </row>
    <row r="5" spans="1:12" ht="12.75">
      <c r="A5" s="377" t="s">
        <v>331</v>
      </c>
      <c r="D5" s="383"/>
      <c r="G5" s="204" t="s">
        <v>59</v>
      </c>
      <c r="H5" s="471">
        <f>Wcon!$E$119</f>
        <v>0.0325</v>
      </c>
      <c r="J5" s="410" t="s">
        <v>308</v>
      </c>
      <c r="L5" s="471">
        <f>Wcon!E125</f>
        <v>0.0005084818337108832</v>
      </c>
    </row>
    <row r="6" spans="2:12" ht="12.75">
      <c r="B6" s="414" t="s">
        <v>513</v>
      </c>
      <c r="D6" s="383" t="s">
        <v>56</v>
      </c>
      <c r="E6" s="428">
        <f>Wcon!$H$56</f>
        <v>0.23</v>
      </c>
      <c r="F6" s="383" t="s">
        <v>414</v>
      </c>
      <c r="G6" s="204">
        <f>Wcon!$F$27</f>
        <v>52.826</v>
      </c>
      <c r="H6" s="507" t="s">
        <v>415</v>
      </c>
      <c r="I6" s="204">
        <f>Wcon!$F$28</f>
        <v>4</v>
      </c>
      <c r="J6" s="410"/>
      <c r="L6" s="471"/>
    </row>
    <row r="7" spans="1:22" ht="12.75">
      <c r="A7" s="432"/>
      <c r="B7" s="363">
        <v>2010</v>
      </c>
      <c r="C7" s="363">
        <f>B7+1</f>
        <v>2011</v>
      </c>
      <c r="D7" s="363">
        <f aca="true" t="shared" si="0" ref="D7:U7">C7+1</f>
        <v>2012</v>
      </c>
      <c r="E7" s="363">
        <f t="shared" si="0"/>
        <v>2013</v>
      </c>
      <c r="F7" s="363">
        <f t="shared" si="0"/>
        <v>2014</v>
      </c>
      <c r="G7" s="363">
        <f t="shared" si="0"/>
        <v>2015</v>
      </c>
      <c r="H7" s="363">
        <f t="shared" si="0"/>
        <v>2016</v>
      </c>
      <c r="I7" s="363">
        <f t="shared" si="0"/>
        <v>2017</v>
      </c>
      <c r="J7" s="363">
        <f t="shared" si="0"/>
        <v>2018</v>
      </c>
      <c r="K7" s="363">
        <f t="shared" si="0"/>
        <v>2019</v>
      </c>
      <c r="L7" s="363">
        <f t="shared" si="0"/>
        <v>2020</v>
      </c>
      <c r="M7" s="363">
        <f t="shared" si="0"/>
        <v>2021</v>
      </c>
      <c r="N7" s="363">
        <f t="shared" si="0"/>
        <v>2022</v>
      </c>
      <c r="O7" s="363">
        <f t="shared" si="0"/>
        <v>2023</v>
      </c>
      <c r="P7" s="363">
        <f t="shared" si="0"/>
        <v>2024</v>
      </c>
      <c r="Q7" s="363">
        <f t="shared" si="0"/>
        <v>2025</v>
      </c>
      <c r="R7" s="363">
        <f t="shared" si="0"/>
        <v>2026</v>
      </c>
      <c r="S7" s="363">
        <f t="shared" si="0"/>
        <v>2027</v>
      </c>
      <c r="T7" s="363">
        <f t="shared" si="0"/>
        <v>2028</v>
      </c>
      <c r="U7" s="508">
        <f t="shared" si="0"/>
        <v>2029</v>
      </c>
      <c r="V7" s="377"/>
    </row>
    <row r="8" spans="1:22" ht="12.75">
      <c r="A8" s="509"/>
      <c r="B8" s="368" t="s">
        <v>80</v>
      </c>
      <c r="C8" s="368" t="s">
        <v>80</v>
      </c>
      <c r="D8" s="368" t="s">
        <v>80</v>
      </c>
      <c r="E8" s="368" t="s">
        <v>80</v>
      </c>
      <c r="F8" s="368" t="s">
        <v>80</v>
      </c>
      <c r="G8" s="368" t="s">
        <v>80</v>
      </c>
      <c r="H8" s="368" t="s">
        <v>80</v>
      </c>
      <c r="I8" s="368" t="s">
        <v>80</v>
      </c>
      <c r="J8" s="368" t="s">
        <v>80</v>
      </c>
      <c r="K8" s="368" t="s">
        <v>80</v>
      </c>
      <c r="L8" s="368" t="s">
        <v>80</v>
      </c>
      <c r="M8" s="368" t="s">
        <v>80</v>
      </c>
      <c r="N8" s="368" t="s">
        <v>80</v>
      </c>
      <c r="O8" s="368" t="s">
        <v>80</v>
      </c>
      <c r="P8" s="368" t="s">
        <v>80</v>
      </c>
      <c r="Q8" s="368" t="s">
        <v>80</v>
      </c>
      <c r="R8" s="368" t="s">
        <v>80</v>
      </c>
      <c r="S8" s="368" t="s">
        <v>80</v>
      </c>
      <c r="T8" s="368" t="s">
        <v>80</v>
      </c>
      <c r="U8" s="510" t="s">
        <v>80</v>
      </c>
      <c r="V8" s="377"/>
    </row>
    <row r="9" spans="1:21" ht="12.75">
      <c r="A9" s="511"/>
      <c r="B9" s="373">
        <v>1</v>
      </c>
      <c r="C9" s="373">
        <f>B9+1</f>
        <v>2</v>
      </c>
      <c r="D9" s="373">
        <f aca="true" t="shared" si="1" ref="D9:S9">C9+1</f>
        <v>3</v>
      </c>
      <c r="E9" s="373">
        <f t="shared" si="1"/>
        <v>4</v>
      </c>
      <c r="F9" s="373">
        <f t="shared" si="1"/>
        <v>5</v>
      </c>
      <c r="G9" s="373">
        <f t="shared" si="1"/>
        <v>6</v>
      </c>
      <c r="H9" s="373">
        <f t="shared" si="1"/>
        <v>7</v>
      </c>
      <c r="I9" s="373">
        <f t="shared" si="1"/>
        <v>8</v>
      </c>
      <c r="J9" s="373">
        <f t="shared" si="1"/>
        <v>9</v>
      </c>
      <c r="K9" s="373">
        <f t="shared" si="1"/>
        <v>10</v>
      </c>
      <c r="L9" s="373">
        <f t="shared" si="1"/>
        <v>11</v>
      </c>
      <c r="M9" s="373">
        <f t="shared" si="1"/>
        <v>12</v>
      </c>
      <c r="N9" s="373">
        <f t="shared" si="1"/>
        <v>13</v>
      </c>
      <c r="O9" s="373">
        <f t="shared" si="1"/>
        <v>14</v>
      </c>
      <c r="P9" s="373">
        <f t="shared" si="1"/>
        <v>15</v>
      </c>
      <c r="Q9" s="373">
        <f t="shared" si="1"/>
        <v>16</v>
      </c>
      <c r="R9" s="373">
        <f t="shared" si="1"/>
        <v>17</v>
      </c>
      <c r="S9" s="373">
        <f t="shared" si="1"/>
        <v>18</v>
      </c>
      <c r="T9" s="375">
        <v>19</v>
      </c>
      <c r="U9" s="376">
        <v>20</v>
      </c>
    </row>
    <row r="10" spans="1:22" ht="12.75">
      <c r="A10" s="512" t="s">
        <v>307</v>
      </c>
      <c r="B10" s="513">
        <f>Wcon!$E$122</f>
        <v>700061.4217466069</v>
      </c>
      <c r="C10" s="513">
        <f aca="true" t="shared" si="2" ref="C10:U10">$B10*(1+$H5)^B9</f>
        <v>722813.4179533717</v>
      </c>
      <c r="D10" s="513">
        <f t="shared" si="2"/>
        <v>746304.8540368562</v>
      </c>
      <c r="E10" s="513">
        <f t="shared" si="2"/>
        <v>770559.761793054</v>
      </c>
      <c r="F10" s="513">
        <f t="shared" si="2"/>
        <v>795602.9540513282</v>
      </c>
      <c r="G10" s="513">
        <f t="shared" si="2"/>
        <v>821460.0500579964</v>
      </c>
      <c r="H10" s="513">
        <f t="shared" si="2"/>
        <v>848157.5016848812</v>
      </c>
      <c r="I10" s="513">
        <f t="shared" si="2"/>
        <v>875722.6204896398</v>
      </c>
      <c r="J10" s="513">
        <f t="shared" si="2"/>
        <v>904183.6056555533</v>
      </c>
      <c r="K10" s="513">
        <f t="shared" si="2"/>
        <v>933569.5728393587</v>
      </c>
      <c r="L10" s="513">
        <f t="shared" si="2"/>
        <v>963910.5839566379</v>
      </c>
      <c r="M10" s="513">
        <f t="shared" si="2"/>
        <v>995237.6779352285</v>
      </c>
      <c r="N10" s="513">
        <f t="shared" si="2"/>
        <v>1027582.9024681235</v>
      </c>
      <c r="O10" s="513">
        <f t="shared" si="2"/>
        <v>1060979.3467983373</v>
      </c>
      <c r="P10" s="513">
        <f t="shared" si="2"/>
        <v>1095461.175569283</v>
      </c>
      <c r="Q10" s="513">
        <f t="shared" si="2"/>
        <v>1131063.663775285</v>
      </c>
      <c r="R10" s="513">
        <f t="shared" si="2"/>
        <v>1167823.2328479819</v>
      </c>
      <c r="S10" s="513">
        <f t="shared" si="2"/>
        <v>1205777.4879155413</v>
      </c>
      <c r="T10" s="513">
        <f t="shared" si="2"/>
        <v>1244965.2562727963</v>
      </c>
      <c r="U10" s="514">
        <f t="shared" si="2"/>
        <v>1285426.627101662</v>
      </c>
      <c r="V10" s="386"/>
    </row>
    <row r="11" spans="1:21" ht="12.75">
      <c r="A11" s="511" t="s">
        <v>306</v>
      </c>
      <c r="B11" s="515">
        <f>B10*Wcon!$E$126*(1+$L$5)^0</f>
        <v>686884.2982714683</v>
      </c>
      <c r="C11" s="515">
        <f>C10*Wcon!$E$126*(1+$L$5)^B9</f>
        <v>709568.6573689181</v>
      </c>
      <c r="D11" s="515">
        <f>D10*Wcon!$E$126*(1+$L$5)^C9</f>
        <v>733002.167595542</v>
      </c>
      <c r="E11" s="515">
        <f>E10*Wcon!$E$126*(1+$L$5)^D9</f>
        <v>757209.5696729945</v>
      </c>
      <c r="F11" s="515">
        <f>F10*Wcon!$E$126*(1+$L$5)^E9</f>
        <v>782216.4213854487</v>
      </c>
      <c r="G11" s="515">
        <f>G10*Wcon!$E$126*(1+$L$5)^F9</f>
        <v>808049.1245630906</v>
      </c>
      <c r="H11" s="515">
        <f>H10*Wcon!$E$126*(1+$L$5)^G9</f>
        <v>834734.9529567462</v>
      </c>
      <c r="I11" s="515">
        <f>I10*Wcon!$E$126*(1+$L$5)^H9</f>
        <v>862302.0810330675</v>
      </c>
      <c r="J11" s="515">
        <f>J10*Wcon!$E$126*(1+$L$5)^I9</f>
        <v>890779.6137206787</v>
      </c>
      <c r="K11" s="515">
        <f>K10*Wcon!$E$126*(1+$L$5)^J9</f>
        <v>920197.6171386887</v>
      </c>
      <c r="L11" s="515">
        <f>L10*Wcon!$E$126*(1+$L$5)^K9</f>
        <v>950587.1503400168</v>
      </c>
      <c r="M11" s="515">
        <f>M10*Wcon!$E$126*(1+$L$5)^L9</f>
        <v>981980.2981030365</v>
      </c>
      <c r="N11" s="515">
        <f>N10*Wcon!$E$126*(1+$L$5)^M9</f>
        <v>1014410.2048061689</v>
      </c>
      <c r="O11" s="515">
        <f>O10*Wcon!$E$126*(1+$L$5)^N9</f>
        <v>1047911.1094211788</v>
      </c>
      <c r="P11" s="515">
        <f>P10*Wcon!$E$126*(1+$L$5)^O9</f>
        <v>1082518.3816621325</v>
      </c>
      <c r="Q11" s="515">
        <f>Q10*Wcon!$E$126*(1+$L$5)^P9</f>
        <v>1118268.5593281663</v>
      </c>
      <c r="R11" s="515">
        <f>R10*Wcon!$E$126*(1+$L$5)^Q9</f>
        <v>1155199.3868795084</v>
      </c>
      <c r="S11" s="515">
        <f>S10*Wcon!$E$126*(1+$L$5)^R9</f>
        <v>1193349.8552874674</v>
      </c>
      <c r="T11" s="515">
        <f>T10*Wcon!$E$126*(1+$L$5)^S9</f>
        <v>1232760.243200472</v>
      </c>
      <c r="U11" s="516">
        <f>U10*Wcon!$E$126*(1+$L$5)^T9</f>
        <v>1273472.159469618</v>
      </c>
    </row>
    <row r="12" spans="1:21" ht="12.75">
      <c r="A12" s="377"/>
      <c r="B12" s="386"/>
      <c r="C12" s="386"/>
      <c r="D12" s="386"/>
      <c r="E12" s="386"/>
      <c r="F12" s="386"/>
      <c r="G12" s="386"/>
      <c r="H12" s="386"/>
      <c r="I12" s="386"/>
      <c r="J12" s="386"/>
      <c r="K12" s="386"/>
      <c r="L12" s="386"/>
      <c r="M12" s="386"/>
      <c r="N12" s="386"/>
      <c r="O12" s="386"/>
      <c r="P12" s="386"/>
      <c r="Q12" s="386"/>
      <c r="R12" s="386"/>
      <c r="S12" s="386"/>
      <c r="T12" s="386"/>
      <c r="U12" s="386"/>
    </row>
    <row r="13" spans="1:21" ht="12.75">
      <c r="A13" s="512" t="s">
        <v>515</v>
      </c>
      <c r="B13" s="517"/>
      <c r="C13" s="513">
        <f>C18*Wcon!F27+Hsehold!C19*4</f>
        <v>13473963.420523573</v>
      </c>
      <c r="D13" s="513"/>
      <c r="E13" s="513">
        <f>E15/365*1000</f>
        <v>12.407689229874787</v>
      </c>
      <c r="F13" s="513">
        <f>F15/365*1000</f>
        <v>24.22725036976551</v>
      </c>
      <c r="G13" s="513">
        <f>G15/365*1000</f>
        <v>35.475250898386406</v>
      </c>
      <c r="H13" s="514">
        <f>H15/365*1000</f>
        <v>35.39543943294031</v>
      </c>
      <c r="I13" s="386"/>
      <c r="J13" s="386"/>
      <c r="K13" s="386"/>
      <c r="L13" s="386"/>
      <c r="M13" s="386"/>
      <c r="N13" s="386"/>
      <c r="O13" s="386"/>
      <c r="P13" s="386"/>
      <c r="Q13" s="386"/>
      <c r="R13" s="386"/>
      <c r="S13" s="386"/>
      <c r="T13" s="386"/>
      <c r="U13" s="386"/>
    </row>
    <row r="14" spans="1:8" ht="12.75">
      <c r="A14" s="509" t="s">
        <v>517</v>
      </c>
      <c r="B14" s="411"/>
      <c r="C14" s="368">
        <f>C13/(C18+C19)</f>
        <v>8.932987435936845</v>
      </c>
      <c r="D14" s="426"/>
      <c r="E14" s="444">
        <f>(E22+E23+E24)-(E17+E18+E19)</f>
        <v>3429255.673172254</v>
      </c>
      <c r="F14" s="444">
        <f>(F22+F23+F24)-(F17+F18+F19)</f>
        <v>6917097.875750253</v>
      </c>
      <c r="G14" s="444">
        <f>(G22+G23+G24)-(G17+G18+G19)</f>
        <v>10462997.082715454</v>
      </c>
      <c r="H14" s="500">
        <f>(H22+H23+H24)-(H17+H18+H19)</f>
        <v>10784220.821527658</v>
      </c>
    </row>
    <row r="15" spans="1:8" ht="12.75">
      <c r="A15" s="511" t="s">
        <v>516</v>
      </c>
      <c r="B15" s="372"/>
      <c r="C15" s="373"/>
      <c r="D15" s="375"/>
      <c r="E15" s="518">
        <f>E14/E11</f>
        <v>4.528806568904297</v>
      </c>
      <c r="F15" s="518">
        <f>F14/F11</f>
        <v>8.842946384964412</v>
      </c>
      <c r="G15" s="518">
        <f>G14/G11</f>
        <v>12.94846657791104</v>
      </c>
      <c r="H15" s="519">
        <f>H14/H11</f>
        <v>12.919335393023212</v>
      </c>
    </row>
    <row r="16" spans="1:3" ht="12.75">
      <c r="A16" s="374" t="s">
        <v>81</v>
      </c>
      <c r="B16" s="378"/>
      <c r="C16" s="378"/>
    </row>
    <row r="17" spans="1:21" ht="12.75">
      <c r="A17" s="520" t="s">
        <v>82</v>
      </c>
      <c r="B17" s="521">
        <f>Wcon!$B160</f>
        <v>14151425.525217257</v>
      </c>
      <c r="C17" s="522">
        <f>Wcon!$B208</f>
        <v>14108248.102207795</v>
      </c>
      <c r="D17" s="522">
        <f>Wcon!$B256</f>
        <v>14064886.820363447</v>
      </c>
      <c r="E17" s="522">
        <f>Wcon!$B304</f>
        <v>14021341.308466716</v>
      </c>
      <c r="F17" s="522">
        <f>Wcon!$B352</f>
        <v>13977611.193535456</v>
      </c>
      <c r="G17" s="522">
        <f>Wcon!$B400</f>
        <v>13933696.100819806</v>
      </c>
      <c r="H17" s="522">
        <f>Wcon!$B448</f>
        <v>13889595.653799014</v>
      </c>
      <c r="I17" s="522">
        <f>Wcon!$B496</f>
        <v>13845309.474178355</v>
      </c>
      <c r="J17" s="522">
        <f>Wcon!$B544</f>
        <v>13800837.181885911</v>
      </c>
      <c r="K17" s="522">
        <f>Wcon!$B592</f>
        <v>13756178.39506944</v>
      </c>
      <c r="L17" s="522">
        <f>Wcon!$B640</f>
        <v>13711332.73009314</v>
      </c>
      <c r="M17" s="522">
        <f>Wcon!$B688</f>
        <v>13666299.801534466</v>
      </c>
      <c r="N17" s="522">
        <f>Wcon!$B736</f>
        <v>13621079.222180892</v>
      </c>
      <c r="O17" s="522">
        <f>Wcon!$B784</f>
        <v>13575670.603026658</v>
      </c>
      <c r="P17" s="522">
        <f>Wcon!$B832</f>
        <v>13530073.553269504</v>
      </c>
      <c r="Q17" s="522">
        <f>Wcon!$B880</f>
        <v>13484287.680307407</v>
      </c>
      <c r="R17" s="522">
        <f>Wcon!$B928</f>
        <v>13438312.589735257</v>
      </c>
      <c r="S17" s="522">
        <f>Wcon!$B976</f>
        <v>13392147.885341555</v>
      </c>
      <c r="T17" s="522">
        <f>Wcon!$B1024</f>
        <v>13345793.16910507</v>
      </c>
      <c r="U17" s="523">
        <f>Wcon!$B1072</f>
        <v>13299248.0411915</v>
      </c>
    </row>
    <row r="18" spans="1:21" ht="12.75">
      <c r="A18" s="520" t="s">
        <v>157</v>
      </c>
      <c r="B18" s="524">
        <f>Wcon!$B165</f>
        <v>147518.5613384574</v>
      </c>
      <c r="C18" s="525">
        <f>Wcon!$B213</f>
        <v>152390.36293206178</v>
      </c>
      <c r="D18" s="525">
        <f>Wcon!$B261</f>
        <v>157423.0558098008</v>
      </c>
      <c r="E18" s="525">
        <f>Wcon!$B309</f>
        <v>162621.95340753865</v>
      </c>
      <c r="F18" s="525">
        <f>Wcon!$B357</f>
        <v>167992.54463739877</v>
      </c>
      <c r="G18" s="525">
        <f>Wcon!$B405</f>
        <v>173540.49968286848</v>
      </c>
      <c r="H18" s="525">
        <f>Wcon!$B453</f>
        <v>179271.67598528735</v>
      </c>
      <c r="I18" s="525">
        <f>Wcon!$B501</f>
        <v>185192.12442803907</v>
      </c>
      <c r="J18" s="525">
        <f>Wcon!$B549</f>
        <v>191308.09572497648</v>
      </c>
      <c r="K18" s="525">
        <f>Wcon!$B597</f>
        <v>197626.04701982398</v>
      </c>
      <c r="L18" s="525">
        <f>Wcon!$B645</f>
        <v>204152.64870352624</v>
      </c>
      <c r="M18" s="525">
        <f>Wcon!$B693</f>
        <v>210894.79145673852</v>
      </c>
      <c r="N18" s="525">
        <f>Wcon!$B741</f>
        <v>217859.59352489669</v>
      </c>
      <c r="O18" s="525">
        <f>Wcon!$B789</f>
        <v>225054.40823354505</v>
      </c>
      <c r="P18" s="525">
        <f>Wcon!$B837</f>
        <v>232486.83175185954</v>
      </c>
      <c r="Q18" s="525">
        <f>Wcon!$B885</f>
        <v>240164.71111255974</v>
      </c>
      <c r="R18" s="525">
        <f>Wcon!$B933</f>
        <v>248096.15249667992</v>
      </c>
      <c r="S18" s="525">
        <f>Wcon!$B981</f>
        <v>256289.52979194332</v>
      </c>
      <c r="T18" s="525">
        <f>Wcon!$B1029</f>
        <v>264753.4934337782</v>
      </c>
      <c r="U18" s="526">
        <f>Wcon!$B1077</f>
        <v>273496.97953830776</v>
      </c>
    </row>
    <row r="19" spans="1:21" ht="12.75">
      <c r="A19" s="520" t="s">
        <v>83</v>
      </c>
      <c r="B19" s="524">
        <f>Wcon!$B170</f>
        <v>1312598.937327667</v>
      </c>
      <c r="C19" s="525">
        <f>Wcon!$B218</f>
        <v>1355947.5270686192</v>
      </c>
      <c r="D19" s="525">
        <f>Wcon!$B266</f>
        <v>1400727.7043105909</v>
      </c>
      <c r="E19" s="525">
        <f>Wcon!$B314</f>
        <v>1446986.7472415299</v>
      </c>
      <c r="F19" s="525">
        <f>Wcon!$B362</f>
        <v>1494773.4954118966</v>
      </c>
      <c r="G19" s="525">
        <f>Wcon!$B410</f>
        <v>1544138.4012986706</v>
      </c>
      <c r="H19" s="525">
        <f>Wcon!$B458</f>
        <v>1595133.5835722613</v>
      </c>
      <c r="I19" s="525">
        <f>Wcon!$B506</f>
        <v>1647812.88212256</v>
      </c>
      <c r="J19" s="525">
        <f>Wcon!$B554</f>
        <v>1702231.9149022251</v>
      </c>
      <c r="K19" s="525">
        <f>Wcon!$B602</f>
        <v>1758448.136647216</v>
      </c>
      <c r="L19" s="525">
        <f>Wcon!$B650</f>
        <v>1816520.8995365817</v>
      </c>
      <c r="M19" s="525">
        <f>Wcon!$B698</f>
        <v>1876511.5158555247</v>
      </c>
      <c r="N19" s="525">
        <f>Wcon!$B746</f>
        <v>1938483.3227279298</v>
      </c>
      <c r="O19" s="525">
        <f>Wcon!$B794</f>
        <v>2002501.7489866691</v>
      </c>
      <c r="P19" s="525">
        <f>Wcon!$B842</f>
        <v>2068634.384252313</v>
      </c>
      <c r="Q19" s="525">
        <f>Wcon!$B890</f>
        <v>2136951.050293157</v>
      </c>
      <c r="R19" s="525">
        <f>Wcon!$B938</f>
        <v>2207523.8747419184</v>
      </c>
      <c r="S19" s="525">
        <f>Wcon!$B986</f>
        <v>2280427.3672469235</v>
      </c>
      <c r="T19" s="525">
        <f>Wcon!$B1034</f>
        <v>2355738.498138194</v>
      </c>
      <c r="U19" s="526">
        <f>Wcon!$B1082</f>
        <v>2433536.7796914782</v>
      </c>
    </row>
    <row r="20" spans="1:21" ht="12.75">
      <c r="A20" s="527" t="s">
        <v>510</v>
      </c>
      <c r="B20" s="528">
        <f>Wcon!$B158</f>
        <v>0</v>
      </c>
      <c r="C20" s="529">
        <f>Wcon!$B206</f>
        <v>510528.357020732</v>
      </c>
      <c r="D20" s="529">
        <f>Wcon!$B254</f>
        <v>1036674.8409740739</v>
      </c>
      <c r="E20" s="529">
        <f>Wcon!$B302</f>
        <v>1578949.5398971029</v>
      </c>
      <c r="F20" s="529">
        <f>Wcon!$B350</f>
        <v>2137879.3769933414</v>
      </c>
      <c r="G20" s="529">
        <f>Wcon!$B398</f>
        <v>2714008.6665590163</v>
      </c>
      <c r="H20" s="529">
        <f>Wcon!$B446</f>
        <v>3307899.688268846</v>
      </c>
      <c r="I20" s="529">
        <f>Wcon!$B494</f>
        <v>3920133.2804273963</v>
      </c>
      <c r="J20" s="529">
        <f>Wcon!$B542</f>
        <v>4551309.452812612</v>
      </c>
      <c r="K20" s="529">
        <f>Wcon!$B590</f>
        <v>5202048.019758258</v>
      </c>
      <c r="L20" s="529">
        <f>Wcon!$B638</f>
        <v>5872989.254144045</v>
      </c>
      <c r="M20" s="529">
        <f>Wcon!$B686</f>
        <v>6564794.562983474</v>
      </c>
      <c r="N20" s="529">
        <f>Wcon!$B734</f>
        <v>7278147.18532305</v>
      </c>
      <c r="O20" s="529">
        <f>Wcon!$B782</f>
        <v>8013752.913189407</v>
      </c>
      <c r="P20" s="529">
        <f>Wcon!$B830</f>
        <v>8772340.836345766</v>
      </c>
      <c r="Q20" s="529">
        <f>Wcon!$B878</f>
        <v>9554664.11164373</v>
      </c>
      <c r="R20" s="529">
        <f>Wcon!$B926</f>
        <v>10361500.757783</v>
      </c>
      <c r="S20" s="529">
        <f>Wcon!$B974</f>
        <v>11193654.476317791</v>
      </c>
      <c r="T20" s="529">
        <f>Wcon!$B1022</f>
        <v>12051955.499777026</v>
      </c>
      <c r="U20" s="530">
        <f>Wcon!$B1070</f>
        <v>12937261.46779354</v>
      </c>
    </row>
    <row r="21" spans="1:21" ht="12.75">
      <c r="A21" s="369" t="s">
        <v>7</v>
      </c>
      <c r="B21" s="531"/>
      <c r="C21" s="378"/>
      <c r="E21" s="532">
        <f>(E22-E17)/12/6.4</f>
        <v>50621.67956192505</v>
      </c>
      <c r="U21" s="531"/>
    </row>
    <row r="22" spans="1:21" ht="12.75">
      <c r="A22" s="533" t="s">
        <v>82</v>
      </c>
      <c r="B22" s="522">
        <f>Wcon!$B184</f>
        <v>14151425.525217257</v>
      </c>
      <c r="C22" s="522">
        <f>Wcon!$B232</f>
        <v>14108248.102207795</v>
      </c>
      <c r="D22" s="522">
        <f>Wcon!$B280</f>
        <v>14064886.820363447</v>
      </c>
      <c r="E22" s="522">
        <f>Wcon!$B328</f>
        <v>17909086.29882256</v>
      </c>
      <c r="F22" s="522">
        <f>Wcon!$B376</f>
        <v>21841970.929924067</v>
      </c>
      <c r="G22" s="522">
        <f>Wcon!$B424</f>
        <v>25864510.969561353</v>
      </c>
      <c r="H22" s="522">
        <f>Wcon!$B472</f>
        <v>26223804.343166385</v>
      </c>
      <c r="I22" s="522">
        <f>Wcon!$B520</f>
        <v>26589964.567418315</v>
      </c>
      <c r="J22" s="522">
        <f>Wcon!$B568</f>
        <v>26963072.046688054</v>
      </c>
      <c r="K22" s="522">
        <f>Wcon!$B616</f>
        <v>27343208.650334667</v>
      </c>
      <c r="L22" s="522">
        <f>Wcon!$B664</f>
        <v>27730457.747347962</v>
      </c>
      <c r="M22" s="522">
        <f>Wcon!$B712</f>
        <v>27841402.194166843</v>
      </c>
      <c r="N22" s="522">
        <f>Wcon!$B760</f>
        <v>27953344.018812515</v>
      </c>
      <c r="O22" s="522">
        <f>Wcon!$B808</f>
        <v>28066299.222364396</v>
      </c>
      <c r="P22" s="522">
        <f>Wcon!$B856</f>
        <v>28180284.118400868</v>
      </c>
      <c r="Q22" s="522">
        <f>Wcon!$B904</f>
        <v>28295315.340931945</v>
      </c>
      <c r="R22" s="522">
        <f>Wcon!$B952</f>
        <v>28411409.852572434</v>
      </c>
      <c r="S22" s="522">
        <f>Wcon!$B1000</f>
        <v>28528584.9529639</v>
      </c>
      <c r="T22" s="522">
        <f>Wcon!$B1048</f>
        <v>28646858.28745457</v>
      </c>
      <c r="U22" s="523">
        <f>Wcon!$B1096</f>
        <v>28766247.856046233</v>
      </c>
    </row>
    <row r="23" spans="1:21" ht="12.75">
      <c r="A23" s="520" t="s">
        <v>157</v>
      </c>
      <c r="B23" s="525">
        <f>Wcon!$B189</f>
        <v>147518.5613384574</v>
      </c>
      <c r="C23" s="525">
        <f>Wcon!$B237</f>
        <v>152390.36293206178</v>
      </c>
      <c r="D23" s="525">
        <f>Wcon!$B285</f>
        <v>157423.0558098008</v>
      </c>
      <c r="E23" s="525">
        <f>Wcon!$B333</f>
        <v>138228.66039640782</v>
      </c>
      <c r="F23" s="525">
        <f>Wcon!$B381</f>
        <v>117594.78124617915</v>
      </c>
      <c r="G23" s="525">
        <f>Wcon!$B429</f>
        <v>95447.27482557765</v>
      </c>
      <c r="H23" s="525">
        <f>Wcon!$B477</f>
        <v>96806.70503205516</v>
      </c>
      <c r="I23" s="525">
        <f>Wcon!$B525</f>
        <v>98151.82594686071</v>
      </c>
      <c r="J23" s="525">
        <f>Wcon!$B573</f>
        <v>99480.20977698777</v>
      </c>
      <c r="K23" s="525">
        <f>Wcon!$B621</f>
        <v>100789.28398011024</v>
      </c>
      <c r="L23" s="525">
        <f>Wcon!$B669</f>
        <v>102076.32435176312</v>
      </c>
      <c r="M23" s="525">
        <f>Wcon!$B717</f>
        <v>105447.39572836926</v>
      </c>
      <c r="N23" s="525">
        <f>Wcon!$B765</f>
        <v>108929.79676244834</v>
      </c>
      <c r="O23" s="525">
        <f>Wcon!$B813</f>
        <v>112527.20411677253</v>
      </c>
      <c r="P23" s="525">
        <f>Wcon!$B861</f>
        <v>116243.41587592977</v>
      </c>
      <c r="Q23" s="525">
        <f>Wcon!$B909</f>
        <v>120082.35555627987</v>
      </c>
      <c r="R23" s="525">
        <f>Wcon!$B957</f>
        <v>124048.07624833996</v>
      </c>
      <c r="S23" s="525">
        <f>Wcon!$B1005</f>
        <v>128144.76489597166</v>
      </c>
      <c r="T23" s="525">
        <f>Wcon!$B1053</f>
        <v>132376.7467168891</v>
      </c>
      <c r="U23" s="526">
        <f>Wcon!$B1101</f>
        <v>136748.48976915388</v>
      </c>
    </row>
    <row r="24" spans="1:21" ht="12.75">
      <c r="A24" s="520" t="s">
        <v>83</v>
      </c>
      <c r="B24" s="525">
        <f>Wcon!$B194</f>
        <v>1312598.937327667</v>
      </c>
      <c r="C24" s="525">
        <f>Wcon!$B242</f>
        <v>1355947.5270686192</v>
      </c>
      <c r="D24" s="525">
        <f>Wcon!$B290</f>
        <v>1400727.7043105909</v>
      </c>
      <c r="E24" s="525">
        <f>Wcon!$B338</f>
        <v>1012890.7230690708</v>
      </c>
      <c r="F24" s="525">
        <f>Wcon!$B386</f>
        <v>597909.3981647587</v>
      </c>
      <c r="G24" s="525">
        <f>Wcon!$B434</f>
        <v>154413.84012986702</v>
      </c>
      <c r="H24" s="525">
        <f>Wcon!$B482</f>
        <v>127610.68668578083</v>
      </c>
      <c r="I24" s="525">
        <f>Wcon!$B530</f>
        <v>98868.77292735368</v>
      </c>
      <c r="J24" s="525">
        <f>Wcon!$B578</f>
        <v>68089.27659608907</v>
      </c>
      <c r="K24" s="525">
        <f>Wcon!$B626</f>
        <v>35168.962732944354</v>
      </c>
      <c r="L24" s="525">
        <f>Wcon!$B674</f>
        <v>0</v>
      </c>
      <c r="M24" s="525">
        <f>Wcon!$B722</f>
        <v>0</v>
      </c>
      <c r="N24" s="525">
        <f>Wcon!$B770</f>
        <v>0</v>
      </c>
      <c r="O24" s="525">
        <f>Wcon!$B818</f>
        <v>0</v>
      </c>
      <c r="P24" s="525">
        <f>Wcon!$B866</f>
        <v>0</v>
      </c>
      <c r="Q24" s="525">
        <f>Wcon!$B914</f>
        <v>0</v>
      </c>
      <c r="R24" s="525">
        <f>Wcon!$B962</f>
        <v>0</v>
      </c>
      <c r="S24" s="525">
        <f>Wcon!$B1010</f>
        <v>0</v>
      </c>
      <c r="T24" s="525">
        <f>Wcon!$B1058</f>
        <v>0</v>
      </c>
      <c r="U24" s="526">
        <f>Wcon!$B1106</f>
        <v>40546.92239943892</v>
      </c>
    </row>
    <row r="25" spans="1:21" ht="12.75">
      <c r="A25" s="527" t="s">
        <v>511</v>
      </c>
      <c r="B25" s="529">
        <f>Wcon!$B182</f>
        <v>0</v>
      </c>
      <c r="C25" s="529">
        <f>Wcon!$B230</f>
        <v>510528.357020732</v>
      </c>
      <c r="D25" s="529">
        <f>Wcon!$B278</f>
        <v>1036674.8409740739</v>
      </c>
      <c r="E25" s="529">
        <f>Wcon!$B326</f>
        <v>-1850306.1332751513</v>
      </c>
      <c r="F25" s="529">
        <f>Wcon!$B374</f>
        <v>-4779218.498756912</v>
      </c>
      <c r="G25" s="529">
        <f>Wcon!$B422</f>
        <v>-7748988.416156437</v>
      </c>
      <c r="H25" s="529">
        <f>Wcon!$B470</f>
        <v>-7476321.133258812</v>
      </c>
      <c r="I25" s="529">
        <f>Wcon!$B518</f>
        <v>-7188537.405136179</v>
      </c>
      <c r="J25" s="529">
        <f>Wcon!$B566</f>
        <v>-6884954.887735404</v>
      </c>
      <c r="K25" s="529">
        <f>Wcon!$B614</f>
        <v>-6564866.2985529825</v>
      </c>
      <c r="L25" s="529">
        <f>Wcon!$B662</f>
        <v>-6227538.53922243</v>
      </c>
      <c r="M25" s="529">
        <f>Wcon!$B710</f>
        <v>-5628348.918065008</v>
      </c>
      <c r="N25" s="529">
        <f>Wcon!$B758</f>
        <v>-5006704.491818193</v>
      </c>
      <c r="O25" s="529">
        <f>Wcon!$B806</f>
        <v>-4361846.753044888</v>
      </c>
      <c r="P25" s="529">
        <f>Wcon!$B854</f>
        <v>-3692991.9286573566</v>
      </c>
      <c r="Q25" s="529">
        <f>Wcon!$B902</f>
        <v>-2999330.1431313716</v>
      </c>
      <c r="R25" s="529">
        <f>Wcon!$B950</f>
        <v>-2280024.55406392</v>
      </c>
      <c r="S25" s="529">
        <f>Wcon!$B998</f>
        <v>-1534210.4591616578</v>
      </c>
      <c r="T25" s="529">
        <f>Wcon!$B1046</f>
        <v>-760994.3737173937</v>
      </c>
      <c r="U25" s="530">
        <f>Wcon!$B1094</f>
        <v>0</v>
      </c>
    </row>
    <row r="27" spans="1:31" ht="12.75">
      <c r="A27" s="534" t="s">
        <v>158</v>
      </c>
      <c r="B27" s="364"/>
      <c r="C27" s="522"/>
      <c r="D27" s="513">
        <f>(Wcon!$B261-Wcon!$B285)*(Wcon!$H285-Wcon!$H280)</f>
        <v>0</v>
      </c>
      <c r="E27" s="513">
        <f>(Wcon!$B309-Wcon!$B333)*(Wcon!$H285-Wcon!$H280)</f>
        <v>1282989.639213437</v>
      </c>
      <c r="F27" s="513">
        <f>(Wcon!$B357-Wcon!$B381)*(Wcon!$H285-Wcon!$H280)</f>
        <v>2650720.763324587</v>
      </c>
      <c r="G27" s="513">
        <f>(Wcon!$B405-Wcon!$B429)*(Wcon!$H285-Wcon!$H280)</f>
        <v>4107391.2545940685</v>
      </c>
      <c r="H27" s="513">
        <f>(Wcon!$B453-Wcon!$B477)*(Wcon!$H285-Wcon!$H280)</f>
        <v>4337327.6122562</v>
      </c>
      <c r="I27" s="513">
        <f>(Wcon!$B501-Wcon!$B525)*(Wcon!$H285-Wcon!$H280)</f>
        <v>4577971.538916057</v>
      </c>
      <c r="J27" s="513">
        <f>(Wcon!$B549-Wcon!$B573)*(Wcon!$H285-Wcon!$H280)</f>
        <v>4829779.489320414</v>
      </c>
      <c r="K27" s="513">
        <f>(Wcon!$B597-Wcon!$B621)*(Wcon!$H285-Wcon!$H280)</f>
        <v>5093226.388836784</v>
      </c>
      <c r="L27" s="513">
        <f>(Wcon!$B645-Wcon!$B669)*(Wcon!$H285-Wcon!$H280)</f>
        <v>5368806.355605333</v>
      </c>
      <c r="M27" s="513">
        <f>(Wcon!$B693-Wcon!$B717)*(Wcon!$H285-Wcon!$H280)</f>
        <v>5546111.22572931</v>
      </c>
      <c r="N27" s="513">
        <f>(Wcon!$B741-Wcon!$B765)*(Wcon!$H285-Wcon!$H280)</f>
        <v>5729271.590517733</v>
      </c>
      <c r="O27" s="513">
        <f>(Wcon!$B789-Wcon!$B813)*(Wcon!$H285-Wcon!$H280)</f>
        <v>5918480.827725768</v>
      </c>
      <c r="P27" s="513">
        <f>(Wcon!$B837-Wcon!$B861)*(Wcon!$H285-Wcon!$H280)</f>
        <v>6113938.701410403</v>
      </c>
      <c r="Q27" s="513">
        <f>(Wcon!$B885-Wcon!$B909)*(Wcon!$H285-Wcon!$H280)</f>
        <v>6315851.572838097</v>
      </c>
      <c r="R27" s="513">
        <f>(Wcon!$B933-Wcon!$B957)*(Wcon!$H285-Wcon!$H280)</f>
        <v>6524432.618357689</v>
      </c>
      <c r="S27" s="513">
        <f>(Wcon!$B981-Wcon!$B1005)*(Wcon!$H285-Wcon!$H280)</f>
        <v>6739902.054468526</v>
      </c>
      <c r="T27" s="513">
        <f>(Wcon!$B1029-Wcon!$B1053)*(Wcon!$H285-Wcon!$H280)</f>
        <v>6962487.370321499</v>
      </c>
      <c r="U27" s="514">
        <f>(Wcon!$B1077-Wcon!$B1101)*(Wcon!$H285-Wcon!$H280)</f>
        <v>7192423.567898418</v>
      </c>
      <c r="V27" s="386"/>
      <c r="W27" s="386"/>
      <c r="X27" s="386"/>
      <c r="Y27" s="386"/>
      <c r="Z27" s="386"/>
      <c r="AA27" s="386"/>
      <c r="AB27" s="386"/>
      <c r="AC27" s="386"/>
      <c r="AD27" s="386"/>
      <c r="AE27" s="386"/>
    </row>
    <row r="28" spans="1:31" ht="12.75">
      <c r="A28" s="535" t="s">
        <v>79</v>
      </c>
      <c r="B28" s="374"/>
      <c r="C28" s="374"/>
      <c r="D28" s="515">
        <f>(Wcon!$B266-Wcon!$B290)*(Wcon!$H290-Wcon!$H280)</f>
        <v>0</v>
      </c>
      <c r="E28" s="515">
        <f>(Wcon!$B314-Wcon!$B338)*(Wcon!$H290-Wcon!$H280)</f>
        <v>1636542.0111301707</v>
      </c>
      <c r="F28" s="515">
        <f>(Wcon!$B362-Wcon!$B386)*(Wcon!$H290-Wcon!$H280)</f>
        <v>3381177.64662171</v>
      </c>
      <c r="G28" s="515">
        <f>(Wcon!$B410-Wcon!$B434)*(Wcon!$H290-Wcon!$H280)</f>
        <v>5239261.595606389</v>
      </c>
      <c r="H28" s="515">
        <f>(Wcon!$B458-Wcon!$B482)*(Wcon!$H290-Wcon!$H280)</f>
        <v>5532561.321262032</v>
      </c>
      <c r="I28" s="515">
        <f>(Wcon!$B506-Wcon!$B530)*(Wcon!$H290-Wcon!$H280)</f>
        <v>5839519.2916659275</v>
      </c>
      <c r="J28" s="515">
        <f>(Wcon!$B554-Wcon!$B578)*(Wcon!$H290-Wcon!$H280)</f>
        <v>6160717.746414132</v>
      </c>
      <c r="K28" s="515">
        <f>(Wcon!$B602-Wcon!$B626)*(Wcon!$H290-Wcon!$H280)</f>
        <v>6496762.485656804</v>
      </c>
      <c r="L28" s="515">
        <f>(Wcon!$B650-Wcon!$B674)*(Wcon!$H290-Wcon!$H280)</f>
        <v>6848283.791252913</v>
      </c>
      <c r="M28" s="515">
        <f>(Wcon!$B698-Wcon!$B722)*(Wcon!$H290-Wcon!$H280)</f>
        <v>7074448.414775328</v>
      </c>
      <c r="N28" s="515">
        <f>(Wcon!$B746-Wcon!$B770)*(Wcon!$H290-Wcon!$H280)</f>
        <v>7308082.126684295</v>
      </c>
      <c r="O28" s="515">
        <f>(Wcon!$B794-Wcon!$B818)*(Wcon!$H290-Wcon!$H280)</f>
        <v>7549431.593679743</v>
      </c>
      <c r="P28" s="515">
        <f>(Wcon!$B842-Wcon!$B866)*(Wcon!$H290-Wcon!$H280)</f>
        <v>7798751.62863122</v>
      </c>
      <c r="Q28" s="515">
        <f>(Wcon!$B890-Wcon!$B914)*(Wcon!$H290-Wcon!$H280)</f>
        <v>8056305.459605201</v>
      </c>
      <c r="R28" s="515">
        <f>(Wcon!$B938-Wcon!$B962)*(Wcon!$H290-Wcon!$H280)</f>
        <v>8322365.007777032</v>
      </c>
      <c r="S28" s="515">
        <f>(Wcon!$B986-Wcon!$B1010)*(Wcon!$H290-Wcon!$H280)</f>
        <v>8597211.174520902</v>
      </c>
      <c r="T28" s="515">
        <f>(Wcon!$B1034-Wcon!$B1058)*(Wcon!$H290-Wcon!$H280)</f>
        <v>8881134.137980992</v>
      </c>
      <c r="U28" s="516">
        <f>(Wcon!$B1082-Wcon!$B1106)*(Wcon!$H290-Wcon!$H280)</f>
        <v>9021571.761990989</v>
      </c>
      <c r="V28" s="386"/>
      <c r="W28" s="386"/>
      <c r="X28" s="386"/>
      <c r="Y28" s="386"/>
      <c r="Z28" s="386"/>
      <c r="AA28" s="386"/>
      <c r="AB28" s="386"/>
      <c r="AC28" s="386"/>
      <c r="AD28" s="386"/>
      <c r="AE28" s="386"/>
    </row>
    <row r="29" spans="1:31" ht="12.75">
      <c r="A29" s="379" t="s">
        <v>159</v>
      </c>
      <c r="B29" s="415"/>
      <c r="C29" s="415"/>
      <c r="D29" s="536">
        <f aca="true" t="shared" si="3" ref="D29:U29">D27+D28</f>
        <v>0</v>
      </c>
      <c r="E29" s="536">
        <f t="shared" si="3"/>
        <v>2919531.6503436076</v>
      </c>
      <c r="F29" s="536">
        <f t="shared" si="3"/>
        <v>6031898.409946297</v>
      </c>
      <c r="G29" s="536">
        <f t="shared" si="3"/>
        <v>9346652.850200457</v>
      </c>
      <c r="H29" s="536">
        <f t="shared" si="3"/>
        <v>9869888.93351823</v>
      </c>
      <c r="I29" s="536">
        <f t="shared" si="3"/>
        <v>10417490.830581985</v>
      </c>
      <c r="J29" s="536">
        <f t="shared" si="3"/>
        <v>10990497.235734547</v>
      </c>
      <c r="K29" s="536">
        <f t="shared" si="3"/>
        <v>11589988.874493588</v>
      </c>
      <c r="L29" s="536">
        <f t="shared" si="3"/>
        <v>12217090.146858245</v>
      </c>
      <c r="M29" s="536">
        <f t="shared" si="3"/>
        <v>12620559.640504638</v>
      </c>
      <c r="N29" s="536">
        <f t="shared" si="3"/>
        <v>13037353.717202028</v>
      </c>
      <c r="O29" s="536">
        <f t="shared" si="3"/>
        <v>13467912.421405511</v>
      </c>
      <c r="P29" s="536">
        <f t="shared" si="3"/>
        <v>13912690.330041623</v>
      </c>
      <c r="Q29" s="536">
        <f t="shared" si="3"/>
        <v>14372157.032443298</v>
      </c>
      <c r="R29" s="536">
        <f t="shared" si="3"/>
        <v>14846797.626134722</v>
      </c>
      <c r="S29" s="536">
        <f t="shared" si="3"/>
        <v>15337113.228989428</v>
      </c>
      <c r="T29" s="536">
        <f t="shared" si="3"/>
        <v>15843621.508302491</v>
      </c>
      <c r="U29" s="537">
        <f t="shared" si="3"/>
        <v>16213995.329889406</v>
      </c>
      <c r="V29" s="386"/>
      <c r="W29" s="386"/>
      <c r="X29" s="386"/>
      <c r="Y29" s="386"/>
      <c r="Z29" s="386"/>
      <c r="AA29" s="386"/>
      <c r="AB29" s="386"/>
      <c r="AC29" s="386"/>
      <c r="AD29" s="386"/>
      <c r="AE29" s="386"/>
    </row>
    <row r="30" spans="22:31" ht="12.75">
      <c r="V30" s="386"/>
      <c r="W30" s="386"/>
      <c r="X30" s="386"/>
      <c r="Y30" s="386"/>
      <c r="Z30" s="386"/>
      <c r="AA30" s="386"/>
      <c r="AB30" s="386"/>
      <c r="AC30" s="386"/>
      <c r="AD30" s="386"/>
      <c r="AE30" s="386"/>
    </row>
    <row r="31" spans="1:31" ht="12.75">
      <c r="A31" s="490" t="s">
        <v>412</v>
      </c>
      <c r="C31" s="378"/>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row>
    <row r="32" spans="1:31" ht="12.75">
      <c r="A32" s="378"/>
      <c r="C32" s="378"/>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row>
    <row r="33" spans="1:31" ht="12.75">
      <c r="A33" s="512" t="s">
        <v>307</v>
      </c>
      <c r="B33" s="513">
        <f>Wcon!$B$4*B10</f>
        <v>42021.823981069894</v>
      </c>
      <c r="C33" s="513">
        <f>Wcon!$B$4*C10</f>
        <v>43387.533260454664</v>
      </c>
      <c r="D33" s="513">
        <f>Wcon!$B$4*D10</f>
        <v>44797.628091419436</v>
      </c>
      <c r="E33" s="513">
        <f>Wcon!$B$4*E10</f>
        <v>46253.55100439057</v>
      </c>
      <c r="F33" s="513">
        <f>Wcon!$B$4*F10</f>
        <v>47756.79141203326</v>
      </c>
      <c r="G33" s="513">
        <f>Wcon!$B$4*G10</f>
        <v>49308.88713292434</v>
      </c>
      <c r="H33" s="513">
        <f>Wcon!$B$4*H10</f>
        <v>50911.425964744376</v>
      </c>
      <c r="I33" s="513">
        <f>Wcon!$B$4*I10</f>
        <v>52566.047308598565</v>
      </c>
      <c r="J33" s="513">
        <f>Wcon!$B$4*J10</f>
        <v>54274.44384612803</v>
      </c>
      <c r="K33" s="513">
        <f>Wcon!$B$4*K10</f>
        <v>56038.363271127186</v>
      </c>
      <c r="L33" s="513">
        <f>Wcon!$B$4*L10</f>
        <v>57859.610077438825</v>
      </c>
      <c r="M33" s="513">
        <f>Wcon!$B$4*M10</f>
        <v>59740.04740495558</v>
      </c>
      <c r="N33" s="513">
        <f>Wcon!$B$4*N10</f>
        <v>61681.598945616635</v>
      </c>
      <c r="O33" s="513">
        <f>Wcon!$B$4*O10</f>
        <v>63686.25091134917</v>
      </c>
      <c r="P33" s="513">
        <f>Wcon!$B$4*P10</f>
        <v>65756.054065968</v>
      </c>
      <c r="Q33" s="513">
        <f>Wcon!$B$4*Q10</f>
        <v>67893.12582311197</v>
      </c>
      <c r="R33" s="513">
        <f>Wcon!$B$4*R10</f>
        <v>70099.65241236312</v>
      </c>
      <c r="S33" s="513">
        <f>Wcon!$B$4*S10</f>
        <v>72377.89111576493</v>
      </c>
      <c r="T33" s="513">
        <f>Wcon!$B$4*T10</f>
        <v>74730.17257702728</v>
      </c>
      <c r="U33" s="514">
        <f>Wcon!$B$4*U10</f>
        <v>77158.90318578067</v>
      </c>
      <c r="V33" s="386"/>
      <c r="W33" s="386"/>
      <c r="X33" s="386"/>
      <c r="Y33" s="386"/>
      <c r="Z33" s="386"/>
      <c r="AA33" s="386"/>
      <c r="AB33" s="386"/>
      <c r="AC33" s="386"/>
      <c r="AD33" s="386"/>
      <c r="AE33" s="386"/>
    </row>
    <row r="34" spans="1:31" ht="12.75">
      <c r="A34" s="511" t="s">
        <v>306</v>
      </c>
      <c r="B34" s="515">
        <f>Wcon!$B$4*B11</f>
        <v>41230.855151695476</v>
      </c>
      <c r="C34" s="515">
        <f>Wcon!$B$4*C11</f>
        <v>42592.50445203565</v>
      </c>
      <c r="D34" s="515">
        <f>Wcon!$B$4*D11</f>
        <v>43999.12223072282</v>
      </c>
      <c r="E34" s="515">
        <f>Wcon!$B$4*E11</f>
        <v>45452.193572091346</v>
      </c>
      <c r="F34" s="515">
        <f>Wcon!$B$4*F11</f>
        <v>46953.25260539688</v>
      </c>
      <c r="G34" s="515">
        <f>Wcon!$B$4*G11</f>
        <v>48503.88412452523</v>
      </c>
      <c r="H34" s="515">
        <f>Wcon!$B$4*H11</f>
        <v>50105.725261192136</v>
      </c>
      <c r="I34" s="515">
        <f>Wcon!$B$4*I11</f>
        <v>51760.46721340056</v>
      </c>
      <c r="J34" s="515">
        <f>Wcon!$B$4*J11</f>
        <v>53469.85703098018</v>
      </c>
      <c r="K34" s="515">
        <f>Wcon!$B$4*K11</f>
        <v>55235.69946009432</v>
      </c>
      <c r="L34" s="515">
        <f>Wcon!$B$4*L11</f>
        <v>57059.85884866197</v>
      </c>
      <c r="M34" s="515">
        <f>Wcon!$B$4*M11</f>
        <v>58944.26111470603</v>
      </c>
      <c r="N34" s="515">
        <f>Wcon!$B$4*N11</f>
        <v>60890.895779706625</v>
      </c>
      <c r="O34" s="515">
        <f>Wcon!$B$4*O11</f>
        <v>62901.81806910556</v>
      </c>
      <c r="P34" s="515">
        <f>Wcon!$B$4*P11</f>
        <v>64979.151082180375</v>
      </c>
      <c r="Q34" s="515">
        <f>Wcon!$B$4*Q11</f>
        <v>67125.08803357807</v>
      </c>
      <c r="R34" s="515">
        <f>Wcon!$B$4*R11</f>
        <v>69341.89456887587</v>
      </c>
      <c r="S34" s="515">
        <f>Wcon!$B$4*S11</f>
        <v>71631.91115661307</v>
      </c>
      <c r="T34" s="515">
        <f>Wcon!$B$4*T11</f>
        <v>73997.55555932007</v>
      </c>
      <c r="U34" s="516">
        <f>Wcon!$B$4*U11</f>
        <v>76441.32538615298</v>
      </c>
      <c r="V34" s="386"/>
      <c r="W34" s="386"/>
      <c r="X34" s="386"/>
      <c r="Y34" s="386"/>
      <c r="Z34" s="386"/>
      <c r="AA34" s="386"/>
      <c r="AB34" s="386"/>
      <c r="AC34" s="386"/>
      <c r="AD34" s="386"/>
      <c r="AE34" s="386"/>
    </row>
    <row r="35" spans="1:31" ht="12.75">
      <c r="A35" s="377"/>
      <c r="B35" s="386"/>
      <c r="C35" s="386"/>
      <c r="D35" s="386"/>
      <c r="E35" s="538">
        <f>E36/365*1000</f>
        <v>14.06658944175926</v>
      </c>
      <c r="F35" s="538">
        <f>F36/365*1000</f>
        <v>27.54505079353445</v>
      </c>
      <c r="G35" s="538">
        <f>G36/365*1000</f>
        <v>40.45195153403982</v>
      </c>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row>
    <row r="36" spans="1:31" ht="12.75">
      <c r="A36" s="377"/>
      <c r="C36" s="378"/>
      <c r="D36" s="386"/>
      <c r="E36" s="386">
        <f>E37/E34</f>
        <v>5.13430514624213</v>
      </c>
      <c r="F36" s="386">
        <f>F37/F34</f>
        <v>10.053943539640075</v>
      </c>
      <c r="G36" s="386">
        <f>G37/G34</f>
        <v>14.764962309924533</v>
      </c>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row>
    <row r="37" spans="1:31" ht="12.75">
      <c r="A37" s="377"/>
      <c r="C37" s="378"/>
      <c r="D37" s="386"/>
      <c r="E37" s="386">
        <f>E43-E39</f>
        <v>233365.43136518204</v>
      </c>
      <c r="F37" s="386">
        <f>F43-F39</f>
        <v>472065.35069711856</v>
      </c>
      <c r="G37" s="386">
        <f>G43-G39</f>
        <v>716158.020983562</v>
      </c>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row>
    <row r="38" spans="1:31" ht="12.75">
      <c r="A38" s="378" t="s">
        <v>81</v>
      </c>
      <c r="C38" s="378"/>
      <c r="D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row>
    <row r="39" spans="1:31" ht="12.75">
      <c r="A39" s="533" t="s">
        <v>82</v>
      </c>
      <c r="B39" s="522">
        <f>Wcon!$B161</f>
        <v>849452.1966633156</v>
      </c>
      <c r="C39" s="522">
        <f>Wcon!$B209</f>
        <v>846860.4325504854</v>
      </c>
      <c r="D39" s="522">
        <f>Wcon!$B257</f>
        <v>844257.6321437572</v>
      </c>
      <c r="E39" s="522">
        <f>Wcon!$B305</f>
        <v>841643.7731604631</v>
      </c>
      <c r="F39" s="522">
        <f>Wcon!$B353</f>
        <v>839018.8332120103</v>
      </c>
      <c r="G39" s="522">
        <f>Wcon!$B401</f>
        <v>836382.7898036971</v>
      </c>
      <c r="H39" s="522">
        <f>Wcon!$B449</f>
        <v>833735.6203345231</v>
      </c>
      <c r="I39" s="522">
        <f>Wcon!$B497</f>
        <v>831077.3020970029</v>
      </c>
      <c r="J39" s="522">
        <f>Wcon!$B545</f>
        <v>828407.8122769736</v>
      </c>
      <c r="K39" s="522">
        <f>Wcon!$B593</f>
        <v>825727.127953407</v>
      </c>
      <c r="L39" s="522">
        <f>Wcon!$B641</f>
        <v>823035.226098215</v>
      </c>
      <c r="M39" s="522">
        <f>Wcon!$B689</f>
        <v>820332.0835760583</v>
      </c>
      <c r="N39" s="522">
        <f>Wcon!$B737</f>
        <v>817617.6771441528</v>
      </c>
      <c r="O39" s="522">
        <f>Wcon!$B785</f>
        <v>814891.9834520736</v>
      </c>
      <c r="P39" s="522">
        <f>Wcon!$B833</f>
        <v>812154.9790415596</v>
      </c>
      <c r="Q39" s="522">
        <f>Wcon!$B881</f>
        <v>809406.6403463169</v>
      </c>
      <c r="R39" s="522">
        <f>Wcon!$B929</f>
        <v>806646.9436918197</v>
      </c>
      <c r="S39" s="522">
        <f>Wcon!$B977</f>
        <v>803875.8652951122</v>
      </c>
      <c r="T39" s="522">
        <f>Wcon!$B1025</f>
        <v>801093.3812646081</v>
      </c>
      <c r="U39" s="523">
        <f>Wcon!$B1073</f>
        <v>798299.4675998891</v>
      </c>
      <c r="V39" s="386"/>
      <c r="W39" s="386"/>
      <c r="X39" s="386"/>
      <c r="Y39" s="386"/>
      <c r="Z39" s="386"/>
      <c r="AA39" s="386"/>
      <c r="AB39" s="386"/>
      <c r="AC39" s="386"/>
      <c r="AD39" s="386"/>
      <c r="AE39" s="386"/>
    </row>
    <row r="40" spans="1:31" ht="12.75">
      <c r="A40" s="520" t="s">
        <v>157</v>
      </c>
      <c r="B40" s="525">
        <f>Wcon!$B166</f>
        <v>3680.9813140976466</v>
      </c>
      <c r="C40" s="525">
        <f>Wcon!$B214</f>
        <v>3802.5457495784435</v>
      </c>
      <c r="D40" s="525">
        <f>Wcon!$B262</f>
        <v>3928.124851451912</v>
      </c>
      <c r="E40" s="525">
        <f>Wcon!$B310</f>
        <v>4057.8512041057543</v>
      </c>
      <c r="F40" s="525">
        <f>Wcon!$B358</f>
        <v>4191.861770528069</v>
      </c>
      <c r="G40" s="525">
        <f>Wcon!$B406</f>
        <v>4330.298036910664</v>
      </c>
      <c r="H40" s="525">
        <f>Wcon!$B454</f>
        <v>4473.306162027889</v>
      </c>
      <c r="I40" s="525">
        <f>Wcon!$B502</f>
        <v>4621.037131548714</v>
      </c>
      <c r="J40" s="525">
        <f>Wcon!$B550</f>
        <v>4773.646917444959</v>
      </c>
      <c r="K40" s="525">
        <f>Wcon!$B598</f>
        <v>4931.296642663978</v>
      </c>
      <c r="L40" s="525">
        <f>Wcon!$B646</f>
        <v>5094.152751239673</v>
      </c>
      <c r="M40" s="525">
        <f>Wcon!$B694</f>
        <v>5262.387184021411</v>
      </c>
      <c r="N40" s="525">
        <f>Wcon!$B742</f>
        <v>5436.177560206399</v>
      </c>
      <c r="O40" s="525">
        <f>Wcon!$B790</f>
        <v>5615.7073648671585</v>
      </c>
      <c r="P40" s="525">
        <f>Wcon!$B838</f>
        <v>5801.166142672113</v>
      </c>
      <c r="Q40" s="525">
        <f>Wcon!$B886</f>
        <v>5992.749698003775</v>
      </c>
      <c r="R40" s="525">
        <f>Wcon!$B934</f>
        <v>6190.660301685862</v>
      </c>
      <c r="S40" s="525">
        <f>Wcon!$B982</f>
        <v>6395.106904537553</v>
      </c>
      <c r="T40" s="525">
        <f>Wcon!$B1030</f>
        <v>6606.305357980401</v>
      </c>
      <c r="U40" s="526">
        <f>Wcon!$B1078</f>
        <v>6824.478641930774</v>
      </c>
      <c r="V40" s="386"/>
      <c r="W40" s="386"/>
      <c r="X40" s="386"/>
      <c r="Y40" s="386"/>
      <c r="Z40" s="386"/>
      <c r="AA40" s="386"/>
      <c r="AB40" s="386"/>
      <c r="AC40" s="386"/>
      <c r="AD40" s="386"/>
      <c r="AE40" s="386"/>
    </row>
    <row r="41" spans="1:31" ht="12.75">
      <c r="A41" s="527" t="s">
        <v>83</v>
      </c>
      <c r="B41" s="529">
        <f>Wcon!$B171</f>
        <v>48523.86343500232</v>
      </c>
      <c r="C41" s="529">
        <f>Wcon!$B219</f>
        <v>50126.36438854745</v>
      </c>
      <c r="D41" s="529">
        <f>Wcon!$B267</f>
        <v>51781.78794809145</v>
      </c>
      <c r="E41" s="529">
        <f>Wcon!$B315</f>
        <v>53491.88188309396</v>
      </c>
      <c r="F41" s="529">
        <f>Wcon!$B363</f>
        <v>55258.45168311421</v>
      </c>
      <c r="G41" s="529">
        <f>Wcon!$B411</f>
        <v>57083.36246401758</v>
      </c>
      <c r="H41" s="529">
        <f>Wcon!$B459</f>
        <v>58968.54093713488</v>
      </c>
      <c r="I41" s="529">
        <f>Wcon!$B507</f>
        <v>60915.97744345311</v>
      </c>
      <c r="J41" s="529">
        <f>Wcon!$B555</f>
        <v>62927.72805498526</v>
      </c>
      <c r="K41" s="529">
        <f>Wcon!$B603</f>
        <v>65005.916745537885</v>
      </c>
      <c r="L41" s="529">
        <f>Wcon!$B651</f>
        <v>67152.73763316855</v>
      </c>
      <c r="M41" s="529">
        <f>Wcon!$B699</f>
        <v>69370.45729669997</v>
      </c>
      <c r="N41" s="529">
        <f>Wcon!$B747</f>
        <v>71661.4171687376</v>
      </c>
      <c r="O41" s="529">
        <f>Wcon!$B795</f>
        <v>74028.03600771612</v>
      </c>
      <c r="P41" s="529">
        <f>Wcon!$B843</f>
        <v>76472.81245158569</v>
      </c>
      <c r="Q41" s="529">
        <f>Wcon!$B891</f>
        <v>78998.32765583352</v>
      </c>
      <c r="R41" s="529">
        <f>Wcon!$B939</f>
        <v>81607.24801862614</v>
      </c>
      <c r="S41" s="529">
        <f>Wcon!$B987</f>
        <v>84302.3279959494</v>
      </c>
      <c r="T41" s="529">
        <f>Wcon!$B1035</f>
        <v>87086.41300971879</v>
      </c>
      <c r="U41" s="530">
        <f>Wcon!$B1083</f>
        <v>89962.44245192994</v>
      </c>
      <c r="V41" s="386"/>
      <c r="W41" s="386"/>
      <c r="X41" s="386"/>
      <c r="Y41" s="386"/>
      <c r="Z41" s="386"/>
      <c r="AA41" s="386"/>
      <c r="AB41" s="386"/>
      <c r="AC41" s="386"/>
      <c r="AD41" s="386"/>
      <c r="AE41" s="386"/>
    </row>
    <row r="42" spans="1:31" ht="12.75">
      <c r="A42" s="378" t="s">
        <v>7</v>
      </c>
      <c r="C42" s="378"/>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row>
    <row r="43" spans="1:31" ht="12.75">
      <c r="A43" s="533" t="s">
        <v>82</v>
      </c>
      <c r="B43" s="522">
        <f>Wcon!$B185</f>
        <v>849452.1966633156</v>
      </c>
      <c r="C43" s="522">
        <f>Wcon!$B233</f>
        <v>846860.4325504854</v>
      </c>
      <c r="D43" s="522">
        <f>Wcon!$B281</f>
        <v>844257.6321437572</v>
      </c>
      <c r="E43" s="522">
        <f>Wcon!$B329</f>
        <v>1075009.2045256451</v>
      </c>
      <c r="F43" s="522">
        <f>Wcon!$B377</f>
        <v>1311084.183909129</v>
      </c>
      <c r="G43" s="522">
        <f>Wcon!$B425</f>
        <v>1552540.8107872591</v>
      </c>
      <c r="H43" s="522">
        <f>Wcon!$B473</f>
        <v>1574107.7225384116</v>
      </c>
      <c r="I43" s="522">
        <f>Wcon!$B521</f>
        <v>1596086.8232493105</v>
      </c>
      <c r="J43" s="522">
        <f>Wcon!$B569</f>
        <v>1618482.9392654973</v>
      </c>
      <c r="K43" s="522">
        <f>Wcon!$B617</f>
        <v>1641300.984869761</v>
      </c>
      <c r="L43" s="522">
        <f>Wcon!$B665</f>
        <v>1664545.9643615906</v>
      </c>
      <c r="M43" s="522">
        <f>Wcon!$B713</f>
        <v>1671205.5057547851</v>
      </c>
      <c r="N43" s="522">
        <f>Wcon!$B761</f>
        <v>1677924.9156597676</v>
      </c>
      <c r="O43" s="522">
        <f>Wcon!$B809</f>
        <v>1684705.1545558928</v>
      </c>
      <c r="P43" s="522">
        <f>Wcon!$B857</f>
        <v>1691547.2016805504</v>
      </c>
      <c r="Q43" s="522">
        <f>Wcon!$B905</f>
        <v>1698452.0555053307</v>
      </c>
      <c r="R43" s="522">
        <f>Wcon!$B953</f>
        <v>1705420.7342266254</v>
      </c>
      <c r="S43" s="522">
        <f>Wcon!$B1001</f>
        <v>1712454.2762711642</v>
      </c>
      <c r="T43" s="522">
        <f>Wcon!$B1049</f>
        <v>1719553.740817034</v>
      </c>
      <c r="U43" s="523">
        <f>Wcon!$B1097</f>
        <v>1726720.208330724</v>
      </c>
      <c r="V43" s="386"/>
      <c r="W43" s="386"/>
      <c r="X43" s="386"/>
      <c r="Y43" s="386"/>
      <c r="Z43" s="386"/>
      <c r="AA43" s="386"/>
      <c r="AB43" s="386"/>
      <c r="AC43" s="386"/>
      <c r="AD43" s="386"/>
      <c r="AE43" s="386"/>
    </row>
    <row r="44" spans="1:31" ht="12.75">
      <c r="A44" s="520" t="s">
        <v>157</v>
      </c>
      <c r="B44" s="525">
        <f>Wcon!$B190</f>
        <v>3680.9813140976466</v>
      </c>
      <c r="C44" s="525">
        <f>Wcon!$B238</f>
        <v>3802.5457495784435</v>
      </c>
      <c r="D44" s="525">
        <f>Wcon!$B286</f>
        <v>3928.124851451912</v>
      </c>
      <c r="E44" s="525">
        <f>Wcon!$B334</f>
        <v>3449.17352348989</v>
      </c>
      <c r="F44" s="525">
        <f>Wcon!$B382</f>
        <v>2934.303239369649</v>
      </c>
      <c r="G44" s="525">
        <f>Wcon!$B430</f>
        <v>2381.663920300865</v>
      </c>
      <c r="H44" s="525">
        <f>Wcon!$B478</f>
        <v>2415.58532749506</v>
      </c>
      <c r="I44" s="525">
        <f>Wcon!$B526</f>
        <v>2449.1496797208183</v>
      </c>
      <c r="J44" s="525">
        <f>Wcon!$B574</f>
        <v>2482.296397071379</v>
      </c>
      <c r="K44" s="525">
        <f>Wcon!$B622</f>
        <v>2514.9612877586287</v>
      </c>
      <c r="L44" s="525">
        <f>Wcon!$B670</f>
        <v>2547.0763756198367</v>
      </c>
      <c r="M44" s="525">
        <f>Wcon!$B718</f>
        <v>2631.1935920107053</v>
      </c>
      <c r="N44" s="525">
        <f>Wcon!$B766</f>
        <v>2718.0887801031995</v>
      </c>
      <c r="O44" s="525">
        <f>Wcon!$B814</f>
        <v>2807.8536824335793</v>
      </c>
      <c r="P44" s="525">
        <f>Wcon!$B862</f>
        <v>2900.5830713360565</v>
      </c>
      <c r="Q44" s="525">
        <f>Wcon!$B910</f>
        <v>2996.3748490018875</v>
      </c>
      <c r="R44" s="525">
        <f>Wcon!$B958</f>
        <v>3095.330150842931</v>
      </c>
      <c r="S44" s="525">
        <f>Wcon!$B1006</f>
        <v>3197.5534522687767</v>
      </c>
      <c r="T44" s="525">
        <f>Wcon!$B1054</f>
        <v>3303.1526789902005</v>
      </c>
      <c r="U44" s="526">
        <f>Wcon!$B1102</f>
        <v>3412.239320965387</v>
      </c>
      <c r="V44" s="386"/>
      <c r="W44" s="386"/>
      <c r="X44" s="386"/>
      <c r="Y44" s="386"/>
      <c r="Z44" s="386"/>
      <c r="AA44" s="386"/>
      <c r="AB44" s="386"/>
      <c r="AC44" s="386"/>
      <c r="AD44" s="386"/>
      <c r="AE44" s="386"/>
    </row>
    <row r="45" spans="1:31" ht="12.75">
      <c r="A45" s="527" t="s">
        <v>83</v>
      </c>
      <c r="B45" s="529">
        <f>Wcon!$B195</f>
        <v>48523.86343500232</v>
      </c>
      <c r="C45" s="529">
        <f>Wcon!$B243</f>
        <v>50126.36438854745</v>
      </c>
      <c r="D45" s="529">
        <f>Wcon!$B291</f>
        <v>51781.78794809145</v>
      </c>
      <c r="E45" s="529">
        <f>Wcon!$B339</f>
        <v>37444.31731816577</v>
      </c>
      <c r="F45" s="529">
        <f>Wcon!$B387</f>
        <v>22103.380673245687</v>
      </c>
      <c r="G45" s="529">
        <f>Wcon!$B435</f>
        <v>5708.336246401756</v>
      </c>
      <c r="H45" s="529">
        <f>Wcon!$B483</f>
        <v>4717.4832749707875</v>
      </c>
      <c r="I45" s="529">
        <f>Wcon!$B531</f>
        <v>3654.9586466071896</v>
      </c>
      <c r="J45" s="529">
        <f>Wcon!$B579</f>
        <v>2517.109122199413</v>
      </c>
      <c r="K45" s="529">
        <f>Wcon!$B627</f>
        <v>1300.118334910759</v>
      </c>
      <c r="L45" s="529">
        <f>Wcon!$B675</f>
        <v>0</v>
      </c>
      <c r="M45" s="529">
        <f>Wcon!$B723</f>
        <v>0</v>
      </c>
      <c r="N45" s="529">
        <f>Wcon!$B771</f>
        <v>0</v>
      </c>
      <c r="O45" s="529">
        <f>Wcon!$B819</f>
        <v>0</v>
      </c>
      <c r="P45" s="529">
        <f>Wcon!$B867</f>
        <v>0</v>
      </c>
      <c r="Q45" s="529">
        <f>Wcon!$B915</f>
        <v>0</v>
      </c>
      <c r="R45" s="529">
        <f>Wcon!$B963</f>
        <v>0</v>
      </c>
      <c r="S45" s="529">
        <f>Wcon!$B1011</f>
        <v>0</v>
      </c>
      <c r="T45" s="529">
        <f>Wcon!$B1059</f>
        <v>0</v>
      </c>
      <c r="U45" s="530">
        <f>Wcon!$B1107</f>
        <v>1498.9295429612716</v>
      </c>
      <c r="V45" s="386"/>
      <c r="W45" s="386"/>
      <c r="X45" s="386"/>
      <c r="Y45" s="386"/>
      <c r="Z45" s="386"/>
      <c r="AA45" s="386"/>
      <c r="AB45" s="386"/>
      <c r="AC45" s="386"/>
      <c r="AD45" s="386"/>
      <c r="AE45" s="386"/>
    </row>
    <row r="46" spans="3:31" ht="12.75">
      <c r="C46" s="378"/>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row>
    <row r="47" spans="1:31" ht="12.75">
      <c r="A47" s="534" t="s">
        <v>158</v>
      </c>
      <c r="B47" s="363"/>
      <c r="C47" s="364"/>
      <c r="D47" s="513">
        <f>(D40-D44)*($G$6-$E$6)</f>
        <v>0</v>
      </c>
      <c r="E47" s="513">
        <f aca="true" t="shared" si="4" ref="E47:U47">(E40-E44)*($G$6-$E$6)</f>
        <v>32014.01128967199</v>
      </c>
      <c r="F47" s="513">
        <f t="shared" si="4"/>
        <v>66142.54850480829</v>
      </c>
      <c r="G47" s="513">
        <f t="shared" si="4"/>
        <v>102490.35999720903</v>
      </c>
      <c r="H47" s="513">
        <f t="shared" si="4"/>
        <v>108227.88501308866</v>
      </c>
      <c r="I47" s="513">
        <f t="shared" si="4"/>
        <v>114232.59241633999</v>
      </c>
      <c r="J47" s="513">
        <f t="shared" si="4"/>
        <v>120515.87196956883</v>
      </c>
      <c r="K47" s="513">
        <f t="shared" si="4"/>
        <v>127089.57432660175</v>
      </c>
      <c r="L47" s="513">
        <f t="shared" si="4"/>
        <v>133966.02905210093</v>
      </c>
      <c r="M47" s="513">
        <f t="shared" si="4"/>
        <v>138390.25816539506</v>
      </c>
      <c r="N47" s="513">
        <f t="shared" si="4"/>
        <v>142960.5974783079</v>
      </c>
      <c r="O47" s="513">
        <f t="shared" si="4"/>
        <v>147681.87228127653</v>
      </c>
      <c r="P47" s="513">
        <f t="shared" si="4"/>
        <v>152559.06721999124</v>
      </c>
      <c r="Q47" s="513">
        <f t="shared" si="4"/>
        <v>157597.3315581033</v>
      </c>
      <c r="R47" s="513">
        <f t="shared" si="4"/>
        <v>162801.9846137348</v>
      </c>
      <c r="S47" s="513">
        <f t="shared" si="4"/>
        <v>168178.5213755286</v>
      </c>
      <c r="T47" s="513">
        <f t="shared" si="4"/>
        <v>173732.6183041686</v>
      </c>
      <c r="U47" s="514">
        <f t="shared" si="4"/>
        <v>179470.1393254955</v>
      </c>
      <c r="V47" s="386"/>
      <c r="W47" s="386"/>
      <c r="X47" s="386"/>
      <c r="Y47" s="386"/>
      <c r="Z47" s="386"/>
      <c r="AA47" s="386"/>
      <c r="AB47" s="386"/>
      <c r="AC47" s="386"/>
      <c r="AD47" s="386"/>
      <c r="AE47" s="386"/>
    </row>
    <row r="48" spans="1:31" ht="12.75">
      <c r="A48" s="535" t="s">
        <v>79</v>
      </c>
      <c r="B48" s="373"/>
      <c r="C48" s="374"/>
      <c r="D48" s="515">
        <f>(D41-D45)*($I$6-$E$6)</f>
        <v>0</v>
      </c>
      <c r="E48" s="515">
        <f aca="true" t="shared" si="5" ref="E48:U48">(E41-E45)*($I$6-$E$6)</f>
        <v>60499.31840977929</v>
      </c>
      <c r="F48" s="515">
        <f t="shared" si="5"/>
        <v>124994.61770720434</v>
      </c>
      <c r="G48" s="515">
        <f t="shared" si="5"/>
        <v>193683.84884041164</v>
      </c>
      <c r="H48" s="515">
        <f t="shared" si="5"/>
        <v>204526.48738635864</v>
      </c>
      <c r="I48" s="515">
        <f t="shared" si="5"/>
        <v>215874.0408641091</v>
      </c>
      <c r="J48" s="515">
        <f t="shared" si="5"/>
        <v>227748.03337660263</v>
      </c>
      <c r="K48" s="515">
        <f t="shared" si="5"/>
        <v>240170.86000806425</v>
      </c>
      <c r="L48" s="515">
        <f t="shared" si="5"/>
        <v>253165.82087704545</v>
      </c>
      <c r="M48" s="515">
        <f t="shared" si="5"/>
        <v>261526.6240085589</v>
      </c>
      <c r="N48" s="515">
        <f t="shared" si="5"/>
        <v>270163.5427261407</v>
      </c>
      <c r="O48" s="515">
        <f t="shared" si="5"/>
        <v>279085.69574908976</v>
      </c>
      <c r="P48" s="515">
        <f t="shared" si="5"/>
        <v>288302.50294247805</v>
      </c>
      <c r="Q48" s="515">
        <f t="shared" si="5"/>
        <v>297823.69526249234</v>
      </c>
      <c r="R48" s="515">
        <f t="shared" si="5"/>
        <v>307659.32503022056</v>
      </c>
      <c r="S48" s="515">
        <f t="shared" si="5"/>
        <v>317819.77654472925</v>
      </c>
      <c r="T48" s="515">
        <f t="shared" si="5"/>
        <v>328315.7770466398</v>
      </c>
      <c r="U48" s="516">
        <f t="shared" si="5"/>
        <v>333507.44366681186</v>
      </c>
      <c r="V48" s="386"/>
      <c r="W48" s="386"/>
      <c r="X48" s="386"/>
      <c r="Y48" s="386"/>
      <c r="Z48" s="386"/>
      <c r="AA48" s="386"/>
      <c r="AB48" s="386"/>
      <c r="AC48" s="386"/>
      <c r="AD48" s="386"/>
      <c r="AE48" s="386"/>
    </row>
    <row r="49" spans="1:31" ht="12.75">
      <c r="A49" s="379" t="s">
        <v>159</v>
      </c>
      <c r="B49" s="380"/>
      <c r="C49" s="415"/>
      <c r="D49" s="536">
        <f>D47+D48</f>
        <v>0</v>
      </c>
      <c r="E49" s="536">
        <f aca="true" t="shared" si="6" ref="E49:U49">E47+E48</f>
        <v>92513.32969945128</v>
      </c>
      <c r="F49" s="536">
        <f t="shared" si="6"/>
        <v>191137.16621201264</v>
      </c>
      <c r="G49" s="536">
        <f t="shared" si="6"/>
        <v>296174.2088376207</v>
      </c>
      <c r="H49" s="536">
        <f t="shared" si="6"/>
        <v>312754.3723994473</v>
      </c>
      <c r="I49" s="536">
        <f t="shared" si="6"/>
        <v>330106.6332804491</v>
      </c>
      <c r="J49" s="536">
        <f t="shared" si="6"/>
        <v>348263.90534617146</v>
      </c>
      <c r="K49" s="536">
        <f t="shared" si="6"/>
        <v>367260.434334666</v>
      </c>
      <c r="L49" s="536">
        <f t="shared" si="6"/>
        <v>387131.84992914635</v>
      </c>
      <c r="M49" s="536">
        <f t="shared" si="6"/>
        <v>399916.8821739539</v>
      </c>
      <c r="N49" s="536">
        <f t="shared" si="6"/>
        <v>413124.1402044486</v>
      </c>
      <c r="O49" s="536">
        <f t="shared" si="6"/>
        <v>426767.5680303663</v>
      </c>
      <c r="P49" s="536">
        <f t="shared" si="6"/>
        <v>440861.5701624693</v>
      </c>
      <c r="Q49" s="536">
        <f t="shared" si="6"/>
        <v>455421.0268205956</v>
      </c>
      <c r="R49" s="536">
        <f t="shared" si="6"/>
        <v>470461.3096439553</v>
      </c>
      <c r="S49" s="536">
        <f t="shared" si="6"/>
        <v>485998.29792025784</v>
      </c>
      <c r="T49" s="536">
        <f t="shared" si="6"/>
        <v>502048.3953508084</v>
      </c>
      <c r="U49" s="537">
        <f t="shared" si="6"/>
        <v>512977.5829923074</v>
      </c>
      <c r="V49" s="386"/>
      <c r="W49" s="386"/>
      <c r="X49" s="386"/>
      <c r="Y49" s="386"/>
      <c r="Z49" s="386"/>
      <c r="AA49" s="386"/>
      <c r="AB49" s="386"/>
      <c r="AC49" s="386"/>
      <c r="AD49" s="386"/>
      <c r="AE49" s="386"/>
    </row>
    <row r="50" spans="1:31" ht="12.75">
      <c r="A50" s="378"/>
      <c r="C50" s="378"/>
      <c r="D50" s="386"/>
      <c r="E50" s="538">
        <f>E51/365*1000</f>
        <v>14.066589441759257</v>
      </c>
      <c r="F50" s="538">
        <f>F51/365*1000</f>
        <v>27.545050793534458</v>
      </c>
      <c r="G50" s="538">
        <f>G51/365*1000</f>
        <v>40.45195153403982</v>
      </c>
      <c r="H50" s="538">
        <f>H51/365*1000</f>
        <v>40.48273341605268</v>
      </c>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row>
    <row r="51" spans="3:31" ht="12.75">
      <c r="C51" s="378"/>
      <c r="D51" s="386"/>
      <c r="E51" s="386">
        <f>E52/E54</f>
        <v>5.134305146242129</v>
      </c>
      <c r="F51" s="386">
        <f aca="true" t="shared" si="7" ref="F51:L51">F52/F54</f>
        <v>10.053943539640077</v>
      </c>
      <c r="G51" s="386">
        <f t="shared" si="7"/>
        <v>14.764962309924535</v>
      </c>
      <c r="H51" s="386">
        <f t="shared" si="7"/>
        <v>14.776197696859228</v>
      </c>
      <c r="I51" s="386">
        <f t="shared" si="7"/>
        <v>14.77980324246861</v>
      </c>
      <c r="J51" s="386">
        <f t="shared" si="7"/>
        <v>14.776084524234989</v>
      </c>
      <c r="K51" s="386">
        <f t="shared" si="7"/>
        <v>14.765339533820416</v>
      </c>
      <c r="L51" s="386">
        <f t="shared" si="7"/>
        <v>14.747858744188054</v>
      </c>
      <c r="M51" s="386"/>
      <c r="N51" s="386"/>
      <c r="O51" s="386"/>
      <c r="P51" s="386"/>
      <c r="Q51" s="386"/>
      <c r="R51" s="386"/>
      <c r="S51" s="386"/>
      <c r="T51" s="386"/>
      <c r="U51" s="386"/>
      <c r="V51" s="386"/>
      <c r="W51" s="386"/>
      <c r="X51" s="386"/>
      <c r="Y51" s="386"/>
      <c r="Z51" s="386"/>
      <c r="AA51" s="386"/>
      <c r="AB51" s="386"/>
      <c r="AC51" s="386"/>
      <c r="AD51" s="386"/>
      <c r="AE51" s="386"/>
    </row>
    <row r="52" spans="1:31" ht="12.75">
      <c r="A52" s="539" t="s">
        <v>413</v>
      </c>
      <c r="B52" s="540"/>
      <c r="C52" s="536"/>
      <c r="D52" s="536"/>
      <c r="E52" s="536">
        <f>E61-E57</f>
        <v>1229452.8959597228</v>
      </c>
      <c r="F52" s="536">
        <f aca="true" t="shared" si="8" ref="F52:L52">F61-F57</f>
        <v>2487009.7901886906</v>
      </c>
      <c r="G52" s="536">
        <f t="shared" si="8"/>
        <v>3772977.633029122</v>
      </c>
      <c r="H52" s="536">
        <f t="shared" si="8"/>
        <v>3900546.108382048</v>
      </c>
      <c r="I52" s="536">
        <f t="shared" si="8"/>
        <v>4030344.878910777</v>
      </c>
      <c r="J52" s="536">
        <f t="shared" si="8"/>
        <v>4162399.4917300018</v>
      </c>
      <c r="K52" s="536">
        <f t="shared" si="8"/>
        <v>4296735.957802427</v>
      </c>
      <c r="L52" s="536">
        <f t="shared" si="8"/>
        <v>4433380.762895086</v>
      </c>
      <c r="M52" s="536"/>
      <c r="N52" s="536"/>
      <c r="O52" s="536"/>
      <c r="P52" s="536"/>
      <c r="Q52" s="536"/>
      <c r="R52" s="536"/>
      <c r="S52" s="536"/>
      <c r="T52" s="536"/>
      <c r="U52" s="537"/>
      <c r="V52" s="386"/>
      <c r="W52" s="386"/>
      <c r="X52" s="386"/>
      <c r="Y52" s="386"/>
      <c r="Z52" s="386"/>
      <c r="AA52" s="386"/>
      <c r="AB52" s="386"/>
      <c r="AC52" s="386"/>
      <c r="AD52" s="386"/>
      <c r="AE52" s="386"/>
    </row>
    <row r="53" spans="1:31" ht="12.75">
      <c r="A53" s="512" t="s">
        <v>307</v>
      </c>
      <c r="B53" s="513">
        <f>Wcon!$B$5*B10</f>
        <v>221386.05912968278</v>
      </c>
      <c r="C53" s="513">
        <f>Wcon!$B$5*C10</f>
        <v>228581.10605139745</v>
      </c>
      <c r="D53" s="513">
        <f>Wcon!$B$5*D10</f>
        <v>236009.99199806788</v>
      </c>
      <c r="E53" s="513">
        <f>Wcon!$B$5*E10</f>
        <v>243680.31673800506</v>
      </c>
      <c r="F53" s="513">
        <f>Wcon!$B$5*F10</f>
        <v>251599.92703199023</v>
      </c>
      <c r="G53" s="513">
        <f>Wcon!$B$5*G10</f>
        <v>259776.9246605299</v>
      </c>
      <c r="H53" s="513">
        <f>Wcon!$B$5*H10</f>
        <v>268219.6747119971</v>
      </c>
      <c r="I53" s="513">
        <f>Wcon!$B$5*I10</f>
        <v>276936.814140137</v>
      </c>
      <c r="J53" s="513">
        <f>Wcon!$B$5*J10</f>
        <v>285937.26059969154</v>
      </c>
      <c r="K53" s="513">
        <f>Wcon!$B$5*K10</f>
        <v>295230.2215691815</v>
      </c>
      <c r="L53" s="513">
        <f>Wcon!$B$5*L10</f>
        <v>304825.2037701799</v>
      </c>
      <c r="M53" s="513">
        <f>Wcon!$B$5*M10</f>
        <v>314732.0228927107</v>
      </c>
      <c r="N53" s="513">
        <f>Wcon!$B$5*N10</f>
        <v>324960.8136367238</v>
      </c>
      <c r="O53" s="513">
        <f>Wcon!$B$5*O10</f>
        <v>335522.04007991723</v>
      </c>
      <c r="P53" s="513">
        <f>Wcon!$B$5*P10</f>
        <v>346426.5063825145</v>
      </c>
      <c r="Q53" s="513">
        <f>Wcon!$B$5*Q10</f>
        <v>357685.3678399463</v>
      </c>
      <c r="R53" s="513">
        <f>Wcon!$B$5*R10</f>
        <v>369310.1422947446</v>
      </c>
      <c r="S53" s="513">
        <f>Wcon!$B$5*S10</f>
        <v>381312.7219193238</v>
      </c>
      <c r="T53" s="513">
        <f>Wcon!$B$5*T10</f>
        <v>393705.3853817018</v>
      </c>
      <c r="U53" s="514">
        <f>Wcon!$B$5*U10</f>
        <v>406500.81040660705</v>
      </c>
      <c r="V53" s="386"/>
      <c r="W53" s="386"/>
      <c r="X53" s="386"/>
      <c r="Y53" s="386"/>
      <c r="Z53" s="386"/>
      <c r="AA53" s="386"/>
      <c r="AB53" s="386"/>
      <c r="AC53" s="386"/>
      <c r="AD53" s="386"/>
      <c r="AE53" s="386"/>
    </row>
    <row r="54" spans="1:31" ht="12.75">
      <c r="A54" s="509" t="s">
        <v>306</v>
      </c>
      <c r="B54" s="409">
        <f>Wcon!$B$5*B11</f>
        <v>217218.95129284772</v>
      </c>
      <c r="C54" s="409">
        <f>Wcon!$B$5*C11</f>
        <v>224392.6087869822</v>
      </c>
      <c r="D54" s="409">
        <f>Wcon!$B$5*D11</f>
        <v>231803.17637361487</v>
      </c>
      <c r="E54" s="409">
        <f>Wcon!$B$5*E11</f>
        <v>239458.4780103257</v>
      </c>
      <c r="F54" s="409">
        <f>Wcon!$B$5*F11</f>
        <v>247366.59604095249</v>
      </c>
      <c r="G54" s="409">
        <f>Wcon!$B$5*G11</f>
        <v>255535.87972879873</v>
      </c>
      <c r="H54" s="409">
        <f>Wcon!$B$5*H11</f>
        <v>263974.95407165086</v>
      </c>
      <c r="I54" s="409">
        <f>Wcon!$B$5*I11</f>
        <v>272692.7289079124</v>
      </c>
      <c r="J54" s="409">
        <f>Wcon!$B$5*J11</f>
        <v>281698.4083234665</v>
      </c>
      <c r="K54" s="409">
        <f>Wcon!$B$5*K11</f>
        <v>291001.5003692015</v>
      </c>
      <c r="L54" s="409">
        <f>Wcon!$B$5*L11</f>
        <v>300611.8270994578</v>
      </c>
      <c r="M54" s="409">
        <f>Wcon!$B$5*M11</f>
        <v>310539.5349419939</v>
      </c>
      <c r="N54" s="409">
        <f>Wcon!$B$5*N11</f>
        <v>320795.1054104212</v>
      </c>
      <c r="O54" s="409">
        <f>Wcon!$B$5*O11</f>
        <v>331389.3661704163</v>
      </c>
      <c r="P54" s="409">
        <f>Wcon!$B$5*P11</f>
        <v>342333.5024713964</v>
      </c>
      <c r="Q54" s="409">
        <f>Wcon!$B$5*Q11</f>
        <v>353639.0689557241</v>
      </c>
      <c r="R54" s="409">
        <f>Wcon!$B$5*R11</f>
        <v>365318.0018579129</v>
      </c>
      <c r="S54" s="409">
        <f>Wcon!$B$5*S11</f>
        <v>377382.6316067103</v>
      </c>
      <c r="T54" s="409">
        <f>Wcon!$B$5*T11</f>
        <v>389845.6958433656</v>
      </c>
      <c r="U54" s="541">
        <f>Wcon!$B$5*U11</f>
        <v>402720.3528698261</v>
      </c>
      <c r="V54" s="386"/>
      <c r="W54" s="386"/>
      <c r="X54" s="386"/>
      <c r="Y54" s="386"/>
      <c r="Z54" s="386"/>
      <c r="AA54" s="386"/>
      <c r="AB54" s="386"/>
      <c r="AC54" s="386"/>
      <c r="AD54" s="386"/>
      <c r="AE54" s="386"/>
    </row>
    <row r="55" spans="1:31" ht="12.75">
      <c r="A55" s="511" t="s">
        <v>512</v>
      </c>
      <c r="B55" s="373"/>
      <c r="C55" s="374"/>
      <c r="D55" s="515"/>
      <c r="E55" s="515">
        <f>E54-D54</f>
        <v>7655.301636710821</v>
      </c>
      <c r="F55" s="515">
        <f>F54-E54</f>
        <v>7908.1180306267925</v>
      </c>
      <c r="G55" s="515">
        <f aca="true" t="shared" si="9" ref="G55:U55">G54-F54</f>
        <v>8169.28368784624</v>
      </c>
      <c r="H55" s="515">
        <f t="shared" si="9"/>
        <v>8439.074342852138</v>
      </c>
      <c r="I55" s="515">
        <f t="shared" si="9"/>
        <v>8717.774836261524</v>
      </c>
      <c r="J55" s="515">
        <f t="shared" si="9"/>
        <v>9005.6794155541</v>
      </c>
      <c r="K55" s="515">
        <f t="shared" si="9"/>
        <v>9303.092045734986</v>
      </c>
      <c r="L55" s="515">
        <f t="shared" si="9"/>
        <v>9610.326730256318</v>
      </c>
      <c r="M55" s="515">
        <f t="shared" si="9"/>
        <v>9927.707842536096</v>
      </c>
      <c r="N55" s="515">
        <f t="shared" si="9"/>
        <v>10255.570468427322</v>
      </c>
      <c r="O55" s="515">
        <f t="shared" si="9"/>
        <v>10594.260759995086</v>
      </c>
      <c r="P55" s="515">
        <f t="shared" si="9"/>
        <v>10944.136300980113</v>
      </c>
      <c r="Q55" s="515">
        <f t="shared" si="9"/>
        <v>11305.566484327719</v>
      </c>
      <c r="R55" s="515">
        <f t="shared" si="9"/>
        <v>11678.932902188797</v>
      </c>
      <c r="S55" s="515">
        <f t="shared" si="9"/>
        <v>12064.629748797393</v>
      </c>
      <c r="T55" s="515">
        <f t="shared" si="9"/>
        <v>12463.064236655307</v>
      </c>
      <c r="U55" s="516">
        <f t="shared" si="9"/>
        <v>12874.657026460452</v>
      </c>
      <c r="V55" s="386"/>
      <c r="W55" s="386"/>
      <c r="X55" s="386"/>
      <c r="Y55" s="386"/>
      <c r="Z55" s="386"/>
      <c r="AA55" s="386"/>
      <c r="AB55" s="386"/>
      <c r="AC55" s="386"/>
      <c r="AD55" s="386"/>
      <c r="AE55" s="386"/>
    </row>
    <row r="56" spans="1:31" ht="12.75">
      <c r="A56" s="378" t="s">
        <v>81</v>
      </c>
      <c r="C56" s="378"/>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row>
    <row r="57" spans="1:31" ht="12.75">
      <c r="A57" s="533" t="s">
        <v>82</v>
      </c>
      <c r="B57" s="522">
        <f>Wcon!$B162</f>
        <v>4475219.217591795</v>
      </c>
      <c r="C57" s="522">
        <f>Wcon!$B210</f>
        <v>4461564.873520683</v>
      </c>
      <c r="D57" s="522">
        <f>Wcon!$B258</f>
        <v>4447852.386290089</v>
      </c>
      <c r="E57" s="522">
        <f>Wcon!$B306</f>
        <v>4434081.638506916</v>
      </c>
      <c r="F57" s="522">
        <f>Wcon!$B354</f>
        <v>4420252.512220018</v>
      </c>
      <c r="G57" s="522">
        <f>Wcon!$B402</f>
        <v>4406364.888919227</v>
      </c>
      <c r="H57" s="522">
        <f>Wcon!$B450</f>
        <v>4392418.649534358</v>
      </c>
      <c r="I57" s="522">
        <f>Wcon!$B498</f>
        <v>4378413.674434221</v>
      </c>
      <c r="J57" s="522">
        <f>Wcon!$B546</f>
        <v>4364349.843425618</v>
      </c>
      <c r="K57" s="522">
        <f>Wcon!$B594</f>
        <v>4350227.0357523365</v>
      </c>
      <c r="L57" s="522">
        <f>Wcon!$B642</f>
        <v>4336045.13009414</v>
      </c>
      <c r="M57" s="522">
        <f>Wcon!$B690</f>
        <v>4321804.004565755</v>
      </c>
      <c r="N57" s="522">
        <f>Wcon!$B738</f>
        <v>4307503.536715846</v>
      </c>
      <c r="O57" s="522">
        <f>Wcon!$B786</f>
        <v>4293143.60352599</v>
      </c>
      <c r="P57" s="522">
        <f>Wcon!$B834</f>
        <v>4278724.081409643</v>
      </c>
      <c r="Q57" s="522">
        <f>Wcon!$B882</f>
        <v>4264244.8462111065</v>
      </c>
      <c r="R57" s="522">
        <f>Wcon!$B930</f>
        <v>4249705.7732044775</v>
      </c>
      <c r="S57" s="522">
        <f>Wcon!$B978</f>
        <v>4235106.737092604</v>
      </c>
      <c r="T57" s="522">
        <f>Wcon!$B1026</f>
        <v>4220447.612006027</v>
      </c>
      <c r="U57" s="523">
        <f>Wcon!$B1074</f>
        <v>4205728.271501928</v>
      </c>
      <c r="V57" s="386"/>
      <c r="W57" s="386"/>
      <c r="X57" s="386"/>
      <c r="Y57" s="386"/>
      <c r="Z57" s="386"/>
      <c r="AA57" s="386"/>
      <c r="AB57" s="386"/>
      <c r="AC57" s="386"/>
      <c r="AD57" s="386"/>
      <c r="AE57" s="386"/>
    </row>
    <row r="58" spans="1:31" ht="12.75">
      <c r="A58" s="520" t="s">
        <v>157</v>
      </c>
      <c r="B58" s="525">
        <f>Wcon!$B167</f>
        <v>29089.09715194129</v>
      </c>
      <c r="C58" s="525">
        <f>Wcon!$B215</f>
        <v>30049.764803357677</v>
      </c>
      <c r="D58" s="525">
        <f>Wcon!$B263</f>
        <v>31042.15851116066</v>
      </c>
      <c r="E58" s="525">
        <f>Wcon!$B311</f>
        <v>32067.326028600142</v>
      </c>
      <c r="F58" s="525">
        <f>Wcon!$B359</f>
        <v>33126.34971098496</v>
      </c>
      <c r="G58" s="525">
        <f>Wcon!$B407</f>
        <v>34220.34765841613</v>
      </c>
      <c r="H58" s="525">
        <f>Wcon!$B455</f>
        <v>35350.47489625888</v>
      </c>
      <c r="I58" s="525">
        <f>Wcon!$B503</f>
        <v>36517.92459459977</v>
      </c>
      <c r="J58" s="525">
        <f>Wcon!$B551</f>
        <v>37723.92932797644</v>
      </c>
      <c r="K58" s="525">
        <f>Wcon!$B599</f>
        <v>38969.76237670982</v>
      </c>
      <c r="L58" s="525">
        <f>Wcon!$B647</f>
        <v>40256.739071213044</v>
      </c>
      <c r="M58" s="525">
        <f>Wcon!$B695</f>
        <v>41586.21818069593</v>
      </c>
      <c r="N58" s="525">
        <f>Wcon!$B743</f>
        <v>42959.6033477317</v>
      </c>
      <c r="O58" s="525">
        <f>Wcon!$B791</f>
        <v>44378.3445702</v>
      </c>
      <c r="P58" s="525">
        <f>Wcon!$B839</f>
        <v>45843.9397321714</v>
      </c>
      <c r="Q58" s="525">
        <f>Wcon!$B887</f>
        <v>47357.93618534904</v>
      </c>
      <c r="R58" s="525">
        <f>Wcon!$B935</f>
        <v>48921.932382737745</v>
      </c>
      <c r="S58" s="525">
        <f>Wcon!$B983</f>
        <v>50537.5795662647</v>
      </c>
      <c r="T58" s="525">
        <f>Wcon!$B1031</f>
        <v>52206.58351013415</v>
      </c>
      <c r="U58" s="526">
        <f>Wcon!$B1079</f>
        <v>53930.70632175626</v>
      </c>
      <c r="V58" s="386"/>
      <c r="W58" s="386"/>
      <c r="X58" s="386"/>
      <c r="Y58" s="386"/>
      <c r="Z58" s="386"/>
      <c r="AA58" s="386"/>
      <c r="AB58" s="386"/>
      <c r="AC58" s="386"/>
      <c r="AD58" s="386"/>
      <c r="AE58" s="386"/>
    </row>
    <row r="59" spans="1:31" ht="12.75">
      <c r="A59" s="527" t="s">
        <v>83</v>
      </c>
      <c r="B59" s="529">
        <f>Wcon!$B172</f>
        <v>255641.13791113376</v>
      </c>
      <c r="C59" s="529">
        <f>Wcon!$B220</f>
        <v>264083.6884062463</v>
      </c>
      <c r="D59" s="529">
        <f>Wcon!$B268</f>
        <v>272805.0541947227</v>
      </c>
      <c r="E59" s="529">
        <f>Wcon!$B316</f>
        <v>281814.4431537152</v>
      </c>
      <c r="F59" s="529">
        <f>Wcon!$B364</f>
        <v>291121.36725058866</v>
      </c>
      <c r="G59" s="529">
        <f>Wcon!$B412</f>
        <v>300735.652585501</v>
      </c>
      <c r="H59" s="529">
        <f>Wcon!$B460</f>
        <v>310667.44976564153</v>
      </c>
      <c r="I59" s="529">
        <f>Wcon!$B508</f>
        <v>320927.24462207826</v>
      </c>
      <c r="J59" s="529">
        <f>Wcon!$B556</f>
        <v>331525.86928052874</v>
      </c>
      <c r="K59" s="529">
        <f>Wcon!$B604</f>
        <v>342474.51359774306</v>
      </c>
      <c r="L59" s="529">
        <f>Wcon!$B652</f>
        <v>353784.7369755751</v>
      </c>
      <c r="M59" s="529">
        <f>Wcon!$B700</f>
        <v>365468.48056521086</v>
      </c>
      <c r="N59" s="529">
        <f>Wcon!$B748</f>
        <v>377538.07987444435</v>
      </c>
      <c r="O59" s="529">
        <f>Wcon!$B796</f>
        <v>390006.2777913064</v>
      </c>
      <c r="P59" s="529">
        <f>Wcon!$B844</f>
        <v>402886.2380378008</v>
      </c>
      <c r="Q59" s="529">
        <f>Wcon!$B892</f>
        <v>416191.5590679492</v>
      </c>
      <c r="R59" s="529">
        <f>Wcon!$B940</f>
        <v>429936.2884248193</v>
      </c>
      <c r="S59" s="529">
        <f>Wcon!$B988</f>
        <v>444134.9375716934</v>
      </c>
      <c r="T59" s="529">
        <f>Wcon!$B1036</f>
        <v>458802.4972130377</v>
      </c>
      <c r="U59" s="530">
        <f>Wcon!$B1084</f>
        <v>473954.45312144596</v>
      </c>
      <c r="V59" s="386"/>
      <c r="W59" s="386"/>
      <c r="X59" s="386"/>
      <c r="Y59" s="386"/>
      <c r="Z59" s="386"/>
      <c r="AA59" s="386"/>
      <c r="AB59" s="386"/>
      <c r="AC59" s="386"/>
      <c r="AD59" s="386"/>
      <c r="AE59" s="386"/>
    </row>
    <row r="60" spans="1:31" ht="12.75">
      <c r="A60" s="378" t="s">
        <v>7</v>
      </c>
      <c r="C60" s="378"/>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row>
    <row r="61" spans="1:31" ht="12.75">
      <c r="A61" s="533" t="s">
        <v>82</v>
      </c>
      <c r="B61" s="522">
        <f>Wcon!$B186</f>
        <v>4475219.217591795</v>
      </c>
      <c r="C61" s="522">
        <f>Wcon!$B234</f>
        <v>4461564.873520683</v>
      </c>
      <c r="D61" s="522">
        <f>Wcon!$B282</f>
        <v>4447852.386290089</v>
      </c>
      <c r="E61" s="522">
        <f>Wcon!$B330</f>
        <v>5663534.534466639</v>
      </c>
      <c r="F61" s="522">
        <f>Wcon!$B378</f>
        <v>6907262.302408708</v>
      </c>
      <c r="G61" s="522">
        <f>Wcon!$B426</f>
        <v>8179342.521948349</v>
      </c>
      <c r="H61" s="522">
        <f>Wcon!$B474</f>
        <v>8292964.757916406</v>
      </c>
      <c r="I61" s="522">
        <f>Wcon!$B522</f>
        <v>8408758.553344999</v>
      </c>
      <c r="J61" s="522">
        <f>Wcon!$B570</f>
        <v>8526749.33515562</v>
      </c>
      <c r="K61" s="522">
        <f>Wcon!$B618</f>
        <v>8646962.993554763</v>
      </c>
      <c r="L61" s="522">
        <f>Wcon!$B666</f>
        <v>8769425.892989226</v>
      </c>
      <c r="M61" s="522">
        <f>Wcon!$B714</f>
        <v>8804510.748547008</v>
      </c>
      <c r="N61" s="522">
        <f>Wcon!$B762</f>
        <v>8839911.012924183</v>
      </c>
      <c r="O61" s="522">
        <f>Wcon!$B810</f>
        <v>8875631.746270912</v>
      </c>
      <c r="P61" s="522">
        <f>Wcon!$B858</f>
        <v>8911678.107561413</v>
      </c>
      <c r="Q61" s="522">
        <f>Wcon!$B906</f>
        <v>8948055.357102588</v>
      </c>
      <c r="R61" s="522">
        <f>Wcon!$B954</f>
        <v>8984768.859118666</v>
      </c>
      <c r="S61" s="522">
        <f>Wcon!$B1002</f>
        <v>9021824.08441457</v>
      </c>
      <c r="T61" s="522">
        <f>Wcon!$B1050</f>
        <v>9059226.613120822</v>
      </c>
      <c r="U61" s="523">
        <f>Wcon!$B1098</f>
        <v>9096982.13752289</v>
      </c>
      <c r="V61" s="386"/>
      <c r="W61" s="386"/>
      <c r="X61" s="386"/>
      <c r="Y61" s="386"/>
      <c r="Z61" s="386"/>
      <c r="AA61" s="386"/>
      <c r="AB61" s="386"/>
      <c r="AC61" s="386"/>
      <c r="AD61" s="386"/>
      <c r="AE61" s="386"/>
    </row>
    <row r="62" spans="1:31" ht="12.75">
      <c r="A62" s="520" t="s">
        <v>157</v>
      </c>
      <c r="B62" s="525">
        <f>Wcon!$B191</f>
        <v>29089.09715194129</v>
      </c>
      <c r="C62" s="525">
        <f>Wcon!$B239</f>
        <v>30049.764803357677</v>
      </c>
      <c r="D62" s="525">
        <f>Wcon!$B287</f>
        <v>31042.15851116066</v>
      </c>
      <c r="E62" s="525">
        <f>Wcon!$B335</f>
        <v>27257.227124310113</v>
      </c>
      <c r="F62" s="525">
        <f>Wcon!$B383</f>
        <v>23188.444797689477</v>
      </c>
      <c r="G62" s="525">
        <f>Wcon!$B431</f>
        <v>18821.191212128873</v>
      </c>
      <c r="H62" s="525">
        <f>Wcon!$B479</f>
        <v>19089.256443979793</v>
      </c>
      <c r="I62" s="525">
        <f>Wcon!$B527</f>
        <v>19354.50003513788</v>
      </c>
      <c r="J62" s="525">
        <f>Wcon!$B575</f>
        <v>19616.44325054775</v>
      </c>
      <c r="K62" s="525">
        <f>Wcon!$B623</f>
        <v>19874.57881212201</v>
      </c>
      <c r="L62" s="525">
        <f>Wcon!$B671</f>
        <v>20128.369535606522</v>
      </c>
      <c r="M62" s="525">
        <f>Wcon!$B719</f>
        <v>20793.109090347964</v>
      </c>
      <c r="N62" s="525">
        <f>Wcon!$B767</f>
        <v>21479.80167386585</v>
      </c>
      <c r="O62" s="525">
        <f>Wcon!$B815</f>
        <v>22189.1722851</v>
      </c>
      <c r="P62" s="525">
        <f>Wcon!$B863</f>
        <v>22921.9698660857</v>
      </c>
      <c r="Q62" s="525">
        <f>Wcon!$B911</f>
        <v>23678.96809267452</v>
      </c>
      <c r="R62" s="525">
        <f>Wcon!$B959</f>
        <v>24460.966191368872</v>
      </c>
      <c r="S62" s="525">
        <f>Wcon!$B1007</f>
        <v>25268.78978313235</v>
      </c>
      <c r="T62" s="525">
        <f>Wcon!$B1055</f>
        <v>26103.291755067075</v>
      </c>
      <c r="U62" s="526">
        <f>Wcon!$B1103</f>
        <v>26965.35316087813</v>
      </c>
      <c r="V62" s="386"/>
      <c r="W62" s="386"/>
      <c r="X62" s="386"/>
      <c r="Y62" s="386"/>
      <c r="Z62" s="386"/>
      <c r="AA62" s="386"/>
      <c r="AB62" s="386"/>
      <c r="AC62" s="386"/>
      <c r="AD62" s="386"/>
      <c r="AE62" s="386"/>
    </row>
    <row r="63" spans="1:31" ht="12.75">
      <c r="A63" s="527" t="s">
        <v>83</v>
      </c>
      <c r="B63" s="529">
        <f>Wcon!$B196</f>
        <v>255641.13791113376</v>
      </c>
      <c r="C63" s="529">
        <f>Wcon!$B244</f>
        <v>264083.6884062463</v>
      </c>
      <c r="D63" s="529">
        <f>Wcon!$B292</f>
        <v>272805.0541947227</v>
      </c>
      <c r="E63" s="529">
        <f>Wcon!$B340</f>
        <v>197270.11020760064</v>
      </c>
      <c r="F63" s="529">
        <f>Wcon!$B388</f>
        <v>116448.54690023547</v>
      </c>
      <c r="G63" s="529">
        <f>Wcon!$B436</f>
        <v>30073.565258550094</v>
      </c>
      <c r="H63" s="529">
        <f>Wcon!$B484</f>
        <v>24853.39598125131</v>
      </c>
      <c r="I63" s="529">
        <f>Wcon!$B532</f>
        <v>19255.634677324713</v>
      </c>
      <c r="J63" s="529">
        <f>Wcon!$B580</f>
        <v>13261.034771221162</v>
      </c>
      <c r="K63" s="529">
        <f>Wcon!$B628</f>
        <v>6849.490271954867</v>
      </c>
      <c r="L63" s="529">
        <f>Wcon!$B676</f>
        <v>0</v>
      </c>
      <c r="M63" s="529">
        <f>Wcon!$B724</f>
        <v>0</v>
      </c>
      <c r="N63" s="529">
        <f>Wcon!$B772</f>
        <v>0</v>
      </c>
      <c r="O63" s="529">
        <f>Wcon!$B820</f>
        <v>0</v>
      </c>
      <c r="P63" s="529">
        <f>Wcon!$B868</f>
        <v>0</v>
      </c>
      <c r="Q63" s="529">
        <f>Wcon!$B916</f>
        <v>0</v>
      </c>
      <c r="R63" s="529">
        <f>Wcon!$B964</f>
        <v>0</v>
      </c>
      <c r="S63" s="529">
        <f>Wcon!$B1012</f>
        <v>0</v>
      </c>
      <c r="T63" s="529">
        <f>Wcon!$B1060</f>
        <v>0</v>
      </c>
      <c r="U63" s="530">
        <f>Wcon!$B1108</f>
        <v>7896.899110774954</v>
      </c>
      <c r="V63" s="386"/>
      <c r="W63" s="386"/>
      <c r="X63" s="386"/>
      <c r="Y63" s="386"/>
      <c r="Z63" s="386"/>
      <c r="AA63" s="386"/>
      <c r="AB63" s="386"/>
      <c r="AC63" s="386"/>
      <c r="AD63" s="386"/>
      <c r="AE63" s="386"/>
    </row>
    <row r="64" spans="3:31" ht="12.75">
      <c r="C64" s="378"/>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row>
    <row r="65" spans="1:31" ht="12.75">
      <c r="A65" s="534" t="s">
        <v>158</v>
      </c>
      <c r="B65" s="363"/>
      <c r="C65" s="364"/>
      <c r="D65" s="513">
        <f>(D58-D62)*($G$6-$E$6)</f>
        <v>0</v>
      </c>
      <c r="E65" s="513">
        <f aca="true" t="shared" si="10" ref="E65:U65">(E58-E62)*($G$6-$E$6)</f>
        <v>252991.9619700384</v>
      </c>
      <c r="F65" s="513">
        <f t="shared" si="10"/>
        <v>522694.0468196894</v>
      </c>
      <c r="G65" s="513">
        <f t="shared" si="10"/>
        <v>809934.0324489247</v>
      </c>
      <c r="H65" s="513">
        <f t="shared" si="10"/>
        <v>855275.0457160708</v>
      </c>
      <c r="I65" s="513">
        <f t="shared" si="10"/>
        <v>902727.4781294576</v>
      </c>
      <c r="J65" s="513">
        <f t="shared" si="10"/>
        <v>952381.3377284395</v>
      </c>
      <c r="K65" s="513">
        <f t="shared" si="10"/>
        <v>1004330.2747630605</v>
      </c>
      <c r="L65" s="513">
        <f t="shared" si="10"/>
        <v>1058671.7240947606</v>
      </c>
      <c r="M65" s="513">
        <f t="shared" si="10"/>
        <v>1093634.3657159416</v>
      </c>
      <c r="N65" s="513">
        <f t="shared" si="10"/>
        <v>1129751.6488386483</v>
      </c>
      <c r="O65" s="513">
        <f t="shared" si="10"/>
        <v>1167061.7055071197</v>
      </c>
      <c r="P65" s="513">
        <f t="shared" si="10"/>
        <v>1205603.9270766436</v>
      </c>
      <c r="Q65" s="513">
        <f t="shared" si="10"/>
        <v>1245419.0058023091</v>
      </c>
      <c r="R65" s="513">
        <f t="shared" si="10"/>
        <v>1286548.9778012373</v>
      </c>
      <c r="S65" s="513">
        <f t="shared" si="10"/>
        <v>1329037.2674336291</v>
      </c>
      <c r="T65" s="513">
        <f t="shared" si="10"/>
        <v>1372928.733149508</v>
      </c>
      <c r="U65" s="514">
        <f t="shared" si="10"/>
        <v>1418269.7148495463</v>
      </c>
      <c r="V65" s="386"/>
      <c r="W65" s="386"/>
      <c r="X65" s="386"/>
      <c r="Y65" s="386"/>
      <c r="Z65" s="386"/>
      <c r="AA65" s="386"/>
      <c r="AB65" s="386"/>
      <c r="AC65" s="386"/>
      <c r="AD65" s="386"/>
      <c r="AE65" s="386"/>
    </row>
    <row r="66" spans="1:31" ht="12.75">
      <c r="A66" s="535" t="s">
        <v>79</v>
      </c>
      <c r="B66" s="373"/>
      <c r="C66" s="374"/>
      <c r="D66" s="515">
        <f>(D59-D63)*($I$6-$E$6)</f>
        <v>0</v>
      </c>
      <c r="E66" s="515">
        <f aca="true" t="shared" si="11" ref="E66:U66">(E59-E63)*($I$6-$E$6)</f>
        <v>318732.135206852</v>
      </c>
      <c r="F66" s="515">
        <f t="shared" si="11"/>
        <v>658516.5327208316</v>
      </c>
      <c r="G66" s="515">
        <f t="shared" si="11"/>
        <v>1020396.069222605</v>
      </c>
      <c r="H66" s="515">
        <f t="shared" si="11"/>
        <v>1077518.9827671512</v>
      </c>
      <c r="I66" s="515">
        <f t="shared" si="11"/>
        <v>1137301.969491721</v>
      </c>
      <c r="J66" s="515">
        <f t="shared" si="11"/>
        <v>1199858.4261000897</v>
      </c>
      <c r="K66" s="515">
        <f t="shared" si="11"/>
        <v>1265306.3379382216</v>
      </c>
      <c r="L66" s="515">
        <f t="shared" si="11"/>
        <v>1333768.4583979181</v>
      </c>
      <c r="M66" s="515">
        <f t="shared" si="11"/>
        <v>1377816.171730845</v>
      </c>
      <c r="N66" s="515">
        <f t="shared" si="11"/>
        <v>1423318.5611266552</v>
      </c>
      <c r="O66" s="515">
        <f t="shared" si="11"/>
        <v>1470323.667273225</v>
      </c>
      <c r="P66" s="515">
        <f t="shared" si="11"/>
        <v>1518881.117402509</v>
      </c>
      <c r="Q66" s="515">
        <f t="shared" si="11"/>
        <v>1569042.1776861683</v>
      </c>
      <c r="R66" s="515">
        <f t="shared" si="11"/>
        <v>1620859.8073615688</v>
      </c>
      <c r="S66" s="515">
        <f t="shared" si="11"/>
        <v>1674388.714645284</v>
      </c>
      <c r="T66" s="515">
        <f t="shared" si="11"/>
        <v>1729685.4144931522</v>
      </c>
      <c r="U66" s="516">
        <f t="shared" si="11"/>
        <v>1757036.9786202295</v>
      </c>
      <c r="V66" s="386"/>
      <c r="W66" s="386"/>
      <c r="X66" s="386"/>
      <c r="Y66" s="386"/>
      <c r="Z66" s="386"/>
      <c r="AA66" s="386"/>
      <c r="AB66" s="386"/>
      <c r="AC66" s="386"/>
      <c r="AD66" s="386"/>
      <c r="AE66" s="386"/>
    </row>
    <row r="67" spans="1:31" ht="12.75">
      <c r="A67" s="542" t="s">
        <v>159</v>
      </c>
      <c r="B67" s="380"/>
      <c r="C67" s="415"/>
      <c r="D67" s="536">
        <f>D65+D66</f>
        <v>0</v>
      </c>
      <c r="E67" s="536">
        <f aca="true" t="shared" si="12" ref="E67:U67">E65+E66</f>
        <v>571724.0971768904</v>
      </c>
      <c r="F67" s="536">
        <f t="shared" si="12"/>
        <v>1181210.579540521</v>
      </c>
      <c r="G67" s="536">
        <f t="shared" si="12"/>
        <v>1830330.1016715297</v>
      </c>
      <c r="H67" s="536">
        <f t="shared" si="12"/>
        <v>1932794.028483222</v>
      </c>
      <c r="I67" s="536">
        <f t="shared" si="12"/>
        <v>2040029.4476211783</v>
      </c>
      <c r="J67" s="536">
        <f t="shared" si="12"/>
        <v>2152239.763828529</v>
      </c>
      <c r="K67" s="536">
        <f t="shared" si="12"/>
        <v>2269636.612701282</v>
      </c>
      <c r="L67" s="536">
        <f t="shared" si="12"/>
        <v>2392440.182492679</v>
      </c>
      <c r="M67" s="536">
        <f t="shared" si="12"/>
        <v>2471450.5374467866</v>
      </c>
      <c r="N67" s="536">
        <f t="shared" si="12"/>
        <v>2553070.2099653035</v>
      </c>
      <c r="O67" s="536">
        <f t="shared" si="12"/>
        <v>2637385.3727803444</v>
      </c>
      <c r="P67" s="536">
        <f t="shared" si="12"/>
        <v>2724485.0444791527</v>
      </c>
      <c r="Q67" s="536">
        <f t="shared" si="12"/>
        <v>2814461.1834884775</v>
      </c>
      <c r="R67" s="536">
        <f t="shared" si="12"/>
        <v>2907408.785162806</v>
      </c>
      <c r="S67" s="536">
        <f t="shared" si="12"/>
        <v>3003425.982078913</v>
      </c>
      <c r="T67" s="536">
        <f t="shared" si="12"/>
        <v>3102614.14764266</v>
      </c>
      <c r="U67" s="537">
        <f t="shared" si="12"/>
        <v>3175306.693469776</v>
      </c>
      <c r="V67" s="386"/>
      <c r="W67" s="386"/>
      <c r="X67" s="386"/>
      <c r="Y67" s="386"/>
      <c r="Z67" s="386"/>
      <c r="AA67" s="386"/>
      <c r="AB67" s="386"/>
      <c r="AC67" s="386"/>
      <c r="AD67" s="386"/>
      <c r="AE67" s="386"/>
    </row>
    <row r="68" spans="1:31" ht="12.75">
      <c r="A68" s="543" t="s">
        <v>790</v>
      </c>
      <c r="B68" s="379"/>
      <c r="C68" s="415"/>
      <c r="D68" s="536">
        <f aca="true" t="shared" si="13" ref="D68:U68">D67+D49</f>
        <v>0</v>
      </c>
      <c r="E68" s="536">
        <f t="shared" si="13"/>
        <v>664237.4268763417</v>
      </c>
      <c r="F68" s="536">
        <f t="shared" si="13"/>
        <v>1372347.7457525334</v>
      </c>
      <c r="G68" s="536">
        <f t="shared" si="13"/>
        <v>2126504.3105091504</v>
      </c>
      <c r="H68" s="536">
        <f t="shared" si="13"/>
        <v>2245548.4008826693</v>
      </c>
      <c r="I68" s="536">
        <f t="shared" si="13"/>
        <v>2370136.0809016274</v>
      </c>
      <c r="J68" s="536">
        <f t="shared" si="13"/>
        <v>2500503.6691747005</v>
      </c>
      <c r="K68" s="536">
        <f t="shared" si="13"/>
        <v>2636897.047035948</v>
      </c>
      <c r="L68" s="536">
        <f t="shared" si="13"/>
        <v>2779572.0324218255</v>
      </c>
      <c r="M68" s="536">
        <f t="shared" si="13"/>
        <v>2871367.4196207407</v>
      </c>
      <c r="N68" s="536">
        <f t="shared" si="13"/>
        <v>2966194.3501697523</v>
      </c>
      <c r="O68" s="536">
        <f t="shared" si="13"/>
        <v>3064152.9408107107</v>
      </c>
      <c r="P68" s="536">
        <f t="shared" si="13"/>
        <v>3165346.6146416217</v>
      </c>
      <c r="Q68" s="536">
        <f t="shared" si="13"/>
        <v>3269882.2103090733</v>
      </c>
      <c r="R68" s="536">
        <f t="shared" si="13"/>
        <v>3377870.0948067615</v>
      </c>
      <c r="S68" s="536">
        <f t="shared" si="13"/>
        <v>3489424.279999171</v>
      </c>
      <c r="T68" s="536">
        <f t="shared" si="13"/>
        <v>3604662.542993468</v>
      </c>
      <c r="U68" s="537">
        <f t="shared" si="13"/>
        <v>3688284.276462083</v>
      </c>
      <c r="V68" s="386"/>
      <c r="W68" s="386"/>
      <c r="X68" s="386"/>
      <c r="Y68" s="386"/>
      <c r="Z68" s="386"/>
      <c r="AA68" s="386"/>
      <c r="AB68" s="386"/>
      <c r="AC68" s="386"/>
      <c r="AD68" s="386"/>
      <c r="AE68" s="386"/>
    </row>
    <row r="69" spans="1:31" ht="12.75">
      <c r="A69" s="544" t="s">
        <v>417</v>
      </c>
      <c r="B69" s="536">
        <f aca="true" t="shared" si="14" ref="B69:U69">B33+B53</f>
        <v>263407.8831107527</v>
      </c>
      <c r="C69" s="536">
        <f t="shared" si="14"/>
        <v>271968.6393118521</v>
      </c>
      <c r="D69" s="536">
        <f t="shared" si="14"/>
        <v>280807.6200894873</v>
      </c>
      <c r="E69" s="536">
        <f t="shared" si="14"/>
        <v>289933.8677423956</v>
      </c>
      <c r="F69" s="536">
        <f t="shared" si="14"/>
        <v>299356.7184440235</v>
      </c>
      <c r="G69" s="536">
        <f t="shared" si="14"/>
        <v>309085.8117934542</v>
      </c>
      <c r="H69" s="536">
        <f t="shared" si="14"/>
        <v>319131.10067674145</v>
      </c>
      <c r="I69" s="536">
        <f t="shared" si="14"/>
        <v>329502.8614487356</v>
      </c>
      <c r="J69" s="536">
        <f t="shared" si="14"/>
        <v>340211.70444581955</v>
      </c>
      <c r="K69" s="536">
        <f t="shared" si="14"/>
        <v>351268.58484030864</v>
      </c>
      <c r="L69" s="536">
        <f t="shared" si="14"/>
        <v>362684.8138476187</v>
      </c>
      <c r="M69" s="536">
        <f t="shared" si="14"/>
        <v>374472.07029766624</v>
      </c>
      <c r="N69" s="536">
        <f t="shared" si="14"/>
        <v>386642.4125823404</v>
      </c>
      <c r="O69" s="536">
        <f t="shared" si="14"/>
        <v>399208.2909912664</v>
      </c>
      <c r="P69" s="536">
        <f t="shared" si="14"/>
        <v>412182.5604484825</v>
      </c>
      <c r="Q69" s="536">
        <f t="shared" si="14"/>
        <v>425578.49366305827</v>
      </c>
      <c r="R69" s="536">
        <f t="shared" si="14"/>
        <v>439409.7947071077</v>
      </c>
      <c r="S69" s="536">
        <f t="shared" si="14"/>
        <v>453690.6130350887</v>
      </c>
      <c r="T69" s="536">
        <f t="shared" si="14"/>
        <v>468435.5579587291</v>
      </c>
      <c r="U69" s="537">
        <f t="shared" si="14"/>
        <v>483659.71359238774</v>
      </c>
      <c r="V69" s="386"/>
      <c r="W69" s="386"/>
      <c r="X69" s="386"/>
      <c r="Y69" s="386"/>
      <c r="Z69" s="386"/>
      <c r="AA69" s="386"/>
      <c r="AB69" s="386"/>
      <c r="AC69" s="386"/>
      <c r="AD69" s="386"/>
      <c r="AE69" s="386"/>
    </row>
    <row r="70" spans="1:31" ht="12.75">
      <c r="A70" s="377" t="s">
        <v>84</v>
      </c>
      <c r="B70" s="410" t="s">
        <v>120</v>
      </c>
      <c r="C70" s="410"/>
      <c r="D70" s="410"/>
      <c r="E70" s="410"/>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row>
    <row r="71" spans="1:31" ht="12.75">
      <c r="A71" s="414" t="s">
        <v>9</v>
      </c>
      <c r="B71" s="410"/>
      <c r="C71" s="410"/>
      <c r="D71" s="410"/>
      <c r="E71" s="410"/>
      <c r="V71" s="386"/>
      <c r="W71" s="386"/>
      <c r="X71" s="386"/>
      <c r="Y71" s="386"/>
      <c r="Z71" s="386"/>
      <c r="AA71" s="386"/>
      <c r="AB71" s="386"/>
      <c r="AC71" s="386"/>
      <c r="AD71" s="386"/>
      <c r="AE71" s="386"/>
    </row>
    <row r="72" spans="1:31" ht="12.75">
      <c r="A72" s="414" t="s">
        <v>10</v>
      </c>
      <c r="B72" s="410" t="s">
        <v>278</v>
      </c>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row>
    <row r="77" spans="1:7" ht="12.75">
      <c r="A77" s="414"/>
      <c r="B77" s="410"/>
      <c r="C77" s="410"/>
      <c r="D77" s="410"/>
      <c r="E77" s="410"/>
      <c r="F77" s="410"/>
      <c r="G77" s="410"/>
    </row>
    <row r="78" spans="1:7" ht="12.75">
      <c r="A78" s="414"/>
      <c r="B78" s="410"/>
      <c r="C78" s="410"/>
      <c r="D78" s="410"/>
      <c r="E78" s="410"/>
      <c r="F78" s="410"/>
      <c r="G78" s="410"/>
    </row>
    <row r="79" spans="1:7" ht="12.75">
      <c r="A79" s="414"/>
      <c r="B79" s="410"/>
      <c r="C79" s="410"/>
      <c r="D79" s="410"/>
      <c r="E79" s="410"/>
      <c r="F79" s="410"/>
      <c r="G79" s="410"/>
    </row>
    <row r="80" spans="1:7" ht="12.75">
      <c r="A80" s="414"/>
      <c r="B80" s="410"/>
      <c r="C80" s="410"/>
      <c r="D80" s="410"/>
      <c r="E80" s="410"/>
      <c r="F80" s="410"/>
      <c r="G80" s="410"/>
    </row>
    <row r="81" spans="1:7" ht="12.75">
      <c r="A81" s="414"/>
      <c r="B81" s="410"/>
      <c r="C81" s="410"/>
      <c r="D81" s="410"/>
      <c r="E81" s="410"/>
      <c r="F81" s="410"/>
      <c r="G81" s="410"/>
    </row>
    <row r="82" spans="1:7" ht="12.75">
      <c r="A82" s="414"/>
      <c r="B82" s="410"/>
      <c r="C82" s="410"/>
      <c r="D82" s="410"/>
      <c r="E82" s="410"/>
      <c r="F82" s="410"/>
      <c r="G82" s="410"/>
    </row>
    <row r="83" spans="1:7" ht="12.75">
      <c r="A83" s="414"/>
      <c r="B83" s="410"/>
      <c r="C83" s="410"/>
      <c r="D83" s="410"/>
      <c r="E83" s="410"/>
      <c r="F83" s="410"/>
      <c r="G83" s="410"/>
    </row>
    <row r="84" spans="1:7" ht="12.75">
      <c r="A84" s="414"/>
      <c r="B84" s="410"/>
      <c r="C84" s="410"/>
      <c r="D84" s="410"/>
      <c r="E84" s="410"/>
      <c r="F84" s="410"/>
      <c r="G84" s="410"/>
    </row>
    <row r="85" spans="1:7" ht="12.75">
      <c r="A85" s="414"/>
      <c r="B85" s="410"/>
      <c r="C85" s="410"/>
      <c r="D85" s="410"/>
      <c r="E85" s="410"/>
      <c r="F85" s="410"/>
      <c r="G85" s="410"/>
    </row>
    <row r="86" spans="1:7" ht="12.75">
      <c r="A86" s="414"/>
      <c r="B86" s="410"/>
      <c r="C86" s="410"/>
      <c r="D86" s="410"/>
      <c r="E86" s="410"/>
      <c r="F86" s="410"/>
      <c r="G86" s="410"/>
    </row>
  </sheetData>
  <sheetProtection/>
  <mergeCells count="2">
    <mergeCell ref="A1:I1"/>
    <mergeCell ref="A2:I2"/>
  </mergeCells>
  <printOptions gridLines="1"/>
  <pageMargins left="0.75" right="0.75" top="1" bottom="1" header="0.5" footer="0.5"/>
  <pageSetup horizontalDpi="600" verticalDpi="600" orientation="landscape" paperSize="9" r:id="rId3"/>
  <headerFooter alignWithMargins="0">
    <oddFooter>&amp;LHsehold analysis: M O'Leary 11.11.09</oddFooter>
  </headerFooter>
  <legacyDrawing r:id="rId2"/>
</worksheet>
</file>

<file path=xl/worksheets/sheet16.xml><?xml version="1.0" encoding="utf-8"?>
<worksheet xmlns="http://schemas.openxmlformats.org/spreadsheetml/2006/main" xmlns:r="http://schemas.openxmlformats.org/officeDocument/2006/relationships">
  <sheetPr codeName="Sheet16"/>
  <dimension ref="A1:IV51"/>
  <sheetViews>
    <sheetView zoomScalePageLayoutView="0" workbookViewId="0" topLeftCell="A4">
      <selection activeCell="F19" sqref="F19"/>
    </sheetView>
  </sheetViews>
  <sheetFormatPr defaultColWidth="9.140625" defaultRowHeight="12.75"/>
  <cols>
    <col min="1" max="1" width="1.8515625" style="142" customWidth="1"/>
    <col min="2" max="2" width="47.7109375" style="142" customWidth="1"/>
    <col min="3" max="3" width="16.8515625" style="142" bestFit="1" customWidth="1"/>
    <col min="4" max="4" width="2.7109375" style="142" customWidth="1"/>
    <col min="5" max="5" width="9.8515625" style="142" bestFit="1" customWidth="1"/>
    <col min="6" max="6" width="9.7109375" style="142" customWidth="1"/>
    <col min="7" max="8" width="9.8515625" style="142" bestFit="1" customWidth="1"/>
    <col min="9" max="9" width="3.00390625" style="142" customWidth="1"/>
    <col min="10" max="10" width="9.140625" style="142" customWidth="1"/>
    <col min="13" max="13" width="14.8515625" style="0" bestFit="1" customWidth="1"/>
  </cols>
  <sheetData>
    <row r="1" spans="2:256" s="142" customFormat="1" ht="12.75">
      <c r="B1" s="225"/>
      <c r="D1" s="225"/>
      <c r="E1" s="225"/>
      <c r="F1" s="225"/>
      <c r="G1" s="225"/>
      <c r="H1" s="225"/>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56" s="142" customFormat="1" ht="15.75">
      <c r="B2" s="225"/>
      <c r="D2" s="230"/>
      <c r="E2" s="225"/>
      <c r="F2" s="225"/>
      <c r="G2" s="225"/>
      <c r="H2" s="225"/>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42" customFormat="1" ht="16.5" customHeight="1">
      <c r="A3" s="225"/>
      <c r="B3" s="22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42" customFormat="1" ht="16.5" customHeight="1">
      <c r="A4" s="225"/>
      <c r="B4" s="225"/>
      <c r="C4" s="574" t="s">
        <v>571</v>
      </c>
      <c r="D4" s="574"/>
      <c r="E4" s="574"/>
      <c r="F4" s="574"/>
      <c r="G4" s="574"/>
      <c r="H4" s="574"/>
      <c r="I4" s="57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s="142" customFormat="1" ht="15.75">
      <c r="B5" s="225"/>
      <c r="C5" s="575"/>
      <c r="D5" s="575"/>
      <c r="E5" s="575"/>
      <c r="F5" s="575"/>
      <c r="G5" s="575"/>
      <c r="H5" s="57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256" s="142" customFormat="1" ht="15.75">
      <c r="B6" s="225"/>
      <c r="C6" s="231"/>
      <c r="D6" s="232"/>
      <c r="E6" s="225"/>
      <c r="F6" s="233"/>
      <c r="G6" s="233"/>
      <c r="H6" s="23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42" customFormat="1" ht="15.75">
      <c r="B7" s="576" t="s">
        <v>540</v>
      </c>
      <c r="C7" s="576"/>
      <c r="D7" s="576"/>
      <c r="E7" s="576"/>
      <c r="F7" s="576"/>
      <c r="G7" s="576"/>
      <c r="H7" s="576"/>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256" s="142" customFormat="1" ht="24" customHeight="1" thickBot="1">
      <c r="B8" s="572" t="s">
        <v>670</v>
      </c>
      <c r="C8" s="572"/>
      <c r="D8" s="572"/>
      <c r="E8" s="572"/>
      <c r="F8" s="572"/>
      <c r="G8" s="572"/>
      <c r="H8" s="57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9" ht="12.75">
      <c r="A9" s="143"/>
      <c r="B9" s="144"/>
      <c r="C9" s="145"/>
      <c r="D9" s="146"/>
      <c r="E9" s="146"/>
      <c r="F9" s="146"/>
      <c r="G9" s="146"/>
      <c r="H9" s="146"/>
      <c r="I9" s="147"/>
    </row>
    <row r="10" spans="1:9" ht="12.75">
      <c r="A10" s="225"/>
      <c r="B10" s="164"/>
      <c r="C10" s="234"/>
      <c r="D10" s="225"/>
      <c r="E10" s="225"/>
      <c r="F10" s="225"/>
      <c r="G10" s="225"/>
      <c r="H10" s="225"/>
      <c r="I10" s="151"/>
    </row>
    <row r="11" spans="1:13" ht="12.75">
      <c r="A11" s="148"/>
      <c r="B11" s="149" t="s">
        <v>572</v>
      </c>
      <c r="C11" s="235">
        <f>CBA_BD_Rescaled!C54</f>
        <v>116513986</v>
      </c>
      <c r="D11" s="150"/>
      <c r="E11" s="150"/>
      <c r="F11" s="150"/>
      <c r="G11" s="150"/>
      <c r="H11" s="150"/>
      <c r="I11" s="151"/>
      <c r="L11" s="11"/>
      <c r="M11" s="237"/>
    </row>
    <row r="12" spans="1:9" ht="12.75">
      <c r="A12" s="148"/>
      <c r="B12" s="149" t="s">
        <v>573</v>
      </c>
      <c r="C12" s="152">
        <f>CBA_BD_Rescaled!B43</f>
        <v>0.19380235663594658</v>
      </c>
      <c r="D12" s="150"/>
      <c r="E12" s="150"/>
      <c r="F12" s="150"/>
      <c r="G12" s="150"/>
      <c r="H12" s="150"/>
      <c r="I12" s="151"/>
    </row>
    <row r="13" spans="1:9" ht="12.75">
      <c r="A13" s="148"/>
      <c r="B13" s="153" t="s">
        <v>605</v>
      </c>
      <c r="C13" s="235">
        <f>CBA_BD_Rescaled!C63</f>
        <v>125401132.96998456</v>
      </c>
      <c r="D13" s="150"/>
      <c r="E13" s="150"/>
      <c r="F13" s="150"/>
      <c r="G13" s="150"/>
      <c r="H13" s="150"/>
      <c r="I13" s="151"/>
    </row>
    <row r="14" spans="1:13" ht="12.75" customHeight="1">
      <c r="A14" s="148"/>
      <c r="B14" s="153" t="s">
        <v>606</v>
      </c>
      <c r="C14" s="235">
        <f>CBA_BD_Rescaled!C65</f>
        <v>206652975.12549397</v>
      </c>
      <c r="D14" s="150"/>
      <c r="E14" s="150"/>
      <c r="F14" s="150"/>
      <c r="G14" s="150"/>
      <c r="H14" s="150"/>
      <c r="I14" s="151"/>
      <c r="M14" s="252"/>
    </row>
    <row r="15" spans="1:13" ht="12.75">
      <c r="A15" s="148"/>
      <c r="B15" s="154"/>
      <c r="C15" s="150"/>
      <c r="D15" s="150"/>
      <c r="E15" s="573" t="s">
        <v>574</v>
      </c>
      <c r="F15" s="573"/>
      <c r="G15" s="573"/>
      <c r="H15" s="573"/>
      <c r="I15" s="151"/>
      <c r="M15" s="252"/>
    </row>
    <row r="16" spans="1:9" ht="13.5">
      <c r="A16" s="148"/>
      <c r="B16" s="155" t="s">
        <v>575</v>
      </c>
      <c r="C16" s="156" t="s">
        <v>26</v>
      </c>
      <c r="D16" s="157"/>
      <c r="E16" s="156" t="s">
        <v>576</v>
      </c>
      <c r="F16" s="156" t="s">
        <v>577</v>
      </c>
      <c r="G16" s="156" t="s">
        <v>28</v>
      </c>
      <c r="H16" s="156" t="s">
        <v>578</v>
      </c>
      <c r="I16" s="151"/>
    </row>
    <row r="17" spans="1:9" ht="12.75">
      <c r="A17" s="148"/>
      <c r="B17" s="158"/>
      <c r="C17" s="159"/>
      <c r="D17" s="160"/>
      <c r="E17" s="159"/>
      <c r="F17" s="159"/>
      <c r="G17" s="159"/>
      <c r="H17" s="159"/>
      <c r="I17" s="151"/>
    </row>
    <row r="18" spans="1:9" ht="12.75">
      <c r="A18" s="148"/>
      <c r="B18" s="150" t="s">
        <v>579</v>
      </c>
      <c r="C18" s="161">
        <f>BA_Rescaled!C57</f>
        <v>302545.8478081113</v>
      </c>
      <c r="D18" s="162"/>
      <c r="E18" s="163"/>
      <c r="F18" s="163"/>
      <c r="G18" s="163"/>
      <c r="H18" s="163"/>
      <c r="I18" s="151"/>
    </row>
    <row r="19" spans="1:9" ht="12.75">
      <c r="A19" s="148"/>
      <c r="B19" s="164" t="s">
        <v>580</v>
      </c>
      <c r="C19" s="165">
        <f>BA_Rescaled!C56</f>
        <v>1633747.578163801</v>
      </c>
      <c r="D19" s="162"/>
      <c r="E19" s="166"/>
      <c r="F19" s="166"/>
      <c r="G19" s="166"/>
      <c r="H19" s="166"/>
      <c r="I19" s="151"/>
    </row>
    <row r="20" spans="1:9" ht="13.5">
      <c r="A20" s="148"/>
      <c r="B20" s="164" t="s">
        <v>581</v>
      </c>
      <c r="C20" s="165">
        <f>'BA'!C88</f>
        <v>9126715.662986442</v>
      </c>
      <c r="D20" s="162"/>
      <c r="E20" s="167"/>
      <c r="F20" s="167"/>
      <c r="G20" s="167"/>
      <c r="H20" s="167"/>
      <c r="I20" s="151"/>
    </row>
    <row r="21" spans="1:9" ht="12.75">
      <c r="A21" s="148"/>
      <c r="B21" s="164"/>
      <c r="C21" s="168"/>
      <c r="D21" s="162"/>
      <c r="E21" s="167"/>
      <c r="F21" s="167"/>
      <c r="G21" s="167"/>
      <c r="H21" s="167"/>
      <c r="I21" s="151"/>
    </row>
    <row r="22" spans="1:9" ht="12.75">
      <c r="A22" s="148"/>
      <c r="B22" s="164" t="s">
        <v>582</v>
      </c>
      <c r="C22" s="162"/>
      <c r="D22" s="162"/>
      <c r="E22" s="169">
        <f>BA_Rescaled!C149</f>
        <v>0</v>
      </c>
      <c r="F22" s="169">
        <f>BA_Rescaled!D149</f>
        <v>0.03586666027690286</v>
      </c>
      <c r="G22" s="169">
        <f>BA_Rescaled!E149</f>
        <v>0.2704085037047246</v>
      </c>
      <c r="H22" s="169">
        <f>BA_Rescaled!F149</f>
        <v>0.6937248360183722</v>
      </c>
      <c r="I22" s="170"/>
    </row>
    <row r="23" spans="1:9" ht="13.5">
      <c r="A23" s="148"/>
      <c r="B23" s="171" t="s">
        <v>583</v>
      </c>
      <c r="C23" s="172"/>
      <c r="D23" s="172"/>
      <c r="E23" s="173">
        <f>BA_Rescaled!C71</f>
        <v>0</v>
      </c>
      <c r="F23" s="173">
        <f>BA_Rescaled!D71</f>
        <v>0.02586666027690286</v>
      </c>
      <c r="G23" s="173">
        <f>BA_Rescaled!E71</f>
        <v>0.25040850370472456</v>
      </c>
      <c r="H23" s="173">
        <f>BA_Rescaled!F71</f>
        <v>0.7237248360183721</v>
      </c>
      <c r="I23" s="151"/>
    </row>
    <row r="24" spans="1:9" ht="12.75">
      <c r="A24" s="174"/>
      <c r="B24" s="175"/>
      <c r="C24" s="176"/>
      <c r="D24" s="176"/>
      <c r="E24" s="177"/>
      <c r="F24" s="178"/>
      <c r="G24" s="178"/>
      <c r="H24" s="178"/>
      <c r="I24" s="151"/>
    </row>
    <row r="25" spans="1:9" ht="12.75">
      <c r="A25" s="148"/>
      <c r="B25" s="155" t="s">
        <v>584</v>
      </c>
      <c r="C25" s="156"/>
      <c r="D25" s="157"/>
      <c r="E25" s="156"/>
      <c r="F25" s="156"/>
      <c r="G25" s="156"/>
      <c r="H25" s="156"/>
      <c r="I25" s="151"/>
    </row>
    <row r="26" spans="1:9" ht="12.75">
      <c r="A26" s="148"/>
      <c r="B26" s="158"/>
      <c r="C26" s="159"/>
      <c r="D26" s="160"/>
      <c r="E26" s="159"/>
      <c r="F26" s="159"/>
      <c r="G26" s="159"/>
      <c r="H26" s="159"/>
      <c r="I26" s="151"/>
    </row>
    <row r="27" spans="1:9" ht="12.75">
      <c r="A27" s="148"/>
      <c r="B27" s="179" t="s">
        <v>607</v>
      </c>
      <c r="C27" s="180">
        <f>(C14)/C19</f>
        <v>126.49014932756936</v>
      </c>
      <c r="D27" s="181"/>
      <c r="E27" s="180">
        <f>BA_Rescaled!C152</f>
        <v>0</v>
      </c>
      <c r="F27" s="180">
        <f>BA_Rescaled!D152</f>
        <v>164.95064359912905</v>
      </c>
      <c r="G27" s="180">
        <f>BA_Rescaled!E152</f>
        <v>173.82519931948087</v>
      </c>
      <c r="H27" s="180">
        <f>BA_Rescaled!F152</f>
        <v>148.22350776994577</v>
      </c>
      <c r="I27" s="182"/>
    </row>
    <row r="28" spans="1:9" ht="12.75">
      <c r="A28" s="148"/>
      <c r="B28" s="184" t="s">
        <v>608</v>
      </c>
      <c r="C28" s="185">
        <f>C27/C36</f>
        <v>0.04316666698563722</v>
      </c>
      <c r="D28" s="186"/>
      <c r="E28" s="185">
        <f>BA_Rescaled!C154</f>
        <v>0</v>
      </c>
      <c r="F28" s="185">
        <f>BA_Rescaled!D154</f>
        <v>0.22595978575223158</v>
      </c>
      <c r="G28" s="185">
        <f>BA_Rescaled!E154</f>
        <v>0.15874447426436608</v>
      </c>
      <c r="H28" s="185">
        <f>BA_Rescaled!F154</f>
        <v>0.03942736796721271</v>
      </c>
      <c r="I28" s="151"/>
    </row>
    <row r="29" spans="1:9" ht="12.75">
      <c r="A29" s="148"/>
      <c r="B29" s="187"/>
      <c r="C29" s="176"/>
      <c r="D29" s="176"/>
      <c r="E29" s="188"/>
      <c r="F29" s="188"/>
      <c r="G29" s="188"/>
      <c r="H29" s="188"/>
      <c r="I29" s="151"/>
    </row>
    <row r="30" spans="1:9" ht="12.75">
      <c r="A30" s="148"/>
      <c r="B30" s="155" t="s">
        <v>585</v>
      </c>
      <c r="C30" s="247"/>
      <c r="D30" s="186"/>
      <c r="E30" s="189"/>
      <c r="F30" s="189"/>
      <c r="G30" s="189"/>
      <c r="H30" s="189"/>
      <c r="I30" s="151"/>
    </row>
    <row r="31" spans="1:9" ht="12.75">
      <c r="A31" s="148"/>
      <c r="B31" s="154"/>
      <c r="C31" s="190"/>
      <c r="D31" s="190"/>
      <c r="E31" s="191"/>
      <c r="F31" s="191"/>
      <c r="G31" s="191"/>
      <c r="H31" s="191"/>
      <c r="I31" s="151"/>
    </row>
    <row r="32" spans="1:10" ht="12.75">
      <c r="A32" s="192"/>
      <c r="B32" s="193" t="s">
        <v>609</v>
      </c>
      <c r="C32" s="194">
        <f>C14/C13</f>
        <v>1.6479354710053336</v>
      </c>
      <c r="D32" s="195"/>
      <c r="E32" s="196"/>
      <c r="F32" s="196"/>
      <c r="G32" s="196"/>
      <c r="H32" s="196"/>
      <c r="I32" s="197"/>
      <c r="J32" s="183"/>
    </row>
    <row r="33" spans="1:9" ht="12.75">
      <c r="A33" s="199"/>
      <c r="B33" s="200"/>
      <c r="C33" s="201"/>
      <c r="D33" s="201"/>
      <c r="E33" s="202"/>
      <c r="F33" s="202"/>
      <c r="G33" s="202"/>
      <c r="H33" s="202"/>
      <c r="I33" s="203"/>
    </row>
    <row r="34" spans="1:9" ht="12.75">
      <c r="A34" s="199"/>
      <c r="B34" s="205" t="s">
        <v>586</v>
      </c>
      <c r="C34" s="206">
        <v>0.48</v>
      </c>
      <c r="D34" s="207"/>
      <c r="E34" s="208"/>
      <c r="F34" s="208"/>
      <c r="G34" s="208"/>
      <c r="H34" s="208"/>
      <c r="I34" s="203"/>
    </row>
    <row r="35" spans="1:9" ht="12.75">
      <c r="A35" s="199"/>
      <c r="B35" s="210"/>
      <c r="C35" s="211"/>
      <c r="D35" s="207"/>
      <c r="E35" s="208"/>
      <c r="F35" s="208"/>
      <c r="G35" s="208"/>
      <c r="H35" s="208"/>
      <c r="I35" s="203"/>
    </row>
    <row r="36" spans="1:9" ht="12.75">
      <c r="A36" s="192"/>
      <c r="B36" s="179" t="s">
        <v>603</v>
      </c>
      <c r="C36" s="212">
        <f>BA_Rescaled!G156</f>
        <v>2930.273707943591</v>
      </c>
      <c r="D36" s="213"/>
      <c r="E36" s="214"/>
      <c r="F36" s="214"/>
      <c r="G36" s="214"/>
      <c r="H36" s="214"/>
      <c r="I36" s="197"/>
    </row>
    <row r="37" spans="1:10" ht="13.5">
      <c r="A37" s="148"/>
      <c r="B37" s="179" t="s">
        <v>610</v>
      </c>
      <c r="C37" s="212">
        <f>BA_Rescaled!C93</f>
        <v>3012.180841686579</v>
      </c>
      <c r="D37" s="216"/>
      <c r="E37" s="216"/>
      <c r="F37" s="216"/>
      <c r="G37" s="216"/>
      <c r="H37" s="216"/>
      <c r="I37" s="151"/>
      <c r="J37" s="198"/>
    </row>
    <row r="38" spans="1:10" ht="12.75">
      <c r="A38" s="148"/>
      <c r="B38" s="179" t="s">
        <v>623</v>
      </c>
      <c r="C38" s="217">
        <f>BA_Rescaled!C89</f>
        <v>5906043</v>
      </c>
      <c r="D38" s="216"/>
      <c r="E38" s="216"/>
      <c r="F38" s="216"/>
      <c r="G38" s="216"/>
      <c r="H38" s="216"/>
      <c r="I38" s="151"/>
      <c r="J38" s="204"/>
    </row>
    <row r="39" spans="1:10" ht="12.75">
      <c r="A39" s="148"/>
      <c r="B39" s="179"/>
      <c r="C39" s="218"/>
      <c r="D39" s="216"/>
      <c r="E39" s="216"/>
      <c r="F39" s="216"/>
      <c r="G39" s="216"/>
      <c r="H39" s="216"/>
      <c r="I39" s="151"/>
      <c r="J39" s="209"/>
    </row>
    <row r="40" spans="1:10" ht="12.75">
      <c r="A40" s="148"/>
      <c r="B40" s="219" t="s">
        <v>604</v>
      </c>
      <c r="C40" s="220"/>
      <c r="D40" s="216"/>
      <c r="E40" s="221"/>
      <c r="F40" s="221"/>
      <c r="G40" s="221"/>
      <c r="H40" s="221"/>
      <c r="I40" s="151"/>
      <c r="J40" s="209"/>
    </row>
    <row r="41" spans="1:10" ht="12.75">
      <c r="A41" s="148"/>
      <c r="B41" s="219" t="s">
        <v>684</v>
      </c>
      <c r="C41" s="220"/>
      <c r="D41" s="216"/>
      <c r="E41" s="221"/>
      <c r="F41" s="221"/>
      <c r="G41" s="221"/>
      <c r="H41" s="221"/>
      <c r="I41" s="151"/>
      <c r="J41" s="215"/>
    </row>
    <row r="42" spans="1:9" ht="12.75">
      <c r="A42" s="148"/>
      <c r="B42" s="219"/>
      <c r="C42" s="220"/>
      <c r="D42" s="216"/>
      <c r="E42" s="221"/>
      <c r="F42" s="221"/>
      <c r="G42" s="221"/>
      <c r="H42" s="221"/>
      <c r="I42" s="151"/>
    </row>
    <row r="43" spans="1:9" ht="12.75">
      <c r="A43" s="148"/>
      <c r="B43" s="222" t="s">
        <v>625</v>
      </c>
      <c r="C43" s="220"/>
      <c r="D43" s="216"/>
      <c r="E43" s="221"/>
      <c r="F43" s="221"/>
      <c r="G43" s="221"/>
      <c r="H43" s="221"/>
      <c r="I43" s="151"/>
    </row>
    <row r="44" spans="1:9" ht="12.75">
      <c r="A44" s="148"/>
      <c r="B44" s="222" t="s">
        <v>620</v>
      </c>
      <c r="C44" s="223"/>
      <c r="D44" s="223"/>
      <c r="E44" s="223"/>
      <c r="F44" s="223"/>
      <c r="G44" s="223"/>
      <c r="H44" s="223"/>
      <c r="I44" s="151"/>
    </row>
    <row r="45" spans="1:9" ht="12.75">
      <c r="A45" s="148"/>
      <c r="B45" s="224" t="s">
        <v>624</v>
      </c>
      <c r="C45" s="223"/>
      <c r="D45" s="223"/>
      <c r="E45" s="223"/>
      <c r="F45" s="223"/>
      <c r="G45" s="223"/>
      <c r="H45" s="223"/>
      <c r="I45" s="151"/>
    </row>
    <row r="46" spans="1:9" ht="13.5" thickBot="1">
      <c r="A46" s="226"/>
      <c r="B46" s="227"/>
      <c r="C46" s="228"/>
      <c r="D46" s="228"/>
      <c r="E46" s="228"/>
      <c r="F46" s="228"/>
      <c r="G46" s="228"/>
      <c r="H46" s="228"/>
      <c r="I46" s="229"/>
    </row>
    <row r="47" ht="12.75">
      <c r="A47" s="225"/>
    </row>
    <row r="48" ht="12.75">
      <c r="A48" s="225"/>
    </row>
    <row r="50" ht="12.75">
      <c r="J50" s="225"/>
    </row>
    <row r="51" ht="12.75">
      <c r="J51" s="225"/>
    </row>
  </sheetData>
  <sheetProtection/>
  <mergeCells count="5">
    <mergeCell ref="C4:I4"/>
    <mergeCell ref="C5:H5"/>
    <mergeCell ref="B7:H7"/>
    <mergeCell ref="B8:H8"/>
    <mergeCell ref="E15:H15"/>
  </mergeCells>
  <printOptions/>
  <pageMargins left="0.7" right="0.7" top="0.75" bottom="0.75" header="0.3" footer="0.3"/>
  <pageSetup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sheetPr codeName="Sheet2"/>
  <dimension ref="A1:U1117"/>
  <sheetViews>
    <sheetView zoomScalePageLayoutView="0" workbookViewId="0" topLeftCell="A73">
      <selection activeCell="E128" sqref="E128"/>
    </sheetView>
  </sheetViews>
  <sheetFormatPr defaultColWidth="9.140625" defaultRowHeight="12.75"/>
  <cols>
    <col min="1" max="1" width="18.421875" style="7" customWidth="1"/>
    <col min="2" max="2" width="15.140625" style="7" customWidth="1"/>
    <col min="3" max="3" width="13.140625" style="7" customWidth="1"/>
    <col min="4" max="4" width="12.00390625" style="7" customWidth="1"/>
    <col min="5" max="5" width="18.28125" style="7" customWidth="1"/>
    <col min="6" max="6" width="14.421875" style="0" customWidth="1"/>
    <col min="7" max="7" width="16.57421875" style="0" customWidth="1"/>
    <col min="8" max="8" width="14.7109375" style="13" customWidth="1"/>
    <col min="9" max="9" width="10.421875" style="13" customWidth="1"/>
    <col min="10" max="10" width="10.140625" style="0" bestFit="1" customWidth="1"/>
    <col min="12" max="12" width="10.140625" style="0" customWidth="1"/>
    <col min="13" max="13" width="9.8515625" style="0" customWidth="1"/>
    <col min="14" max="14" width="15.57421875" style="0" customWidth="1"/>
    <col min="20" max="20" width="11.00390625" style="0" customWidth="1"/>
  </cols>
  <sheetData>
    <row r="1" ht="12.75">
      <c r="A1" s="9"/>
    </row>
    <row r="2" ht="12.75">
      <c r="A2" s="7" t="s">
        <v>109</v>
      </c>
    </row>
    <row r="3" ht="12.75">
      <c r="A3" s="107" t="s">
        <v>478</v>
      </c>
    </row>
    <row r="4" spans="1:8" ht="12.75">
      <c r="A4" t="s">
        <v>27</v>
      </c>
      <c r="B4" s="37">
        <f>Socecon!Q73</f>
        <v>0.06002591012118368</v>
      </c>
      <c r="F4" s="40"/>
      <c r="G4" s="40"/>
      <c r="H4" s="28"/>
    </row>
    <row r="5" spans="1:2" ht="12.75">
      <c r="A5" t="s">
        <v>28</v>
      </c>
      <c r="B5" s="24">
        <f>Socecon!R73</f>
        <v>0.31623805033755353</v>
      </c>
    </row>
    <row r="6" spans="1:2" ht="12.75">
      <c r="A6" t="s">
        <v>29</v>
      </c>
      <c r="B6" s="21">
        <f>Socecon!S73</f>
        <v>0.6237360395412627</v>
      </c>
    </row>
    <row r="7" ht="12.75">
      <c r="A7" s="7" t="s">
        <v>61</v>
      </c>
    </row>
    <row r="8" ht="12.75"/>
    <row r="9" spans="1:8" ht="12.75">
      <c r="A9" s="109" t="s">
        <v>405</v>
      </c>
      <c r="F9" s="2"/>
      <c r="H9" s="76"/>
    </row>
    <row r="10" spans="2:17" ht="12.75">
      <c r="B10" s="7" t="s">
        <v>401</v>
      </c>
      <c r="C10" s="7" t="s">
        <v>402</v>
      </c>
      <c r="D10" s="7" t="s">
        <v>403</v>
      </c>
      <c r="F10" s="7"/>
      <c r="G10" s="7"/>
      <c r="H10" s="7"/>
      <c r="I10" s="52"/>
      <c r="J10" s="40"/>
      <c r="K10" s="40"/>
      <c r="L10" s="40"/>
      <c r="M10" s="40"/>
      <c r="N10" s="40"/>
      <c r="O10" s="40"/>
      <c r="P10" s="40"/>
      <c r="Q10" s="40"/>
    </row>
    <row r="11" spans="1:17" ht="12.75">
      <c r="A11" s="52" t="s">
        <v>400</v>
      </c>
      <c r="B11" s="7">
        <v>1</v>
      </c>
      <c r="C11" s="108">
        <v>1.5</v>
      </c>
      <c r="D11" s="7">
        <v>3</v>
      </c>
      <c r="F11" s="76"/>
      <c r="G11" s="76"/>
      <c r="H11" s="76"/>
      <c r="I11" s="111"/>
      <c r="J11" s="40"/>
      <c r="K11" s="40"/>
      <c r="L11" s="40"/>
      <c r="M11" s="40"/>
      <c r="N11" s="40"/>
      <c r="O11" s="40"/>
      <c r="P11" s="40"/>
      <c r="Q11" s="40"/>
    </row>
    <row r="12" spans="1:13" ht="12.75">
      <c r="A12" s="52" t="s">
        <v>404</v>
      </c>
      <c r="B12" s="7">
        <v>1</v>
      </c>
      <c r="C12" s="7">
        <v>1</v>
      </c>
      <c r="D12" s="7">
        <v>2</v>
      </c>
      <c r="F12" s="76"/>
      <c r="G12" s="76"/>
      <c r="H12" s="76"/>
      <c r="I12" s="111"/>
      <c r="J12" s="40"/>
      <c r="K12" s="40"/>
      <c r="L12" s="40"/>
      <c r="M12" s="40"/>
    </row>
    <row r="13" spans="1:13" ht="12.75">
      <c r="A13" s="52"/>
      <c r="G13" s="53"/>
      <c r="H13" s="28"/>
      <c r="I13" s="28"/>
      <c r="J13" s="40"/>
      <c r="K13" s="40"/>
      <c r="L13" s="40"/>
      <c r="M13" s="40"/>
    </row>
    <row r="14" spans="1:13" ht="12.75">
      <c r="A14" s="110" t="s">
        <v>406</v>
      </c>
      <c r="G14" s="53"/>
      <c r="H14" s="28"/>
      <c r="I14" s="28"/>
      <c r="J14" s="40"/>
      <c r="K14" s="40"/>
      <c r="L14" s="40"/>
      <c r="M14" s="40"/>
    </row>
    <row r="15" spans="2:6" ht="12.75">
      <c r="B15" s="107" t="s">
        <v>408</v>
      </c>
      <c r="C15" s="107" t="s">
        <v>407</v>
      </c>
      <c r="D15" s="107" t="s">
        <v>407</v>
      </c>
      <c r="E15" s="107" t="s">
        <v>409</v>
      </c>
      <c r="F15" s="107" t="s">
        <v>409</v>
      </c>
    </row>
    <row r="16" spans="2:6" ht="12.75">
      <c r="B16" s="107" t="s">
        <v>411</v>
      </c>
      <c r="C16" s="107" t="s">
        <v>410</v>
      </c>
      <c r="D16" s="107" t="s">
        <v>411</v>
      </c>
      <c r="E16" s="107" t="s">
        <v>410</v>
      </c>
      <c r="F16" s="107" t="s">
        <v>411</v>
      </c>
    </row>
    <row r="17" spans="1:17" ht="12.75">
      <c r="A17" t="s">
        <v>27</v>
      </c>
      <c r="B17" s="34">
        <f>B4</f>
        <v>0.06002591012118368</v>
      </c>
      <c r="C17" s="113">
        <f>100*$B$17*($B$12/($B$12+$C$12+$D$12))</f>
        <v>1.500647753029592</v>
      </c>
      <c r="D17" s="112">
        <f>C17/($C$17+$C$18+$C$19)</f>
        <v>0.03696777595583959</v>
      </c>
      <c r="E17" s="113">
        <f>100*$B$17*($B$11/($B$11+$C$11+$D$11))</f>
        <v>1.0913801840215216</v>
      </c>
      <c r="F17" s="112">
        <f>E17/($E17+$E$18+$E$19)</f>
        <v>0.024952665486292484</v>
      </c>
      <c r="H17" s="82" t="s">
        <v>346</v>
      </c>
      <c r="I17" s="68"/>
      <c r="J17" s="69"/>
      <c r="K17" s="69"/>
      <c r="L17" s="70"/>
      <c r="M17" s="70"/>
      <c r="N17" s="69"/>
      <c r="O17" s="69"/>
      <c r="P17" s="99"/>
      <c r="Q17" s="99"/>
    </row>
    <row r="18" spans="1:17" ht="12.75">
      <c r="A18" t="s">
        <v>28</v>
      </c>
      <c r="B18" s="102">
        <f>B5</f>
        <v>0.31623805033755353</v>
      </c>
      <c r="C18" s="114">
        <f>100*$B$18*($C$12/($B$12+$C$12+$D$12))</f>
        <v>7.905951258438838</v>
      </c>
      <c r="D18" s="102">
        <f>C18/($C$17+$C$18+$C$19)</f>
        <v>0.19475951918077586</v>
      </c>
      <c r="E18" s="114">
        <f>100*$B$18*($C$11/($B$11+$C$11+$D$11))</f>
        <v>8.624674100115095</v>
      </c>
      <c r="F18" s="102">
        <f>E18/($E$17+$E$18+$E$19)</f>
        <v>0.19718940374697036</v>
      </c>
      <c r="H18" s="97" t="s">
        <v>345</v>
      </c>
      <c r="I18" s="98"/>
      <c r="J18" s="99"/>
      <c r="K18" s="99"/>
      <c r="L18" s="100"/>
      <c r="M18" s="100"/>
      <c r="N18" s="99"/>
      <c r="O18" s="99"/>
      <c r="P18" s="99"/>
      <c r="Q18" s="99"/>
    </row>
    <row r="19" spans="1:17" ht="12.75">
      <c r="A19" t="s">
        <v>29</v>
      </c>
      <c r="B19" s="21">
        <f>B6</f>
        <v>0.6237360395412627</v>
      </c>
      <c r="C19" s="115">
        <f>100*$B$19*($D$12/($B$12+$C$12+$D$12))</f>
        <v>31.186801977063134</v>
      </c>
      <c r="D19" s="116">
        <f>C19/($C$17+$C$18+$C$19)</f>
        <v>0.7682727048633846</v>
      </c>
      <c r="E19" s="115">
        <f>100*$B$19*($D$11/($B$11+$C$11+$D$11))</f>
        <v>34.02196579315978</v>
      </c>
      <c r="F19" s="116">
        <f>E19/($E$17+$E$18+$E$19)</f>
        <v>0.7778579307667371</v>
      </c>
      <c r="H19" s="97" t="s">
        <v>347</v>
      </c>
      <c r="I19" s="98"/>
      <c r="J19" s="99"/>
      <c r="K19" s="99"/>
      <c r="L19" s="100"/>
      <c r="M19" s="101"/>
      <c r="N19" s="99"/>
      <c r="O19" s="99"/>
      <c r="P19" s="99"/>
      <c r="Q19" s="99"/>
    </row>
    <row r="20" spans="2:17" ht="12.75">
      <c r="B20" s="16">
        <f>SUM(B17:B19)</f>
        <v>0.9999999999999999</v>
      </c>
      <c r="D20" s="16">
        <f>SUM(D17:D19)</f>
        <v>1</v>
      </c>
      <c r="F20" s="16">
        <f>SUM(F17:F19)</f>
        <v>1</v>
      </c>
      <c r="H20" s="123" t="s">
        <v>460</v>
      </c>
      <c r="I20" s="98"/>
      <c r="J20" s="99"/>
      <c r="K20" s="99"/>
      <c r="L20" s="100"/>
      <c r="M20" s="100"/>
      <c r="N20" s="99"/>
      <c r="O20" s="99"/>
      <c r="P20" s="99"/>
      <c r="Q20" s="99"/>
    </row>
    <row r="21" spans="8:15" ht="12.75">
      <c r="H21" s="31"/>
      <c r="I21" s="31"/>
      <c r="J21" s="40"/>
      <c r="K21" s="40"/>
      <c r="L21" s="28"/>
      <c r="M21" s="28"/>
      <c r="N21" s="40"/>
      <c r="O21" s="40"/>
    </row>
    <row r="22" ht="12.75"/>
    <row r="23" ht="12.75">
      <c r="A23" s="63" t="s">
        <v>348</v>
      </c>
    </row>
    <row r="24" spans="1:7" ht="12.75">
      <c r="A24" s="52" t="s">
        <v>77</v>
      </c>
      <c r="B24" s="49"/>
      <c r="C24" s="49"/>
      <c r="D24" s="49"/>
      <c r="E24" s="49"/>
      <c r="F24" s="83">
        <f>10.3*F29/5.39</f>
        <v>13.5352319109462</v>
      </c>
      <c r="G24" s="77" t="s">
        <v>349</v>
      </c>
    </row>
    <row r="25" spans="1:7" ht="12.75">
      <c r="A25" s="52"/>
      <c r="B25" s="49"/>
      <c r="C25" s="49"/>
      <c r="D25" s="49"/>
      <c r="E25" s="49"/>
      <c r="F25" s="83"/>
      <c r="G25" s="77" t="s">
        <v>356</v>
      </c>
    </row>
    <row r="26" spans="1:7" ht="12.75">
      <c r="A26" s="77" t="s">
        <v>357</v>
      </c>
      <c r="B26" s="52"/>
      <c r="C26" s="52"/>
      <c r="D26" s="52"/>
      <c r="E26" s="52"/>
      <c r="F26" s="83">
        <v>1.521179</v>
      </c>
      <c r="G26" s="40" t="s">
        <v>266</v>
      </c>
    </row>
    <row r="27" spans="1:7" ht="12.75">
      <c r="A27" s="77" t="s">
        <v>358</v>
      </c>
      <c r="B27" s="52"/>
      <c r="C27" s="52"/>
      <c r="D27" s="52"/>
      <c r="E27" s="52"/>
      <c r="F27" s="53">
        <v>52.826</v>
      </c>
      <c r="G27" s="38" t="s">
        <v>251</v>
      </c>
    </row>
    <row r="28" spans="1:14" ht="12.75">
      <c r="A28" s="52" t="s">
        <v>62</v>
      </c>
      <c r="B28" s="52"/>
      <c r="C28" s="52"/>
      <c r="D28" s="52"/>
      <c r="E28" s="52"/>
      <c r="F28" s="53">
        <v>4</v>
      </c>
      <c r="G28" s="53" t="s">
        <v>64</v>
      </c>
      <c r="H28" s="28"/>
      <c r="I28" s="28"/>
      <c r="J28" s="40"/>
      <c r="K28" s="40"/>
      <c r="L28" s="40"/>
      <c r="M28" s="40"/>
      <c r="N28" s="40"/>
    </row>
    <row r="29" spans="1:7" ht="12.75">
      <c r="A29" s="31" t="s">
        <v>270</v>
      </c>
      <c r="B29" s="52"/>
      <c r="C29" s="52"/>
      <c r="D29" s="52"/>
      <c r="E29" s="52"/>
      <c r="F29" s="53">
        <v>7.083</v>
      </c>
      <c r="G29" s="38" t="s">
        <v>359</v>
      </c>
    </row>
    <row r="30" spans="1:10" ht="12.75">
      <c r="A30" s="68" t="s">
        <v>271</v>
      </c>
      <c r="B30" s="85"/>
      <c r="C30" s="85"/>
      <c r="D30" s="85"/>
      <c r="E30" s="85"/>
      <c r="F30" s="69"/>
      <c r="G30" s="69"/>
      <c r="H30" s="70"/>
      <c r="I30" s="70"/>
      <c r="J30" s="69"/>
    </row>
    <row r="31" spans="8:12" ht="12.75">
      <c r="H31" s="28"/>
      <c r="I31" s="28"/>
      <c r="J31" s="40"/>
      <c r="K31" s="40"/>
      <c r="L31" s="40"/>
    </row>
    <row r="32" spans="1:12" ht="12.75">
      <c r="A32" s="77"/>
      <c r="B32" s="31"/>
      <c r="C32" s="31"/>
      <c r="D32" s="31"/>
      <c r="F32" s="40" t="s">
        <v>145</v>
      </c>
      <c r="G32" s="38" t="s">
        <v>146</v>
      </c>
      <c r="H32" s="28"/>
      <c r="I32" s="28"/>
      <c r="J32" s="40"/>
      <c r="K32" s="40"/>
      <c r="L32" s="40"/>
    </row>
    <row r="33" spans="1:12" ht="12.75">
      <c r="A33" s="107" t="s">
        <v>398</v>
      </c>
      <c r="B33" s="31"/>
      <c r="C33" s="31"/>
      <c r="D33" s="31"/>
      <c r="F33" s="7">
        <f>D78</f>
        <v>62.268639504496974</v>
      </c>
      <c r="G33" s="7">
        <f>C78</f>
        <v>160.9828023677785</v>
      </c>
      <c r="H33" s="28"/>
      <c r="I33" s="28"/>
      <c r="J33" s="40"/>
      <c r="K33" s="40"/>
      <c r="L33" s="40"/>
    </row>
    <row r="34" spans="1:12" ht="12.75">
      <c r="A34" s="107" t="s">
        <v>397</v>
      </c>
      <c r="B34" s="31"/>
      <c r="C34" s="31"/>
      <c r="D34" s="31"/>
      <c r="F34" s="7">
        <f>D56</f>
        <v>56.44477379054703</v>
      </c>
      <c r="G34" s="7">
        <f>C56</f>
        <v>145.9263914568323</v>
      </c>
      <c r="H34" s="28"/>
      <c r="I34" s="28"/>
      <c r="J34" s="40"/>
      <c r="K34" s="40"/>
      <c r="L34" s="40"/>
    </row>
    <row r="35" spans="1:12" ht="12.75">
      <c r="A35" s="63"/>
      <c r="B35" s="31"/>
      <c r="C35" s="31"/>
      <c r="D35" s="31"/>
      <c r="F35" s="7"/>
      <c r="G35" s="7"/>
      <c r="H35" s="28"/>
      <c r="I35" s="28"/>
      <c r="J35" s="40"/>
      <c r="K35" s="40"/>
      <c r="L35" s="40"/>
    </row>
    <row r="36" ht="12.75">
      <c r="A36" s="63" t="s">
        <v>350</v>
      </c>
    </row>
    <row r="37" ht="12.75">
      <c r="A37" s="63" t="s">
        <v>351</v>
      </c>
    </row>
    <row r="38" ht="12.75">
      <c r="A38" s="63" t="s">
        <v>352</v>
      </c>
    </row>
    <row r="39" ht="12.75">
      <c r="A39" s="63" t="s">
        <v>353</v>
      </c>
    </row>
    <row r="40" ht="12.75">
      <c r="A40" s="63" t="s">
        <v>354</v>
      </c>
    </row>
    <row r="41" ht="12.75">
      <c r="A41" s="63" t="s">
        <v>355</v>
      </c>
    </row>
    <row r="42" ht="12.75">
      <c r="A42" s="63" t="s">
        <v>360</v>
      </c>
    </row>
    <row r="43" ht="12.75">
      <c r="A43" s="63" t="s">
        <v>361</v>
      </c>
    </row>
    <row r="44" ht="12.75">
      <c r="A44" s="63" t="s">
        <v>362</v>
      </c>
    </row>
    <row r="45" ht="12.75">
      <c r="A45" s="63"/>
    </row>
    <row r="46" ht="12.75">
      <c r="A46" s="63"/>
    </row>
    <row r="47" ht="12.75">
      <c r="A47" s="63"/>
    </row>
    <row r="48" spans="1:20" ht="12.75">
      <c r="A48" s="9" t="s">
        <v>31</v>
      </c>
      <c r="B48" s="9" t="s">
        <v>48</v>
      </c>
      <c r="C48" s="9" t="s">
        <v>48</v>
      </c>
      <c r="D48" s="9" t="s">
        <v>43</v>
      </c>
      <c r="E48" s="9" t="s">
        <v>134</v>
      </c>
      <c r="F48" s="9" t="s">
        <v>24</v>
      </c>
      <c r="G48" s="9" t="s">
        <v>131</v>
      </c>
      <c r="H48" s="14" t="s">
        <v>34</v>
      </c>
      <c r="I48" s="9"/>
      <c r="J48" s="10"/>
      <c r="K48" s="10"/>
      <c r="L48" s="10"/>
      <c r="M48" s="10"/>
      <c r="N48" s="10"/>
      <c r="O48" s="10"/>
      <c r="P48" s="9"/>
      <c r="Q48" s="9"/>
      <c r="R48" s="12"/>
      <c r="S48" s="12"/>
      <c r="T48" s="9"/>
    </row>
    <row r="49" spans="1:20" ht="12.75">
      <c r="A49" s="9" t="s">
        <v>33</v>
      </c>
      <c r="B49" s="9" t="s">
        <v>45</v>
      </c>
      <c r="C49" s="9" t="s">
        <v>45</v>
      </c>
      <c r="D49" s="9"/>
      <c r="E49" s="9"/>
      <c r="F49" s="9" t="s">
        <v>129</v>
      </c>
      <c r="G49" s="9" t="s">
        <v>132</v>
      </c>
      <c r="H49" s="14" t="s">
        <v>46</v>
      </c>
      <c r="I49" s="9"/>
      <c r="J49" s="10"/>
      <c r="K49" s="10"/>
      <c r="L49" s="10"/>
      <c r="M49" s="10"/>
      <c r="N49" s="10"/>
      <c r="O49" s="10"/>
      <c r="P49" s="9"/>
      <c r="Q49" s="9"/>
      <c r="R49" s="12"/>
      <c r="S49" s="12"/>
      <c r="T49" s="9"/>
    </row>
    <row r="50" spans="1:20" ht="12.75">
      <c r="A50" s="9" t="s">
        <v>32</v>
      </c>
      <c r="B50" s="9" t="s">
        <v>130</v>
      </c>
      <c r="C50" s="9" t="s">
        <v>133</v>
      </c>
      <c r="E50" s="9"/>
      <c r="F50" s="9" t="s">
        <v>130</v>
      </c>
      <c r="G50" s="9" t="s">
        <v>133</v>
      </c>
      <c r="H50" s="14" t="s">
        <v>47</v>
      </c>
      <c r="I50" s="9"/>
      <c r="J50" s="10"/>
      <c r="K50" s="10"/>
      <c r="L50" s="10"/>
      <c r="M50" s="10"/>
      <c r="N50" s="10"/>
      <c r="O50" s="10"/>
      <c r="P50" s="9"/>
      <c r="Q50" s="9"/>
      <c r="R50" s="12"/>
      <c r="S50" s="12"/>
      <c r="T50" s="9"/>
    </row>
    <row r="51" spans="1:20" ht="12.75">
      <c r="A51" s="9" t="s">
        <v>42</v>
      </c>
      <c r="B51" s="9"/>
      <c r="C51" s="9" t="s">
        <v>44</v>
      </c>
      <c r="D51" s="9"/>
      <c r="E51" s="9"/>
      <c r="F51" s="9" t="s">
        <v>12</v>
      </c>
      <c r="G51" s="9" t="s">
        <v>12</v>
      </c>
      <c r="H51" s="14" t="s">
        <v>12</v>
      </c>
      <c r="I51" s="9"/>
      <c r="J51" s="10"/>
      <c r="K51" s="10"/>
      <c r="L51" s="10"/>
      <c r="M51" s="10"/>
      <c r="N51" s="10"/>
      <c r="O51" s="10"/>
      <c r="P51" s="9"/>
      <c r="Q51" s="9"/>
      <c r="R51" s="12"/>
      <c r="S51" s="12"/>
      <c r="T51" s="9"/>
    </row>
    <row r="52" spans="1:20" ht="12.75">
      <c r="A52" s="9"/>
      <c r="B52" s="9" t="s">
        <v>25</v>
      </c>
      <c r="C52" s="9" t="s">
        <v>25</v>
      </c>
      <c r="D52" s="9"/>
      <c r="E52" s="9"/>
      <c r="F52" s="9"/>
      <c r="G52" s="9"/>
      <c r="I52" s="7"/>
      <c r="J52" s="10"/>
      <c r="K52" s="10"/>
      <c r="L52" s="10"/>
      <c r="M52" s="10"/>
      <c r="N52" s="10"/>
      <c r="O52" s="10"/>
      <c r="P52" s="9"/>
      <c r="Q52" s="9"/>
      <c r="R52" s="12"/>
      <c r="S52" s="12"/>
      <c r="T52" s="9"/>
    </row>
    <row r="53" spans="2:9" ht="12.75">
      <c r="B53"/>
      <c r="C53"/>
      <c r="D53"/>
      <c r="E53"/>
      <c r="H53"/>
      <c r="I53"/>
    </row>
    <row r="54" spans="1:9" ht="12.75">
      <c r="A54" s="41" t="s">
        <v>147</v>
      </c>
      <c r="B54"/>
      <c r="C54"/>
      <c r="D54"/>
      <c r="E54"/>
      <c r="H54"/>
      <c r="I54"/>
    </row>
    <row r="55" spans="1:20" ht="12.75">
      <c r="A55" s="9"/>
      <c r="B55" s="42" t="s">
        <v>35</v>
      </c>
      <c r="C55" s="9"/>
      <c r="D55" s="9"/>
      <c r="E55" s="10"/>
      <c r="F55" s="9"/>
      <c r="G55" s="9"/>
      <c r="H55" s="14"/>
      <c r="I55" s="7"/>
      <c r="J55" s="10"/>
      <c r="K55" s="10"/>
      <c r="L55" s="10"/>
      <c r="M55" s="10"/>
      <c r="N55" s="10"/>
      <c r="O55" s="10"/>
      <c r="P55" s="9"/>
      <c r="Q55" s="9"/>
      <c r="R55" s="12"/>
      <c r="S55" s="12"/>
      <c r="T55" s="9"/>
    </row>
    <row r="56" spans="1:20" ht="12.75">
      <c r="A56" s="7" t="s">
        <v>26</v>
      </c>
      <c r="B56" s="27">
        <v>17600328</v>
      </c>
      <c r="C56" s="27">
        <f>B56/E56</f>
        <v>145.9263914568323</v>
      </c>
      <c r="D56" s="15">
        <f>B56*1000/(E56*F$29*365)</f>
        <v>56.44477379054703</v>
      </c>
      <c r="E56" s="27">
        <v>120611</v>
      </c>
      <c r="F56" s="27">
        <v>3874082</v>
      </c>
      <c r="G56" s="15">
        <f>F56/E56</f>
        <v>32.12046994055269</v>
      </c>
      <c r="H56" s="28">
        <v>0.23</v>
      </c>
      <c r="I56" s="9"/>
      <c r="J56" s="10"/>
      <c r="K56" s="10"/>
      <c r="L56" s="10"/>
      <c r="M56" s="10"/>
      <c r="N56" s="10"/>
      <c r="O56" s="10"/>
      <c r="P56" s="9"/>
      <c r="Q56" s="9"/>
      <c r="R56" s="9"/>
      <c r="S56" s="9"/>
      <c r="T56" s="9"/>
    </row>
    <row r="57" spans="2:20" ht="12.75">
      <c r="B57" s="18"/>
      <c r="C57" s="15"/>
      <c r="D57" s="15"/>
      <c r="E57" s="27"/>
      <c r="F57" s="27"/>
      <c r="G57" s="15"/>
      <c r="H57" s="28"/>
      <c r="I57" s="9"/>
      <c r="J57" s="10"/>
      <c r="K57" s="10"/>
      <c r="L57" s="10"/>
      <c r="M57" s="10"/>
      <c r="N57" s="10"/>
      <c r="O57" s="10"/>
      <c r="P57" s="9"/>
      <c r="Q57" s="9"/>
      <c r="R57" s="9"/>
      <c r="S57" s="9"/>
      <c r="T57" s="9"/>
    </row>
    <row r="58" spans="1:20" ht="12.75">
      <c r="A58" s="38" t="s">
        <v>27</v>
      </c>
      <c r="B58" s="35">
        <v>0</v>
      </c>
      <c r="C58" s="35">
        <v>0</v>
      </c>
      <c r="D58" s="35">
        <v>0</v>
      </c>
      <c r="E58" s="35">
        <v>0</v>
      </c>
      <c r="F58" s="33">
        <v>0</v>
      </c>
      <c r="G58" s="35">
        <v>0</v>
      </c>
      <c r="H58" s="36">
        <v>0</v>
      </c>
      <c r="I58" s="31"/>
      <c r="J58" s="72"/>
      <c r="K58" s="72"/>
      <c r="L58" s="72"/>
      <c r="M58" s="72"/>
      <c r="N58" s="72"/>
      <c r="O58" s="72"/>
      <c r="P58" s="31"/>
      <c r="Q58" s="31"/>
      <c r="R58" s="67"/>
      <c r="S58" s="67"/>
      <c r="T58" s="31"/>
    </row>
    <row r="59" spans="1:20" ht="12.75">
      <c r="A59" s="38" t="s">
        <v>28</v>
      </c>
      <c r="B59" s="19">
        <v>0</v>
      </c>
      <c r="C59" s="19">
        <v>0</v>
      </c>
      <c r="D59" s="19">
        <v>0</v>
      </c>
      <c r="E59" s="19">
        <v>0</v>
      </c>
      <c r="F59" s="20">
        <v>0</v>
      </c>
      <c r="G59" s="19">
        <v>0</v>
      </c>
      <c r="H59" s="29">
        <v>0</v>
      </c>
      <c r="I59" s="31"/>
      <c r="J59" s="72"/>
      <c r="K59" s="72"/>
      <c r="L59" s="72"/>
      <c r="M59" s="72"/>
      <c r="N59" s="72"/>
      <c r="O59" s="72"/>
      <c r="P59" s="31"/>
      <c r="Q59" s="31"/>
      <c r="R59" s="67"/>
      <c r="S59" s="67"/>
      <c r="T59" s="31"/>
    </row>
    <row r="60" spans="1:20" ht="12.75">
      <c r="A60" s="38" t="s">
        <v>29</v>
      </c>
      <c r="B60" s="22">
        <v>0</v>
      </c>
      <c r="C60" s="22">
        <v>0</v>
      </c>
      <c r="D60" s="22">
        <v>0</v>
      </c>
      <c r="E60" s="22">
        <v>0</v>
      </c>
      <c r="F60" s="23">
        <v>0</v>
      </c>
      <c r="G60" s="22">
        <v>0</v>
      </c>
      <c r="H60" s="30">
        <v>0</v>
      </c>
      <c r="I60" s="31"/>
      <c r="J60" s="72"/>
      <c r="K60" s="72"/>
      <c r="L60" s="72"/>
      <c r="M60" s="72"/>
      <c r="N60" s="72"/>
      <c r="O60" s="72"/>
      <c r="P60" s="31"/>
      <c r="Q60" s="31"/>
      <c r="R60" s="67"/>
      <c r="S60" s="67"/>
      <c r="T60" s="31"/>
    </row>
    <row r="61" spans="10:13" ht="12.75">
      <c r="J61" s="2"/>
      <c r="L61" s="7"/>
      <c r="M61" s="11"/>
    </row>
    <row r="62" spans="2:19" ht="12.75">
      <c r="B62" s="42" t="s">
        <v>135</v>
      </c>
      <c r="J62" s="7"/>
      <c r="K62" s="7"/>
      <c r="L62" s="7"/>
      <c r="M62" s="7"/>
      <c r="N62" s="12"/>
      <c r="O62" s="11"/>
      <c r="S62" s="11"/>
    </row>
    <row r="63" spans="1:21" ht="12.75">
      <c r="A63" s="7" t="s">
        <v>26</v>
      </c>
      <c r="B63" s="31">
        <f>F$26*E$56</f>
        <v>183470.920369</v>
      </c>
      <c r="C63" s="7">
        <f>B63/E$56</f>
        <v>1.521179</v>
      </c>
      <c r="D63" s="7">
        <f>B63*1000/(E$56*365*F$29)</f>
        <v>0.5883966820034077</v>
      </c>
      <c r="E63" s="7">
        <f>E$56</f>
        <v>120611</v>
      </c>
      <c r="F63" s="31">
        <f>B63*$F$27</f>
        <v>9692034.839412794</v>
      </c>
      <c r="G63" s="7">
        <f>F63/E$56</f>
        <v>80.357801854</v>
      </c>
      <c r="H63" s="8">
        <f>F$27</f>
        <v>52.826</v>
      </c>
      <c r="J63" s="40"/>
      <c r="K63" s="67"/>
      <c r="L63" s="31"/>
      <c r="M63" s="67"/>
      <c r="N63" s="9"/>
      <c r="O63" s="9"/>
      <c r="P63" s="9"/>
      <c r="Q63" s="9"/>
      <c r="R63" s="12"/>
      <c r="S63" s="12"/>
      <c r="T63" s="11"/>
      <c r="U63" s="11"/>
    </row>
    <row r="64" spans="1:19" ht="12.75">
      <c r="A64" t="s">
        <v>27</v>
      </c>
      <c r="B64" s="33"/>
      <c r="C64" s="33"/>
      <c r="D64" s="33"/>
      <c r="E64" s="33"/>
      <c r="F64" s="33"/>
      <c r="G64" s="33"/>
      <c r="H64" s="8"/>
      <c r="J64" s="40"/>
      <c r="K64" s="67"/>
      <c r="L64" s="31"/>
      <c r="M64" s="67"/>
      <c r="N64" s="9"/>
      <c r="O64" s="9"/>
      <c r="P64" s="9"/>
      <c r="Q64" s="9"/>
      <c r="R64" s="12"/>
      <c r="S64" s="12"/>
    </row>
    <row r="65" spans="1:19" ht="12.75">
      <c r="A65" t="s">
        <v>28</v>
      </c>
      <c r="B65" s="20"/>
      <c r="C65" s="20"/>
      <c r="D65" s="20"/>
      <c r="E65" s="20"/>
      <c r="F65" s="20"/>
      <c r="G65" s="20"/>
      <c r="H65" s="8"/>
      <c r="J65" s="40"/>
      <c r="K65" s="67"/>
      <c r="L65" s="31"/>
      <c r="M65" s="67"/>
      <c r="N65" s="9"/>
      <c r="O65" s="9"/>
      <c r="P65" s="9"/>
      <c r="Q65" s="9"/>
      <c r="R65" s="12"/>
      <c r="S65" s="12"/>
    </row>
    <row r="66" spans="1:21" ht="12.75">
      <c r="A66" t="s">
        <v>29</v>
      </c>
      <c r="B66" s="23"/>
      <c r="C66" s="23"/>
      <c r="D66" s="23"/>
      <c r="E66" s="23"/>
      <c r="F66" s="23"/>
      <c r="G66" s="23"/>
      <c r="H66" s="8"/>
      <c r="J66" s="40"/>
      <c r="K66" s="67"/>
      <c r="L66" s="8"/>
      <c r="M66" s="8"/>
      <c r="N66" s="8"/>
      <c r="O66" s="8"/>
      <c r="P66" s="8"/>
      <c r="Q66" s="7"/>
      <c r="R66" s="11"/>
      <c r="S66" s="11"/>
      <c r="T66" s="11"/>
      <c r="U66" s="11"/>
    </row>
    <row r="67" spans="2:19" ht="12.75">
      <c r="B67" s="42" t="s">
        <v>30</v>
      </c>
      <c r="F67" s="7"/>
      <c r="G67" s="7"/>
      <c r="H67" s="8"/>
      <c r="L67" s="8"/>
      <c r="M67" s="8"/>
      <c r="N67" s="8"/>
      <c r="O67" s="8"/>
      <c r="P67" s="8"/>
      <c r="Q67" s="7"/>
      <c r="R67" s="11"/>
      <c r="S67" s="11"/>
    </row>
    <row r="68" spans="1:19" ht="12.75">
      <c r="A68" s="7" t="s">
        <v>26</v>
      </c>
      <c r="B68" s="31">
        <f>E68*F$24</f>
        <v>1632497.856011132</v>
      </c>
      <c r="C68" s="7">
        <f>B68/E$56</f>
        <v>13.5352319109462</v>
      </c>
      <c r="D68" s="7">
        <f>B68*1000/(E$56*365*F$29)</f>
        <v>5.235469031946528</v>
      </c>
      <c r="E68" s="7">
        <f>E$56</f>
        <v>120611</v>
      </c>
      <c r="F68" s="31">
        <f>B68*$F$26</f>
        <v>2483321.4561091578</v>
      </c>
      <c r="G68" s="7">
        <f>F68/E$56</f>
        <v>20.589510543061227</v>
      </c>
      <c r="H68" s="39">
        <f>$F$26</f>
        <v>1.521179</v>
      </c>
      <c r="K68" s="11"/>
      <c r="L68" s="8"/>
      <c r="M68" s="8"/>
      <c r="N68" s="8"/>
      <c r="O68" s="8"/>
      <c r="P68" s="8"/>
      <c r="Q68" s="7"/>
      <c r="R68" s="11"/>
      <c r="S68" s="11"/>
    </row>
    <row r="69" spans="1:20" ht="12.75">
      <c r="A69" t="s">
        <v>27</v>
      </c>
      <c r="B69" s="33"/>
      <c r="C69" s="33"/>
      <c r="D69" s="33"/>
      <c r="E69" s="33"/>
      <c r="F69" s="33"/>
      <c r="G69" s="33"/>
      <c r="K69" s="11"/>
      <c r="L69" s="7"/>
      <c r="M69" s="11"/>
      <c r="N69" s="11"/>
      <c r="O69" s="11"/>
      <c r="T69" s="11"/>
    </row>
    <row r="70" spans="1:15" ht="12.75">
      <c r="A70" t="s">
        <v>28</v>
      </c>
      <c r="B70" s="20"/>
      <c r="C70" s="20"/>
      <c r="D70" s="20"/>
      <c r="E70" s="20"/>
      <c r="F70" s="20"/>
      <c r="G70" s="20"/>
      <c r="K70" s="11"/>
      <c r="L70" s="7"/>
      <c r="M70" s="11"/>
      <c r="N70" s="11"/>
      <c r="O70" s="11"/>
    </row>
    <row r="71" spans="1:15" ht="12.75">
      <c r="A71" t="s">
        <v>29</v>
      </c>
      <c r="B71" s="23"/>
      <c r="C71" s="23"/>
      <c r="D71" s="23"/>
      <c r="E71" s="23"/>
      <c r="F71" s="23"/>
      <c r="G71" s="23"/>
      <c r="N71" s="11"/>
      <c r="O71" s="11"/>
    </row>
    <row r="72" spans="2:15" ht="12.75">
      <c r="B72" s="42" t="s">
        <v>150</v>
      </c>
      <c r="N72" s="7"/>
      <c r="O72" s="11"/>
    </row>
    <row r="73" spans="1:15" ht="12.75">
      <c r="A73" s="7" t="s">
        <v>26</v>
      </c>
      <c r="B73" s="7">
        <f>B63+B68</f>
        <v>1815968.776380132</v>
      </c>
      <c r="C73" s="7">
        <f>B73/E$56</f>
        <v>15.056410910946198</v>
      </c>
      <c r="D73" s="7">
        <f>B73*1000/(E$56*365*$F$29)</f>
        <v>5.823865713949935</v>
      </c>
      <c r="E73" s="7">
        <f>E$56</f>
        <v>120611</v>
      </c>
      <c r="F73" s="7">
        <f>F63+F68</f>
        <v>12175356.295521952</v>
      </c>
      <c r="G73" s="7">
        <f>G63+G68</f>
        <v>100.94731239706122</v>
      </c>
      <c r="N73" s="31"/>
      <c r="O73" s="11"/>
    </row>
    <row r="74" spans="1:15" ht="12.75">
      <c r="A74" t="s">
        <v>27</v>
      </c>
      <c r="B74" s="33"/>
      <c r="C74" s="33"/>
      <c r="D74" s="33"/>
      <c r="E74" s="33"/>
      <c r="F74" s="33"/>
      <c r="G74" s="33"/>
      <c r="N74" s="31"/>
      <c r="O74" s="11"/>
    </row>
    <row r="75" spans="1:15" ht="12.75">
      <c r="A75" t="s">
        <v>28</v>
      </c>
      <c r="B75" s="20"/>
      <c r="C75" s="20"/>
      <c r="D75" s="20"/>
      <c r="E75" s="20"/>
      <c r="F75" s="20"/>
      <c r="G75" s="20"/>
      <c r="N75" s="31"/>
      <c r="O75" s="11"/>
    </row>
    <row r="76" spans="1:15" ht="12.75">
      <c r="A76" t="s">
        <v>29</v>
      </c>
      <c r="B76" s="23"/>
      <c r="C76" s="23"/>
      <c r="D76" s="23"/>
      <c r="E76" s="23"/>
      <c r="F76" s="23"/>
      <c r="G76" s="23"/>
      <c r="L76" s="7"/>
      <c r="M76" s="7"/>
      <c r="N76" s="11"/>
      <c r="O76" s="11"/>
    </row>
    <row r="77" spans="2:15" ht="12.75">
      <c r="B77" s="42" t="s">
        <v>143</v>
      </c>
      <c r="L77" s="7"/>
      <c r="M77" s="7"/>
      <c r="N77" s="11"/>
      <c r="O77" s="11"/>
    </row>
    <row r="78" spans="1:7" ht="12.75">
      <c r="A78" s="7" t="s">
        <v>26</v>
      </c>
      <c r="B78" s="7">
        <f>B73+B56</f>
        <v>19416296.776380133</v>
      </c>
      <c r="C78" s="7">
        <f>B78/E$56</f>
        <v>160.9828023677785</v>
      </c>
      <c r="D78" s="7">
        <f>B78*1000/(E$56*365*$F$29)</f>
        <v>62.268639504496974</v>
      </c>
      <c r="E78" s="7">
        <f>E$56</f>
        <v>120611</v>
      </c>
      <c r="F78" s="7">
        <f>F56+F73</f>
        <v>16049438.295521952</v>
      </c>
      <c r="G78" s="7">
        <f>F78/E$56</f>
        <v>133.06778233761392</v>
      </c>
    </row>
    <row r="79" spans="1:7" ht="12.75">
      <c r="A79" t="s">
        <v>27</v>
      </c>
      <c r="B79" s="33"/>
      <c r="C79" s="33"/>
      <c r="D79" s="33"/>
      <c r="E79" s="33"/>
      <c r="F79" s="33"/>
      <c r="G79" s="33"/>
    </row>
    <row r="80" spans="1:7" ht="12.75">
      <c r="A80" t="s">
        <v>28</v>
      </c>
      <c r="B80" s="20"/>
      <c r="C80" s="20"/>
      <c r="D80" s="20"/>
      <c r="E80" s="20"/>
      <c r="F80" s="20"/>
      <c r="G80" s="20"/>
    </row>
    <row r="81" spans="1:7" ht="12.75">
      <c r="A81" t="s">
        <v>29</v>
      </c>
      <c r="B81" s="23"/>
      <c r="C81" s="23"/>
      <c r="D81" s="23"/>
      <c r="E81" s="23"/>
      <c r="F81" s="23"/>
      <c r="G81" s="23"/>
    </row>
    <row r="82" ht="12.75"/>
    <row r="83" spans="1:9" ht="12.75">
      <c r="A83" s="46"/>
      <c r="B83" s="46"/>
      <c r="C83" s="46"/>
      <c r="D83" s="46"/>
      <c r="E83" s="46"/>
      <c r="F83" s="47"/>
      <c r="G83" s="47"/>
      <c r="H83" s="28"/>
      <c r="I83" s="28"/>
    </row>
    <row r="84" ht="12.75">
      <c r="A84" s="9" t="s">
        <v>4</v>
      </c>
    </row>
    <row r="85" ht="12.75">
      <c r="A85" s="7" t="s">
        <v>290</v>
      </c>
    </row>
    <row r="86" spans="1:8" ht="12.75">
      <c r="A86" s="7">
        <f>E122*E126</f>
        <v>686884.2982714683</v>
      </c>
      <c r="B86" s="63" t="s">
        <v>363</v>
      </c>
      <c r="H86" s="80" t="s">
        <v>364</v>
      </c>
    </row>
    <row r="87" spans="1:7" ht="12.75">
      <c r="A87" s="63" t="s">
        <v>365</v>
      </c>
      <c r="F87" s="7">
        <f>E122</f>
        <v>700061.4217466069</v>
      </c>
      <c r="G87" s="3" t="s">
        <v>238</v>
      </c>
    </row>
    <row r="88" spans="1:14" ht="12.75">
      <c r="A88" s="41" t="s">
        <v>63</v>
      </c>
      <c r="H88" s="13" t="s">
        <v>57</v>
      </c>
      <c r="I88" s="28"/>
      <c r="K88" s="1"/>
      <c r="L88" s="9"/>
      <c r="M88" s="9"/>
      <c r="N88" s="12"/>
    </row>
    <row r="89" spans="1:14" ht="12.75">
      <c r="A89" s="10" t="s">
        <v>56</v>
      </c>
      <c r="B89" s="9" t="s">
        <v>53</v>
      </c>
      <c r="C89" s="9" t="s">
        <v>52</v>
      </c>
      <c r="D89" s="9" t="s">
        <v>51</v>
      </c>
      <c r="E89" s="9" t="s">
        <v>54</v>
      </c>
      <c r="F89" s="9" t="s">
        <v>55</v>
      </c>
      <c r="H89" s="103">
        <v>-2010</v>
      </c>
      <c r="I89" s="28"/>
      <c r="K89" s="1"/>
      <c r="L89" s="9"/>
      <c r="M89" s="9"/>
      <c r="N89" s="12"/>
    </row>
    <row r="90" spans="1:14" ht="12.75">
      <c r="A90" s="9">
        <f>B$92</f>
        <v>14151425.525217257</v>
      </c>
      <c r="B90" s="9">
        <f>$A$86</f>
        <v>686884.2982714683</v>
      </c>
      <c r="C90" s="9">
        <f>B90*(1+$E$119)^G90</f>
        <v>686884.2982714683</v>
      </c>
      <c r="D90" s="9">
        <f>(C90-B90)/6</f>
        <v>0</v>
      </c>
      <c r="E90" s="9">
        <f>C$175*D90</f>
        <v>0</v>
      </c>
      <c r="F90" s="7">
        <f>(C90/$F$29)*$G$33</f>
        <v>15611543.023883382</v>
      </c>
      <c r="G90">
        <v>0</v>
      </c>
      <c r="I90" s="28"/>
      <c r="K90" s="1"/>
      <c r="L90" s="9"/>
      <c r="M90" s="9"/>
      <c r="N90" s="9"/>
    </row>
    <row r="91" spans="1:9" ht="12.75">
      <c r="A91" s="9"/>
      <c r="B91" s="42" t="s">
        <v>35</v>
      </c>
      <c r="C91" s="7" t="s">
        <v>69</v>
      </c>
      <c r="D91" s="7" t="s">
        <v>65</v>
      </c>
      <c r="E91" s="7" t="s">
        <v>71</v>
      </c>
      <c r="F91" s="7" t="s">
        <v>70</v>
      </c>
      <c r="G91" s="7" t="s">
        <v>68</v>
      </c>
      <c r="H91" s="13" t="s">
        <v>67</v>
      </c>
      <c r="I91" s="28"/>
    </row>
    <row r="92" spans="1:14" ht="12.75">
      <c r="A92" s="7" t="s">
        <v>26</v>
      </c>
      <c r="B92" s="7">
        <f>E92*C92</f>
        <v>14151425.525217257</v>
      </c>
      <c r="C92" s="7">
        <f>C$56</f>
        <v>145.9263914568323</v>
      </c>
      <c r="D92" s="7">
        <f>D$56</f>
        <v>56.44477379054703</v>
      </c>
      <c r="E92" s="7">
        <f>B90/$F$29</f>
        <v>96976.46453077343</v>
      </c>
      <c r="F92" s="7">
        <f>E92*G92</f>
        <v>3114929.613901782</v>
      </c>
      <c r="G92" s="7">
        <f>G$56</f>
        <v>32.12046994055269</v>
      </c>
      <c r="H92" s="13">
        <f>H$56</f>
        <v>0.23</v>
      </c>
      <c r="I92" s="28"/>
      <c r="L92" s="7"/>
      <c r="M92" s="7"/>
      <c r="N92" s="7"/>
    </row>
    <row r="93" spans="1:14" ht="12.75">
      <c r="A93" t="s">
        <v>27</v>
      </c>
      <c r="B93" s="33">
        <f>B92*B$17</f>
        <v>849452.1966633156</v>
      </c>
      <c r="C93" s="33">
        <f>C$58</f>
        <v>0</v>
      </c>
      <c r="D93" s="33">
        <f>D$58</f>
        <v>0</v>
      </c>
      <c r="E93" s="33">
        <f>B$4*E92</f>
        <v>5821.100543794363</v>
      </c>
      <c r="F93" s="33">
        <f>E93*G93</f>
        <v>0</v>
      </c>
      <c r="G93" s="32">
        <f>G$58</f>
        <v>0</v>
      </c>
      <c r="H93" s="36">
        <f>H$58</f>
        <v>0</v>
      </c>
      <c r="I93" s="28"/>
      <c r="K93" s="67"/>
      <c r="L93" s="31"/>
      <c r="M93" s="31"/>
      <c r="N93" s="31"/>
    </row>
    <row r="94" spans="1:14" ht="12.75">
      <c r="A94" t="s">
        <v>28</v>
      </c>
      <c r="B94" s="20">
        <f>B92*B$18</f>
        <v>4475219.217591795</v>
      </c>
      <c r="C94" s="20">
        <f>C$59</f>
        <v>0</v>
      </c>
      <c r="D94" s="20">
        <f>D$59</f>
        <v>0</v>
      </c>
      <c r="E94" s="20">
        <f>B$5*E92</f>
        <v>30667.648071840704</v>
      </c>
      <c r="F94" s="20">
        <f>E94*G94</f>
        <v>0</v>
      </c>
      <c r="G94" s="25">
        <f>G$59</f>
        <v>0</v>
      </c>
      <c r="H94" s="29">
        <f>H$59</f>
        <v>0</v>
      </c>
      <c r="I94" s="28"/>
      <c r="K94" s="67"/>
      <c r="L94" s="31"/>
      <c r="M94" s="31"/>
      <c r="N94" s="31"/>
    </row>
    <row r="95" spans="1:14" ht="12.75">
      <c r="A95" t="s">
        <v>29</v>
      </c>
      <c r="B95" s="23">
        <f>B92*B$19</f>
        <v>8826754.110962145</v>
      </c>
      <c r="C95" s="23">
        <f>C$60</f>
        <v>0</v>
      </c>
      <c r="D95" s="23">
        <f>D$60</f>
        <v>0</v>
      </c>
      <c r="E95" s="23">
        <f>B$6*E92</f>
        <v>60487.71591513835</v>
      </c>
      <c r="F95" s="23">
        <f>E95*G95</f>
        <v>0</v>
      </c>
      <c r="G95" s="26">
        <f>G$60</f>
        <v>0</v>
      </c>
      <c r="H95" s="30">
        <f>H$60</f>
        <v>0</v>
      </c>
      <c r="I95" s="28"/>
      <c r="K95" s="67"/>
      <c r="L95" s="31"/>
      <c r="M95" s="31"/>
      <c r="N95" s="31"/>
    </row>
    <row r="96" spans="2:9" ht="12.75">
      <c r="B96" s="42" t="s">
        <v>135</v>
      </c>
      <c r="I96" s="28"/>
    </row>
    <row r="97" spans="1:9" ht="12.75">
      <c r="A97" s="7" t="s">
        <v>26</v>
      </c>
      <c r="B97" s="7">
        <f>E97*$F$26</f>
        <v>147518.5613384574</v>
      </c>
      <c r="C97" s="7">
        <f>B97/E97</f>
        <v>1.521179</v>
      </c>
      <c r="D97" s="31">
        <f>C97*1000/(365*$F$29)</f>
        <v>0.5883966820034078</v>
      </c>
      <c r="E97" s="7">
        <f>B90/$F$29</f>
        <v>96976.46453077343</v>
      </c>
      <c r="F97" s="7">
        <f>H$97*B97</f>
        <v>7792815.52126535</v>
      </c>
      <c r="G97">
        <f>F97/E97</f>
        <v>80.357801854</v>
      </c>
      <c r="H97" s="8">
        <f>$F$27</f>
        <v>52.826</v>
      </c>
      <c r="I97" s="28"/>
    </row>
    <row r="98" spans="1:10" ht="12.75">
      <c r="A98" t="s">
        <v>27</v>
      </c>
      <c r="B98" s="33"/>
      <c r="C98" s="33"/>
      <c r="D98" s="33"/>
      <c r="E98" s="33"/>
      <c r="F98" s="33"/>
      <c r="G98" s="32"/>
      <c r="H98" s="36"/>
      <c r="I98" s="28"/>
      <c r="J98" s="7"/>
    </row>
    <row r="99" spans="1:9" ht="12.75">
      <c r="A99" t="s">
        <v>28</v>
      </c>
      <c r="B99" s="20"/>
      <c r="C99" s="20"/>
      <c r="D99" s="20"/>
      <c r="E99" s="20"/>
      <c r="F99" s="20"/>
      <c r="G99" s="25"/>
      <c r="H99" s="29"/>
      <c r="I99" s="28"/>
    </row>
    <row r="100" spans="1:9" ht="12.75">
      <c r="A100" t="s">
        <v>29</v>
      </c>
      <c r="B100" s="23"/>
      <c r="C100" s="23"/>
      <c r="D100" s="23"/>
      <c r="E100" s="23"/>
      <c r="F100" s="23"/>
      <c r="G100" s="26"/>
      <c r="H100" s="30"/>
      <c r="I100" s="28"/>
    </row>
    <row r="101" spans="2:9" ht="12.75">
      <c r="B101" s="42" t="s">
        <v>30</v>
      </c>
      <c r="I101" s="28"/>
    </row>
    <row r="102" spans="1:9" ht="12.75">
      <c r="A102" s="7" t="s">
        <v>26</v>
      </c>
      <c r="B102" s="7">
        <f>E102*$F$24</f>
        <v>1312598.937327667</v>
      </c>
      <c r="C102" s="7">
        <f>B102/E102</f>
        <v>13.5352319109462</v>
      </c>
      <c r="D102" s="7">
        <f>C102*1000/(365*$F$29)</f>
        <v>5.235469031946528</v>
      </c>
      <c r="E102" s="7">
        <f>B90/$F$29</f>
        <v>96976.46453077343</v>
      </c>
      <c r="F102" s="7">
        <f>H$102*B102</f>
        <v>5250395.749310668</v>
      </c>
      <c r="G102" s="8">
        <f>F102/E102</f>
        <v>54.1409276437848</v>
      </c>
      <c r="H102" s="39">
        <f>$F$28</f>
        <v>4</v>
      </c>
      <c r="I102" s="28"/>
    </row>
    <row r="103" spans="1:9" ht="12.75">
      <c r="A103" t="s">
        <v>27</v>
      </c>
      <c r="B103" s="33"/>
      <c r="C103" s="33"/>
      <c r="D103" s="33"/>
      <c r="E103" s="33"/>
      <c r="F103" s="33"/>
      <c r="G103" s="32"/>
      <c r="H103" s="36"/>
      <c r="I103" s="28"/>
    </row>
    <row r="104" spans="1:9" ht="12.75">
      <c r="A104" t="s">
        <v>28</v>
      </c>
      <c r="B104" s="20"/>
      <c r="C104" s="20"/>
      <c r="D104" s="20"/>
      <c r="E104" s="20"/>
      <c r="F104" s="20"/>
      <c r="G104" s="25"/>
      <c r="H104" s="29"/>
      <c r="I104" s="28"/>
    </row>
    <row r="105" spans="1:9" ht="12.75">
      <c r="A105" t="s">
        <v>29</v>
      </c>
      <c r="B105" s="23"/>
      <c r="C105" s="23"/>
      <c r="D105" s="23"/>
      <c r="E105" s="23"/>
      <c r="F105" s="23"/>
      <c r="G105" s="26"/>
      <c r="H105" s="30"/>
      <c r="I105" s="28"/>
    </row>
    <row r="106" spans="2:9" ht="12.75">
      <c r="B106" s="42" t="s">
        <v>143</v>
      </c>
      <c r="I106" s="28"/>
    </row>
    <row r="107" spans="1:10" ht="12.75">
      <c r="A107" s="7" t="s">
        <v>26</v>
      </c>
      <c r="B107" s="7">
        <f>B92+B97+B102</f>
        <v>15611543.023883382</v>
      </c>
      <c r="C107" s="7">
        <f>B107/E107</f>
        <v>160.9828023677785</v>
      </c>
      <c r="D107" s="7">
        <f>C107*1000/(365*$F$29)</f>
        <v>62.26863950449697</v>
      </c>
      <c r="E107" s="7">
        <f>B90/$F$29</f>
        <v>96976.46453077343</v>
      </c>
      <c r="F107" s="7">
        <f>F92+F97+F102</f>
        <v>16158140.884477802</v>
      </c>
      <c r="G107" s="8">
        <f>F107/E107</f>
        <v>166.61919943833752</v>
      </c>
      <c r="I107" s="28"/>
      <c r="J107" s="7"/>
    </row>
    <row r="108" spans="1:10" ht="12.75">
      <c r="A108" t="s">
        <v>27</v>
      </c>
      <c r="B108" s="33"/>
      <c r="C108" s="33"/>
      <c r="D108" s="33"/>
      <c r="E108" s="33"/>
      <c r="F108" s="33"/>
      <c r="G108" s="32"/>
      <c r="H108" s="36"/>
      <c r="I108" s="28"/>
      <c r="J108" s="7"/>
    </row>
    <row r="109" spans="1:10" ht="12.75">
      <c r="A109" t="s">
        <v>28</v>
      </c>
      <c r="B109" s="20"/>
      <c r="C109" s="20"/>
      <c r="D109" s="20"/>
      <c r="E109" s="20"/>
      <c r="F109" s="20"/>
      <c r="G109" s="25"/>
      <c r="H109" s="29"/>
      <c r="I109" s="28"/>
      <c r="J109" s="7"/>
    </row>
    <row r="110" spans="1:10" ht="12.75">
      <c r="A110" t="s">
        <v>29</v>
      </c>
      <c r="B110" s="23"/>
      <c r="C110" s="23"/>
      <c r="D110" s="23"/>
      <c r="E110" s="23"/>
      <c r="F110" s="23"/>
      <c r="G110" s="26"/>
      <c r="H110" s="30"/>
      <c r="I110" s="28"/>
      <c r="J110" s="7"/>
    </row>
    <row r="111" spans="1:9" s="49" customFormat="1" ht="12.75">
      <c r="A111" s="50"/>
      <c r="B111" s="50"/>
      <c r="C111" s="50"/>
      <c r="D111" s="50"/>
      <c r="E111" s="50"/>
      <c r="H111" s="51"/>
      <c r="I111" s="28"/>
    </row>
    <row r="112" spans="1:9" s="49" customFormat="1" ht="12.75">
      <c r="A112" s="59"/>
      <c r="B112" s="43"/>
      <c r="C112" s="43"/>
      <c r="D112" s="43"/>
      <c r="E112" s="43"/>
      <c r="F112" s="44"/>
      <c r="G112" s="44"/>
      <c r="H112" s="45"/>
      <c r="I112" s="48"/>
    </row>
    <row r="113" spans="1:9" s="56" customFormat="1" ht="12.75">
      <c r="A113" s="27" t="s">
        <v>103</v>
      </c>
      <c r="B113" s="55"/>
      <c r="D113" s="55"/>
      <c r="G113" s="55"/>
      <c r="H113" s="57"/>
      <c r="I113" s="57"/>
    </row>
    <row r="114" spans="1:9" s="49" customFormat="1" ht="12.75">
      <c r="A114" s="52" t="s">
        <v>108</v>
      </c>
      <c r="F114" s="52"/>
      <c r="G114" s="52"/>
      <c r="H114" s="54"/>
      <c r="I114" s="54"/>
    </row>
    <row r="115" spans="1:9" s="49" customFormat="1" ht="12.75">
      <c r="A115" s="52" t="s">
        <v>5</v>
      </c>
      <c r="B115" s="52"/>
      <c r="C115" s="52"/>
      <c r="D115" s="52"/>
      <c r="E115" s="52"/>
      <c r="F115" s="53"/>
      <c r="G115" s="53"/>
      <c r="H115" s="54"/>
      <c r="I115" s="54"/>
    </row>
    <row r="116" spans="1:9" s="49" customFormat="1" ht="12.75">
      <c r="A116" s="52"/>
      <c r="B116" s="52"/>
      <c r="C116" s="52"/>
      <c r="D116" s="52"/>
      <c r="E116" s="52"/>
      <c r="F116" s="88"/>
      <c r="G116" s="53"/>
      <c r="H116" s="54"/>
      <c r="I116" s="54"/>
    </row>
    <row r="117" spans="1:9" s="49" customFormat="1" ht="12.75">
      <c r="A117" s="52" t="s">
        <v>6</v>
      </c>
      <c r="B117" s="52"/>
      <c r="C117" s="52"/>
      <c r="D117" s="52"/>
      <c r="E117" s="52"/>
      <c r="F117" s="52"/>
      <c r="G117" s="52"/>
      <c r="H117" s="52"/>
      <c r="I117" s="54"/>
    </row>
    <row r="118" spans="1:9" s="49" customFormat="1" ht="12.75">
      <c r="A118" s="91" t="s">
        <v>294</v>
      </c>
      <c r="B118" s="52"/>
      <c r="C118" s="52"/>
      <c r="D118" s="52"/>
      <c r="E118" s="52"/>
      <c r="F118" s="52"/>
      <c r="G118" s="52"/>
      <c r="H118" s="52"/>
      <c r="I118" s="54"/>
    </row>
    <row r="119" spans="1:7" s="49" customFormat="1" ht="12.75">
      <c r="A119" s="31" t="s">
        <v>152</v>
      </c>
      <c r="B119" s="52"/>
      <c r="C119" s="52"/>
      <c r="E119" s="88">
        <v>0.0325</v>
      </c>
      <c r="F119" s="53"/>
      <c r="G119" s="53" t="s">
        <v>459</v>
      </c>
    </row>
    <row r="120" spans="1:8" s="49" customFormat="1" ht="12.75">
      <c r="A120" s="31" t="s">
        <v>341</v>
      </c>
      <c r="B120" s="52"/>
      <c r="C120" s="52"/>
      <c r="E120" s="121">
        <f>643668/$E$123</f>
        <v>656683.3802124484</v>
      </c>
      <c r="F120" s="53"/>
      <c r="G120" s="82" t="s">
        <v>250</v>
      </c>
      <c r="H120" s="94"/>
    </row>
    <row r="121" spans="1:7" s="49" customFormat="1" ht="12.75">
      <c r="A121" s="77" t="s">
        <v>342</v>
      </c>
      <c r="B121" s="52"/>
      <c r="C121" s="52"/>
      <c r="E121" s="52">
        <f>E120*(1+E119)^21</f>
        <v>1285426.627101662</v>
      </c>
      <c r="F121" s="53"/>
      <c r="G121" s="38" t="s">
        <v>343</v>
      </c>
    </row>
    <row r="122" spans="1:7" s="49" customFormat="1" ht="12.75">
      <c r="A122" s="77" t="s">
        <v>286</v>
      </c>
      <c r="B122" s="52"/>
      <c r="C122" s="52"/>
      <c r="E122" s="52">
        <f>E120*(1+E119)^2</f>
        <v>700061.4217466069</v>
      </c>
      <c r="F122" s="53"/>
      <c r="G122" s="38" t="s">
        <v>343</v>
      </c>
    </row>
    <row r="123" spans="1:8" s="49" customFormat="1" ht="12.75">
      <c r="A123" s="77" t="s">
        <v>287</v>
      </c>
      <c r="B123" s="52"/>
      <c r="C123" s="52"/>
      <c r="E123" s="88">
        <f>854325/871600</f>
        <v>0.9801801284993116</v>
      </c>
      <c r="F123" s="53"/>
      <c r="G123" s="82" t="s">
        <v>250</v>
      </c>
      <c r="H123" s="94"/>
    </row>
    <row r="124" spans="1:8" s="49" customFormat="1" ht="12.75">
      <c r="A124" s="77" t="s">
        <v>344</v>
      </c>
      <c r="B124" s="52"/>
      <c r="C124" s="52"/>
      <c r="E124" s="88">
        <v>0.9907</v>
      </c>
      <c r="F124" s="53"/>
      <c r="G124" s="82" t="s">
        <v>250</v>
      </c>
      <c r="H124" s="94"/>
    </row>
    <row r="125" spans="1:7" s="49" customFormat="1" ht="12.75">
      <c r="A125" s="38" t="s">
        <v>288</v>
      </c>
      <c r="B125" s="52"/>
      <c r="C125" s="52"/>
      <c r="E125" s="88">
        <f>((E124/E123)^(1/21)-1)</f>
        <v>0.0005084818337108832</v>
      </c>
      <c r="F125" s="53"/>
      <c r="G125" s="38" t="s">
        <v>343</v>
      </c>
    </row>
    <row r="126" spans="1:7" s="49" customFormat="1" ht="12.75">
      <c r="A126" s="77" t="s">
        <v>289</v>
      </c>
      <c r="B126" s="52"/>
      <c r="C126" s="52"/>
      <c r="E126" s="89">
        <f>E123*(1+E125)^2</f>
        <v>0.9811771895067969</v>
      </c>
      <c r="F126" s="53"/>
      <c r="G126" s="38" t="s">
        <v>343</v>
      </c>
    </row>
    <row r="127" spans="1:10" s="49" customFormat="1" ht="12.75">
      <c r="A127" s="91" t="s">
        <v>295</v>
      </c>
      <c r="B127" s="52"/>
      <c r="C127" s="52"/>
      <c r="F127" s="53"/>
      <c r="G127" s="53"/>
      <c r="J127" s="89">
        <f>(E128-J129)/2</f>
        <v>0.183</v>
      </c>
    </row>
    <row r="128" spans="1:8" s="49" customFormat="1" ht="12.75">
      <c r="A128" s="77" t="s">
        <v>332</v>
      </c>
      <c r="B128" s="52"/>
      <c r="C128" s="52"/>
      <c r="E128" s="126">
        <v>0.504</v>
      </c>
      <c r="F128" s="40" t="s">
        <v>494</v>
      </c>
      <c r="G128" s="82" t="s">
        <v>250</v>
      </c>
      <c r="H128" s="94"/>
    </row>
    <row r="129" spans="1:10" s="49" customFormat="1" ht="12.75">
      <c r="A129" s="77" t="s">
        <v>296</v>
      </c>
      <c r="B129" s="52"/>
      <c r="C129" s="52"/>
      <c r="D129" s="52"/>
      <c r="E129" s="58">
        <f>E128*(1+E131)^2</f>
        <v>0.5070534601006181</v>
      </c>
      <c r="F129" s="40" t="s">
        <v>494</v>
      </c>
      <c r="G129" s="38" t="s">
        <v>343</v>
      </c>
      <c r="H129" s="53"/>
      <c r="J129" s="250">
        <v>0.138</v>
      </c>
    </row>
    <row r="130" spans="1:8" s="49" customFormat="1" ht="12.75">
      <c r="A130" s="77" t="s">
        <v>297</v>
      </c>
      <c r="B130" s="52"/>
      <c r="C130" s="52"/>
      <c r="D130" s="52"/>
      <c r="E130" s="58">
        <v>0.537</v>
      </c>
      <c r="F130" s="40" t="s">
        <v>494</v>
      </c>
      <c r="G130" s="82" t="s">
        <v>250</v>
      </c>
      <c r="H130" s="94"/>
    </row>
    <row r="131" spans="1:10" s="49" customFormat="1" ht="12.75">
      <c r="A131" s="77" t="s">
        <v>340</v>
      </c>
      <c r="B131" s="52"/>
      <c r="C131" s="52"/>
      <c r="D131" s="52"/>
      <c r="E131" s="58">
        <f>((E130/E128)^(1/21))-1</f>
        <v>0.003024652030343411</v>
      </c>
      <c r="F131" s="40" t="s">
        <v>494</v>
      </c>
      <c r="G131" s="38" t="s">
        <v>343</v>
      </c>
      <c r="H131" s="53"/>
      <c r="J131" s="250">
        <v>0.124</v>
      </c>
    </row>
    <row r="132" spans="1:8" s="49" customFormat="1" ht="12.75">
      <c r="A132" s="77" t="s">
        <v>334</v>
      </c>
      <c r="B132" s="77"/>
      <c r="C132" s="52"/>
      <c r="D132" s="52"/>
      <c r="E132" s="58">
        <v>0.071</v>
      </c>
      <c r="F132" s="40" t="s">
        <v>494</v>
      </c>
      <c r="G132" s="82" t="s">
        <v>250</v>
      </c>
      <c r="H132" s="94"/>
    </row>
    <row r="133" spans="1:8" s="49" customFormat="1" ht="12.75">
      <c r="A133" s="77" t="s">
        <v>299</v>
      </c>
      <c r="B133" s="52"/>
      <c r="C133" s="52"/>
      <c r="D133" s="52"/>
      <c r="E133" s="58">
        <f>E132*(1+E135)^2</f>
        <v>0.07050792411371072</v>
      </c>
      <c r="F133" s="40" t="s">
        <v>494</v>
      </c>
      <c r="G133" s="38" t="s">
        <v>343</v>
      </c>
      <c r="H133" s="53"/>
    </row>
    <row r="134" spans="1:8" s="49" customFormat="1" ht="12.75">
      <c r="A134" s="77" t="s">
        <v>298</v>
      </c>
      <c r="B134" s="52"/>
      <c r="C134" s="52"/>
      <c r="D134" s="52"/>
      <c r="E134" s="58">
        <v>0.066</v>
      </c>
      <c r="F134" s="40" t="s">
        <v>494</v>
      </c>
      <c r="G134" s="82" t="s">
        <v>250</v>
      </c>
      <c r="H134" s="94"/>
    </row>
    <row r="135" spans="1:8" s="49" customFormat="1" ht="12.75">
      <c r="A135" s="77" t="s">
        <v>335</v>
      </c>
      <c r="B135" s="52"/>
      <c r="C135" s="52"/>
      <c r="D135" s="52"/>
      <c r="E135" s="58">
        <f>((E134/E132)^(1/21))-1</f>
        <v>-0.0034713482722960043</v>
      </c>
      <c r="F135" s="40" t="s">
        <v>494</v>
      </c>
      <c r="G135" s="38" t="s">
        <v>343</v>
      </c>
      <c r="H135" s="53"/>
    </row>
    <row r="136" spans="1:12" s="49" customFormat="1" ht="12.75">
      <c r="A136" s="77" t="s">
        <v>336</v>
      </c>
      <c r="B136" s="52"/>
      <c r="C136" s="52"/>
      <c r="D136" s="52"/>
      <c r="E136" s="250">
        <v>0.138</v>
      </c>
      <c r="F136" s="40" t="s">
        <v>333</v>
      </c>
      <c r="G136" s="82" t="s">
        <v>250</v>
      </c>
      <c r="H136" s="94"/>
      <c r="I136" s="96" t="s">
        <v>369</v>
      </c>
      <c r="J136" s="94"/>
      <c r="K136" s="94"/>
      <c r="L136" s="94"/>
    </row>
    <row r="137" spans="1:12" s="49" customFormat="1" ht="12.75">
      <c r="A137" s="77" t="s">
        <v>300</v>
      </c>
      <c r="B137" s="52"/>
      <c r="C137" s="52"/>
      <c r="D137" s="52"/>
      <c r="E137" s="58">
        <f>E136*(1+E139)^2</f>
        <v>0.1366012180827641</v>
      </c>
      <c r="F137" s="40" t="s">
        <v>333</v>
      </c>
      <c r="G137" s="38" t="s">
        <v>343</v>
      </c>
      <c r="H137" s="53"/>
      <c r="I137" s="96" t="s">
        <v>370</v>
      </c>
      <c r="J137" s="94"/>
      <c r="K137" s="94"/>
      <c r="L137" s="94"/>
    </row>
    <row r="138" spans="1:12" s="49" customFormat="1" ht="12.75">
      <c r="A138" s="77" t="s">
        <v>337</v>
      </c>
      <c r="B138" s="52"/>
      <c r="C138" s="52"/>
      <c r="D138" s="52"/>
      <c r="E138" s="250">
        <v>0.124</v>
      </c>
      <c r="F138" s="40" t="s">
        <v>333</v>
      </c>
      <c r="G138" s="82" t="s">
        <v>250</v>
      </c>
      <c r="H138" s="94"/>
      <c r="I138" s="101" t="s">
        <v>371</v>
      </c>
      <c r="J138" s="94"/>
      <c r="K138" s="94"/>
      <c r="L138" s="94"/>
    </row>
    <row r="139" spans="1:12" s="49" customFormat="1" ht="12.75">
      <c r="A139" s="77" t="s">
        <v>373</v>
      </c>
      <c r="B139" s="52"/>
      <c r="C139" s="52"/>
      <c r="D139" s="52"/>
      <c r="E139" s="58">
        <f>((E138/E136)^(1/21))-1</f>
        <v>-0.005080958494378618</v>
      </c>
      <c r="F139" s="40" t="s">
        <v>333</v>
      </c>
      <c r="G139" s="38" t="s">
        <v>343</v>
      </c>
      <c r="H139" s="54"/>
      <c r="I139" s="95" t="s">
        <v>493</v>
      </c>
      <c r="J139" s="94"/>
      <c r="K139" s="94"/>
      <c r="L139" s="94"/>
    </row>
    <row r="140" spans="1:12" s="49" customFormat="1" ht="12.75">
      <c r="A140" s="77" t="s">
        <v>338</v>
      </c>
      <c r="B140" s="52"/>
      <c r="C140" s="52"/>
      <c r="D140" s="52"/>
      <c r="E140" s="58">
        <v>0.067</v>
      </c>
      <c r="F140" s="40" t="s">
        <v>333</v>
      </c>
      <c r="G140" s="82" t="s">
        <v>250</v>
      </c>
      <c r="H140" s="94"/>
      <c r="I140" s="101" t="s">
        <v>372</v>
      </c>
      <c r="J140" s="94"/>
      <c r="K140" s="94"/>
      <c r="L140" s="94"/>
    </row>
    <row r="141" spans="1:12" s="49" customFormat="1" ht="12.75">
      <c r="A141" s="77" t="s">
        <v>301</v>
      </c>
      <c r="B141" s="52"/>
      <c r="C141" s="52"/>
      <c r="D141" s="52"/>
      <c r="E141" s="58">
        <f>E140*(1+E143)^2</f>
        <v>0.06718795173463127</v>
      </c>
      <c r="F141" s="40" t="s">
        <v>333</v>
      </c>
      <c r="G141" s="38" t="s">
        <v>343</v>
      </c>
      <c r="H141" s="54"/>
      <c r="I141" s="100"/>
      <c r="J141" s="94"/>
      <c r="K141" s="94"/>
      <c r="L141" s="94"/>
    </row>
    <row r="142" spans="1:9" s="49" customFormat="1" ht="12.75">
      <c r="A142" s="77" t="s">
        <v>385</v>
      </c>
      <c r="B142" s="52"/>
      <c r="C142" s="52"/>
      <c r="D142" s="52"/>
      <c r="E142" s="58">
        <v>0.069</v>
      </c>
      <c r="F142" s="40" t="s">
        <v>333</v>
      </c>
      <c r="G142" s="82" t="s">
        <v>250</v>
      </c>
      <c r="H142" s="94"/>
      <c r="I142" s="54"/>
    </row>
    <row r="143" spans="1:9" s="49" customFormat="1" ht="12.75">
      <c r="A143" s="77" t="s">
        <v>339</v>
      </c>
      <c r="B143" s="52"/>
      <c r="C143" s="52"/>
      <c r="D143" s="52"/>
      <c r="E143" s="58">
        <f>((E142/E140)^(1/21))-1</f>
        <v>0.0014016425843408342</v>
      </c>
      <c r="F143" s="40" t="s">
        <v>333</v>
      </c>
      <c r="G143" s="38" t="s">
        <v>343</v>
      </c>
      <c r="H143" s="54"/>
      <c r="I143" s="54"/>
    </row>
    <row r="144" spans="1:9" s="49" customFormat="1" ht="12.75">
      <c r="A144" s="31" t="s">
        <v>302</v>
      </c>
      <c r="B144" s="52"/>
      <c r="C144" s="52"/>
      <c r="D144" s="52"/>
      <c r="E144" s="58">
        <v>0.89</v>
      </c>
      <c r="F144" s="90"/>
      <c r="G144" s="82" t="s">
        <v>250</v>
      </c>
      <c r="H144" s="95"/>
      <c r="I144" s="54"/>
    </row>
    <row r="145" spans="1:9" s="49" customFormat="1" ht="12.75">
      <c r="A145" s="31" t="s">
        <v>272</v>
      </c>
      <c r="B145" s="52"/>
      <c r="C145" s="52"/>
      <c r="D145" s="52"/>
      <c r="E145" s="60">
        <v>0.5</v>
      </c>
      <c r="F145" s="53"/>
      <c r="G145" s="53"/>
      <c r="H145" s="54"/>
      <c r="I145" s="54"/>
    </row>
    <row r="146" spans="1:9" s="49" customFormat="1" ht="12.75">
      <c r="A146" s="31" t="s">
        <v>273</v>
      </c>
      <c r="B146" s="52"/>
      <c r="C146" s="52"/>
      <c r="D146" s="52"/>
      <c r="E146" s="52"/>
      <c r="F146" s="40"/>
      <c r="G146" s="53"/>
      <c r="H146" s="54"/>
      <c r="I146" s="54"/>
    </row>
    <row r="147" spans="1:9" s="49" customFormat="1" ht="12.75">
      <c r="A147" s="31" t="s">
        <v>274</v>
      </c>
      <c r="B147" s="52"/>
      <c r="C147" s="52"/>
      <c r="D147" s="52"/>
      <c r="E147" s="52"/>
      <c r="F147" s="40"/>
      <c r="G147" s="53"/>
      <c r="H147" s="54"/>
      <c r="I147" s="28"/>
    </row>
    <row r="148" spans="1:9" s="49" customFormat="1" ht="12.75">
      <c r="A148" s="31" t="s">
        <v>277</v>
      </c>
      <c r="B148" s="52"/>
      <c r="C148" s="52"/>
      <c r="D148" s="52"/>
      <c r="E148" s="52"/>
      <c r="F148" s="40"/>
      <c r="G148" s="53"/>
      <c r="H148" s="54"/>
      <c r="I148" s="28"/>
    </row>
    <row r="149" spans="1:9" s="49" customFormat="1" ht="12.75">
      <c r="A149" s="77" t="s">
        <v>367</v>
      </c>
      <c r="B149" s="52"/>
      <c r="C149" s="52"/>
      <c r="D149" s="52"/>
      <c r="E149" s="52"/>
      <c r="F149" s="40"/>
      <c r="G149" s="53"/>
      <c r="H149" s="54"/>
      <c r="I149" s="28"/>
    </row>
    <row r="150" spans="1:9" s="49" customFormat="1" ht="12.75">
      <c r="A150" s="77" t="s">
        <v>366</v>
      </c>
      <c r="B150" s="52"/>
      <c r="C150" s="52"/>
      <c r="D150" s="52"/>
      <c r="E150" s="52"/>
      <c r="F150" s="40"/>
      <c r="G150" s="53"/>
      <c r="H150" s="54"/>
      <c r="I150" s="28"/>
    </row>
    <row r="151" spans="1:9" s="49" customFormat="1" ht="12.75">
      <c r="A151" s="77"/>
      <c r="B151" s="52"/>
      <c r="C151" s="52"/>
      <c r="D151" s="52"/>
      <c r="E151" s="52"/>
      <c r="F151" s="40"/>
      <c r="G151" s="53"/>
      <c r="H151" s="54"/>
      <c r="I151" s="28"/>
    </row>
    <row r="152" spans="1:9" s="49" customFormat="1" ht="12.75">
      <c r="A152" s="31" t="s">
        <v>368</v>
      </c>
      <c r="B152" s="52"/>
      <c r="C152" s="52"/>
      <c r="D152" s="52"/>
      <c r="E152" s="52"/>
      <c r="F152" s="53"/>
      <c r="G152" s="53"/>
      <c r="H152" s="54"/>
      <c r="I152" s="54"/>
    </row>
    <row r="153" spans="1:9" s="49" customFormat="1" ht="12.75">
      <c r="A153" s="77" t="s">
        <v>374</v>
      </c>
      <c r="B153" s="52"/>
      <c r="C153" s="52"/>
      <c r="D153" s="52"/>
      <c r="E153" s="52"/>
      <c r="F153" s="53"/>
      <c r="G153" s="53"/>
      <c r="H153" s="54"/>
      <c r="I153" s="54"/>
    </row>
    <row r="154" spans="1:9" s="49" customFormat="1" ht="12.75">
      <c r="A154" s="31"/>
      <c r="B154" s="52"/>
      <c r="C154" s="52"/>
      <c r="D154" s="52"/>
      <c r="E154" s="52"/>
      <c r="F154" s="53"/>
      <c r="G154" s="53"/>
      <c r="H154" s="54"/>
      <c r="I154" s="54"/>
    </row>
    <row r="155" spans="1:9" s="49" customFormat="1" ht="12.75">
      <c r="A155" s="31"/>
      <c r="B155" s="52"/>
      <c r="C155" s="52"/>
      <c r="D155" s="52"/>
      <c r="E155" s="52"/>
      <c r="F155" s="53"/>
      <c r="G155" s="53"/>
      <c r="H155" s="54"/>
      <c r="I155" s="54"/>
    </row>
    <row r="156" spans="1:8" ht="12.75">
      <c r="A156" s="41" t="s">
        <v>148</v>
      </c>
      <c r="H156" s="10">
        <v>2010</v>
      </c>
    </row>
    <row r="157" spans="1:9" ht="12.75">
      <c r="A157" s="10" t="s">
        <v>73</v>
      </c>
      <c r="B157" s="9" t="s">
        <v>144</v>
      </c>
      <c r="C157" s="9" t="s">
        <v>58</v>
      </c>
      <c r="D157" s="9" t="s">
        <v>303</v>
      </c>
      <c r="E157" s="9" t="s">
        <v>78</v>
      </c>
      <c r="G157" s="9" t="s">
        <v>72</v>
      </c>
      <c r="H157" s="10">
        <f>H156-2009</f>
        <v>1</v>
      </c>
      <c r="I157" s="7"/>
    </row>
    <row r="158" spans="1:9" ht="12.75">
      <c r="A158" s="9">
        <f>($B$92*(1-($E$129*(1+$E$131)^$F158)-$E$133*(1+$E$135)^($F158)))/((1-$E$129-$E$133))</f>
        <v>14151425.525217257</v>
      </c>
      <c r="B158" s="7">
        <f>(E158-(B160+B165+B170))</f>
        <v>0</v>
      </c>
      <c r="C158" s="9">
        <f>$E$122</f>
        <v>700061.4217466069</v>
      </c>
      <c r="D158" s="9">
        <f>(C158*(1+$E$119)^F158)*($E$126*(1+$E$125)^$F158)</f>
        <v>686884.2982714683</v>
      </c>
      <c r="E158" s="9">
        <f>(D158/$F$29)*$G$33</f>
        <v>15611543.023883382</v>
      </c>
      <c r="F158" s="8">
        <f>H157-1</f>
        <v>0</v>
      </c>
      <c r="H158" s="14" t="s">
        <v>49</v>
      </c>
      <c r="I158" s="93"/>
    </row>
    <row r="159" spans="2:14" ht="12.75">
      <c r="B159" s="42" t="s">
        <v>35</v>
      </c>
      <c r="C159" s="7" t="s">
        <v>74</v>
      </c>
      <c r="D159" s="7" t="s">
        <v>43</v>
      </c>
      <c r="E159" s="7" t="s">
        <v>66</v>
      </c>
      <c r="F159" s="7" t="s">
        <v>75</v>
      </c>
      <c r="G159" s="7" t="s">
        <v>76</v>
      </c>
      <c r="H159" s="13" t="s">
        <v>67</v>
      </c>
      <c r="I159" s="28"/>
      <c r="J159" s="40"/>
      <c r="K159" s="40"/>
      <c r="L159" s="40"/>
      <c r="M159" s="40"/>
      <c r="N159" s="40"/>
    </row>
    <row r="160" spans="1:14" ht="12.75">
      <c r="A160" s="7" t="s">
        <v>26</v>
      </c>
      <c r="B160" s="7">
        <f>A158</f>
        <v>14151425.525217257</v>
      </c>
      <c r="C160" s="7">
        <f>B160/E160</f>
        <v>145.9263914568323</v>
      </c>
      <c r="D160" s="31">
        <f>C160*1000/(365*$F$29)</f>
        <v>56.44477379054703</v>
      </c>
      <c r="E160" s="7">
        <f>D158/$F$29</f>
        <v>96976.46453077343</v>
      </c>
      <c r="F160" s="7">
        <f>B160*H160</f>
        <v>3254827.8707999694</v>
      </c>
      <c r="G160" s="7">
        <f>F160/E160</f>
        <v>33.56307003507143</v>
      </c>
      <c r="H160" s="13">
        <f>$H$56</f>
        <v>0.23</v>
      </c>
      <c r="I160" s="28"/>
      <c r="J160" s="31"/>
      <c r="K160" s="31"/>
      <c r="L160" s="40"/>
      <c r="M160" s="40"/>
      <c r="N160" s="40"/>
    </row>
    <row r="161" spans="1:14" ht="12.75">
      <c r="A161" t="s">
        <v>27</v>
      </c>
      <c r="B161" s="33">
        <f>B160*B$17</f>
        <v>849452.1966633156</v>
      </c>
      <c r="C161" s="33">
        <f>B161/E161</f>
        <v>145.9263914568323</v>
      </c>
      <c r="D161" s="33">
        <f>C161*1000/(365*$F$29)</f>
        <v>56.44477379054703</v>
      </c>
      <c r="E161" s="33">
        <f>B$4*E160</f>
        <v>5821.100543794363</v>
      </c>
      <c r="F161" s="33">
        <f>B161*H161</f>
        <v>0</v>
      </c>
      <c r="G161" s="33">
        <f>F161/E161</f>
        <v>0</v>
      </c>
      <c r="H161" s="36">
        <f>$H$58</f>
        <v>0</v>
      </c>
      <c r="I161" s="28"/>
      <c r="J161" s="31"/>
      <c r="K161" s="31"/>
      <c r="L161" s="31"/>
      <c r="M161" s="40"/>
      <c r="N161" s="40"/>
    </row>
    <row r="162" spans="1:14" ht="12.75">
      <c r="A162" t="s">
        <v>28</v>
      </c>
      <c r="B162" s="20">
        <f>B160*B$18</f>
        <v>4475219.217591795</v>
      </c>
      <c r="C162" s="20">
        <f>B162/E162</f>
        <v>145.9263914568323</v>
      </c>
      <c r="D162" s="20">
        <f>C162*1000/(365*$F$29)</f>
        <v>56.44477379054703</v>
      </c>
      <c r="E162" s="20">
        <f>B$5*E160</f>
        <v>30667.648071840704</v>
      </c>
      <c r="F162" s="20">
        <f>B162*H162</f>
        <v>0</v>
      </c>
      <c r="G162" s="20">
        <f>F162/E162</f>
        <v>0</v>
      </c>
      <c r="H162" s="29">
        <f>$H$59</f>
        <v>0</v>
      </c>
      <c r="I162" s="28"/>
      <c r="J162" s="40"/>
      <c r="K162" s="40"/>
      <c r="L162" s="40"/>
      <c r="M162" s="40"/>
      <c r="N162" s="40"/>
    </row>
    <row r="163" spans="1:14" ht="12.75">
      <c r="A163" t="s">
        <v>29</v>
      </c>
      <c r="B163" s="23">
        <f>B160*B$19</f>
        <v>8826754.110962145</v>
      </c>
      <c r="C163" s="23">
        <f>B163/E163</f>
        <v>145.9263914568323</v>
      </c>
      <c r="D163" s="23">
        <f>C163*1000/(365*$F$29)</f>
        <v>56.44477379054703</v>
      </c>
      <c r="E163" s="23">
        <f>B$6*E160</f>
        <v>60487.71591513835</v>
      </c>
      <c r="F163" s="23">
        <f>B163*H163</f>
        <v>0</v>
      </c>
      <c r="G163" s="23">
        <f>F163/E163</f>
        <v>0</v>
      </c>
      <c r="H163" s="30">
        <f>$H$60</f>
        <v>0</v>
      </c>
      <c r="I163" s="28"/>
      <c r="J163" s="31"/>
      <c r="K163" s="31"/>
      <c r="L163" s="40"/>
      <c r="M163" s="40"/>
      <c r="N163" s="40"/>
    </row>
    <row r="164" spans="2:14" ht="12.75">
      <c r="B164" s="42" t="s">
        <v>135</v>
      </c>
      <c r="I164" s="28"/>
      <c r="J164" s="40"/>
      <c r="K164" s="40"/>
      <c r="L164" s="40"/>
      <c r="M164" s="40"/>
      <c r="N164" s="40"/>
    </row>
    <row r="165" spans="1:14" ht="12.75">
      <c r="A165" s="7" t="s">
        <v>26</v>
      </c>
      <c r="B165" s="7">
        <f>E165*$F$26</f>
        <v>147518.5613384574</v>
      </c>
      <c r="C165" s="7">
        <f>B165/E165</f>
        <v>1.521179</v>
      </c>
      <c r="D165" s="31">
        <f>C165*1000/(365*$F$29)</f>
        <v>0.5883966820034078</v>
      </c>
      <c r="E165" s="7">
        <f>D158/$F$29</f>
        <v>96976.46453077343</v>
      </c>
      <c r="F165" s="7">
        <f>H165*B165</f>
        <v>7792815.52126535</v>
      </c>
      <c r="G165" s="8">
        <f>F165/E165</f>
        <v>80.357801854</v>
      </c>
      <c r="H165" s="8">
        <f>$F$27</f>
        <v>52.826</v>
      </c>
      <c r="I165" s="70" t="s">
        <v>119</v>
      </c>
      <c r="J165" s="69"/>
      <c r="K165" s="69"/>
      <c r="L165" s="69"/>
      <c r="M165" s="69"/>
      <c r="N165" s="69"/>
    </row>
    <row r="166" spans="1:14" ht="12.75">
      <c r="A166" t="s">
        <v>27</v>
      </c>
      <c r="B166" s="33">
        <f>B165*$F$17</f>
        <v>3680.9813140976466</v>
      </c>
      <c r="C166" s="33"/>
      <c r="D166" s="33"/>
      <c r="E166" s="33"/>
      <c r="F166" s="33"/>
      <c r="G166" s="32"/>
      <c r="H166" s="36"/>
      <c r="I166" s="70" t="s">
        <v>116</v>
      </c>
      <c r="J166" s="69"/>
      <c r="K166" s="69"/>
      <c r="L166" s="69"/>
      <c r="M166" s="69"/>
      <c r="N166" s="69"/>
    </row>
    <row r="167" spans="1:14" ht="12.75">
      <c r="A167" t="s">
        <v>28</v>
      </c>
      <c r="B167" s="20">
        <f>B165*$F$18</f>
        <v>29089.09715194129</v>
      </c>
      <c r="C167" s="20"/>
      <c r="D167" s="20"/>
      <c r="E167" s="20"/>
      <c r="F167" s="20"/>
      <c r="G167" s="25"/>
      <c r="H167" s="29"/>
      <c r="I167" s="70" t="s">
        <v>153</v>
      </c>
      <c r="J167" s="68"/>
      <c r="K167" s="69"/>
      <c r="L167" s="69"/>
      <c r="M167" s="69"/>
      <c r="N167" s="69"/>
    </row>
    <row r="168" spans="1:14" ht="12.75">
      <c r="A168" t="s">
        <v>29</v>
      </c>
      <c r="B168" s="23">
        <f>B165*$F$19</f>
        <v>114748.48287241846</v>
      </c>
      <c r="C168" s="23"/>
      <c r="D168" s="23"/>
      <c r="E168" s="23"/>
      <c r="F168" s="23"/>
      <c r="G168" s="26"/>
      <c r="H168" s="30"/>
      <c r="I168" s="70" t="s">
        <v>154</v>
      </c>
      <c r="J168" s="69"/>
      <c r="K168" s="69"/>
      <c r="L168" s="69"/>
      <c r="M168" s="69"/>
      <c r="N168" s="69"/>
    </row>
    <row r="169" spans="2:14" ht="12.75">
      <c r="B169" s="42" t="s">
        <v>30</v>
      </c>
      <c r="I169" s="70" t="s">
        <v>155</v>
      </c>
      <c r="J169" s="69"/>
      <c r="K169" s="69"/>
      <c r="L169" s="69"/>
      <c r="M169" s="69"/>
      <c r="N169" s="69"/>
    </row>
    <row r="170" spans="1:14" ht="12.75">
      <c r="A170" s="7" t="s">
        <v>26</v>
      </c>
      <c r="B170" s="7">
        <f>E170*$F$24</f>
        <v>1312598.937327667</v>
      </c>
      <c r="C170" s="7">
        <f>B170/E170</f>
        <v>13.5352319109462</v>
      </c>
      <c r="D170" s="7">
        <f>C170*1000/(365*$F$29)</f>
        <v>5.235469031946528</v>
      </c>
      <c r="E170" s="7">
        <f>D158/$F$29</f>
        <v>96976.46453077343</v>
      </c>
      <c r="F170" s="7">
        <f>H170*B170</f>
        <v>5250395.749310668</v>
      </c>
      <c r="G170" s="8">
        <f>F170/E170</f>
        <v>54.1409276437848</v>
      </c>
      <c r="H170" s="8">
        <f>$F$28</f>
        <v>4</v>
      </c>
      <c r="I170" s="70" t="s">
        <v>156</v>
      </c>
      <c r="J170" s="69"/>
      <c r="K170" s="69"/>
      <c r="L170" s="69"/>
      <c r="M170" s="69"/>
      <c r="N170" s="69"/>
    </row>
    <row r="171" spans="1:14" ht="12.75">
      <c r="A171" t="s">
        <v>27</v>
      </c>
      <c r="B171" s="33">
        <f>B170*$D$17</f>
        <v>48523.86343500232</v>
      </c>
      <c r="C171" s="33"/>
      <c r="D171" s="33"/>
      <c r="E171" s="33"/>
      <c r="F171" s="33"/>
      <c r="G171" s="32"/>
      <c r="H171" s="36"/>
      <c r="I171" s="70" t="s">
        <v>275</v>
      </c>
      <c r="J171" s="69"/>
      <c r="K171" s="69"/>
      <c r="L171" s="69"/>
      <c r="M171" s="69"/>
      <c r="N171" s="69"/>
    </row>
    <row r="172" spans="1:13" ht="12.75">
      <c r="A172" t="s">
        <v>28</v>
      </c>
      <c r="B172" s="20">
        <f>B170*$D$18</f>
        <v>255641.13791113376</v>
      </c>
      <c r="C172" s="20"/>
      <c r="D172" s="20"/>
      <c r="E172" s="20"/>
      <c r="F172" s="20"/>
      <c r="G172" s="25"/>
      <c r="H172" s="29"/>
      <c r="I172" s="70" t="s">
        <v>276</v>
      </c>
      <c r="J172" s="69"/>
      <c r="K172" s="69"/>
      <c r="L172" s="69"/>
      <c r="M172" s="69"/>
    </row>
    <row r="173" spans="1:8" ht="12.75">
      <c r="A173" t="s">
        <v>29</v>
      </c>
      <c r="B173" s="23">
        <f>B170*$D$19</f>
        <v>1008433.9359815309</v>
      </c>
      <c r="C173" s="23"/>
      <c r="D173" s="23"/>
      <c r="E173" s="23"/>
      <c r="F173" s="23"/>
      <c r="G173" s="26"/>
      <c r="H173" s="30"/>
    </row>
    <row r="174" spans="2:14" ht="12.75">
      <c r="B174" s="42" t="s">
        <v>143</v>
      </c>
      <c r="J174" s="31"/>
      <c r="K174" s="40"/>
      <c r="L174" s="40"/>
      <c r="M174" s="40"/>
      <c r="N174" s="40"/>
    </row>
    <row r="175" spans="1:10" ht="12.75">
      <c r="A175" s="7" t="s">
        <v>26</v>
      </c>
      <c r="B175" s="7">
        <f>E158</f>
        <v>15611543.023883382</v>
      </c>
      <c r="C175" s="7">
        <f>B175/E175</f>
        <v>160.9828023677785</v>
      </c>
      <c r="D175" s="7">
        <f>C175*1000/(365*$F$29)</f>
        <v>62.26863950449697</v>
      </c>
      <c r="E175" s="7">
        <f>D158/$F$29</f>
        <v>96976.46453077343</v>
      </c>
      <c r="F175" s="7">
        <f>F160+F165+F170</f>
        <v>16298039.141375989</v>
      </c>
      <c r="G175" s="8">
        <f>F175/E175</f>
        <v>168.06179953285624</v>
      </c>
      <c r="J175" s="31"/>
    </row>
    <row r="176" spans="1:14" ht="12.75">
      <c r="A176" t="s">
        <v>27</v>
      </c>
      <c r="B176" s="33"/>
      <c r="C176" s="33"/>
      <c r="D176" s="33"/>
      <c r="E176" s="33"/>
      <c r="F176" s="33"/>
      <c r="G176" s="32"/>
      <c r="H176" s="36"/>
      <c r="I176" s="70" t="s">
        <v>117</v>
      </c>
      <c r="J176" s="68"/>
      <c r="K176" s="69"/>
      <c r="L176" s="69"/>
      <c r="M176" s="69"/>
      <c r="N176" s="69"/>
    </row>
    <row r="177" spans="1:14" ht="12.75">
      <c r="A177" t="s">
        <v>28</v>
      </c>
      <c r="B177" s="20"/>
      <c r="C177" s="20"/>
      <c r="D177" s="20"/>
      <c r="E177" s="20"/>
      <c r="F177" s="20"/>
      <c r="G177" s="25"/>
      <c r="H177" s="29"/>
      <c r="I177" s="70" t="s">
        <v>118</v>
      </c>
      <c r="J177" s="69"/>
      <c r="K177" s="69"/>
      <c r="L177" s="69"/>
      <c r="M177" s="69"/>
      <c r="N177" s="69"/>
    </row>
    <row r="178" spans="1:8" ht="12.75">
      <c r="A178" t="s">
        <v>29</v>
      </c>
      <c r="B178" s="23"/>
      <c r="C178" s="23"/>
      <c r="D178" s="23"/>
      <c r="E178" s="23"/>
      <c r="F178" s="23"/>
      <c r="G178" s="26"/>
      <c r="H178" s="30"/>
    </row>
    <row r="180" spans="1:8" ht="12.75">
      <c r="A180" s="41" t="s">
        <v>149</v>
      </c>
      <c r="H180" s="10">
        <v>2010</v>
      </c>
    </row>
    <row r="181" spans="1:8" ht="12.75">
      <c r="A181" s="10" t="s">
        <v>73</v>
      </c>
      <c r="B181" s="9" t="s">
        <v>144</v>
      </c>
      <c r="C181" s="9" t="s">
        <v>58</v>
      </c>
      <c r="D181" s="9" t="s">
        <v>303</v>
      </c>
      <c r="E181" s="9" t="s">
        <v>78</v>
      </c>
      <c r="G181" s="9" t="s">
        <v>72</v>
      </c>
      <c r="H181" s="10">
        <f>H180-2009</f>
        <v>1</v>
      </c>
    </row>
    <row r="182" spans="1:10" ht="12.75">
      <c r="A182" s="9">
        <f>($B$92*(1-($E$129*(1+$E$131)^$F182)-$E$133*(1+$E$135)^($F182)))/((1-$E$129-$E$133))</f>
        <v>14151425.525217257</v>
      </c>
      <c r="B182" s="7">
        <f>E182-(B184+B189+B194)</f>
        <v>0</v>
      </c>
      <c r="C182" s="9">
        <f>$E$122</f>
        <v>700061.4217466069</v>
      </c>
      <c r="D182" s="9">
        <f>(C182*(1+$E$119)^F182)*($E$126*(1+$E$125)^$F182)</f>
        <v>686884.2982714683</v>
      </c>
      <c r="E182" s="9">
        <f>(D182/$F$29)*$G$33</f>
        <v>15611543.023883382</v>
      </c>
      <c r="F182" s="8">
        <f>H181-1</f>
        <v>0</v>
      </c>
      <c r="H182" s="14" t="s">
        <v>50</v>
      </c>
      <c r="I182" s="93"/>
      <c r="J182" s="9"/>
    </row>
    <row r="183" spans="2:8" ht="12.75">
      <c r="B183" s="42" t="s">
        <v>35</v>
      </c>
      <c r="C183" s="7" t="s">
        <v>74</v>
      </c>
      <c r="D183" s="7" t="s">
        <v>43</v>
      </c>
      <c r="E183" s="7" t="s">
        <v>66</v>
      </c>
      <c r="F183" s="7" t="s">
        <v>75</v>
      </c>
      <c r="G183" s="7" t="s">
        <v>76</v>
      </c>
      <c r="H183" s="13" t="s">
        <v>67</v>
      </c>
    </row>
    <row r="184" spans="1:8" ht="12.75">
      <c r="A184" s="7" t="s">
        <v>26</v>
      </c>
      <c r="B184" s="7">
        <f>A182</f>
        <v>14151425.525217257</v>
      </c>
      <c r="C184" s="7">
        <f>B184/E184</f>
        <v>145.9263914568323</v>
      </c>
      <c r="D184" s="31">
        <f>C184*1000/(365*$F$29)</f>
        <v>56.44477379054703</v>
      </c>
      <c r="E184" s="7">
        <f>D182/$F$29</f>
        <v>96976.46453077343</v>
      </c>
      <c r="F184" s="7">
        <f>B184*H184</f>
        <v>3254827.8707999694</v>
      </c>
      <c r="G184" s="7">
        <f>F184/E184</f>
        <v>33.56307003507143</v>
      </c>
      <c r="H184" s="13">
        <f>$H$56</f>
        <v>0.23</v>
      </c>
    </row>
    <row r="185" spans="1:8" ht="12.75">
      <c r="A185" t="s">
        <v>27</v>
      </c>
      <c r="B185" s="33">
        <f>B184*B$17</f>
        <v>849452.1966633156</v>
      </c>
      <c r="C185" s="33">
        <f>B185/E185</f>
        <v>145.9263914568323</v>
      </c>
      <c r="D185" s="33">
        <f>C185*1000/(365*$F$29)</f>
        <v>56.44477379054703</v>
      </c>
      <c r="E185" s="33">
        <f>B$4*E184</f>
        <v>5821.100543794363</v>
      </c>
      <c r="F185" s="33">
        <f>B185*H185</f>
        <v>0</v>
      </c>
      <c r="G185" s="33">
        <f>F185/E185</f>
        <v>0</v>
      </c>
      <c r="H185" s="36">
        <f>$H$58</f>
        <v>0</v>
      </c>
    </row>
    <row r="186" spans="1:8" ht="12.75">
      <c r="A186" t="s">
        <v>28</v>
      </c>
      <c r="B186" s="20">
        <f>B184*B$18</f>
        <v>4475219.217591795</v>
      </c>
      <c r="C186" s="20">
        <f>B186/E186</f>
        <v>145.9263914568323</v>
      </c>
      <c r="D186" s="20">
        <f>C186*1000/(365*$F$29)</f>
        <v>56.44477379054703</v>
      </c>
      <c r="E186" s="20">
        <f>B$5*E184</f>
        <v>30667.648071840704</v>
      </c>
      <c r="F186" s="20">
        <f>B186*H186</f>
        <v>0</v>
      </c>
      <c r="G186" s="20">
        <f>F186/E186</f>
        <v>0</v>
      </c>
      <c r="H186" s="29">
        <f>$H$59</f>
        <v>0</v>
      </c>
    </row>
    <row r="187" spans="1:8" ht="12.75">
      <c r="A187" t="s">
        <v>29</v>
      </c>
      <c r="B187" s="23">
        <f>B184*B$19</f>
        <v>8826754.110962145</v>
      </c>
      <c r="C187" s="23">
        <f>B187/E187</f>
        <v>145.9263914568323</v>
      </c>
      <c r="D187" s="23">
        <f>C187*1000/(365*$F$29)</f>
        <v>56.44477379054703</v>
      </c>
      <c r="E187" s="23">
        <f>B$6*E184</f>
        <v>60487.71591513835</v>
      </c>
      <c r="F187" s="23">
        <f>B187*H187</f>
        <v>0</v>
      </c>
      <c r="G187" s="23">
        <f>F187/E187</f>
        <v>0</v>
      </c>
      <c r="H187" s="30">
        <f>$H$60</f>
        <v>0</v>
      </c>
    </row>
    <row r="188" ht="12.75">
      <c r="B188" s="42" t="s">
        <v>135</v>
      </c>
    </row>
    <row r="189" spans="1:8" ht="12.75">
      <c r="A189" s="7" t="s">
        <v>26</v>
      </c>
      <c r="B189" s="7">
        <f>E189*$F$26</f>
        <v>147518.5613384574</v>
      </c>
      <c r="C189" s="7">
        <f>B189/E189</f>
        <v>1.521179</v>
      </c>
      <c r="D189" s="31">
        <f>C189*1000/(365*$F$29)</f>
        <v>0.5883966820034078</v>
      </c>
      <c r="E189" s="7">
        <f>D182/$F$29</f>
        <v>96976.46453077343</v>
      </c>
      <c r="F189" s="7">
        <f>H189*B189</f>
        <v>7792815.52126535</v>
      </c>
      <c r="G189" s="8">
        <f>F189/E189</f>
        <v>80.357801854</v>
      </c>
      <c r="H189" s="8">
        <f>$F$27</f>
        <v>52.826</v>
      </c>
    </row>
    <row r="190" spans="1:8" ht="12.75">
      <c r="A190" t="s">
        <v>27</v>
      </c>
      <c r="B190" s="33">
        <f>B189*$F$17</f>
        <v>3680.9813140976466</v>
      </c>
      <c r="C190" s="33"/>
      <c r="D190" s="33"/>
      <c r="E190" s="33"/>
      <c r="F190" s="33"/>
      <c r="G190" s="32"/>
      <c r="H190" s="36"/>
    </row>
    <row r="191" spans="1:8" ht="12.75">
      <c r="A191" t="s">
        <v>28</v>
      </c>
      <c r="B191" s="20">
        <f>B189*$F$18</f>
        <v>29089.09715194129</v>
      </c>
      <c r="C191" s="20"/>
      <c r="D191" s="20"/>
      <c r="E191" s="20"/>
      <c r="F191" s="20"/>
      <c r="G191" s="25"/>
      <c r="H191" s="29"/>
    </row>
    <row r="192" spans="1:8" ht="12.75">
      <c r="A192" t="s">
        <v>29</v>
      </c>
      <c r="B192" s="23">
        <f>B189*$F$19</f>
        <v>114748.48287241846</v>
      </c>
      <c r="C192" s="23"/>
      <c r="D192" s="23"/>
      <c r="E192" s="23"/>
      <c r="F192" s="23"/>
      <c r="G192" s="26"/>
      <c r="H192" s="30"/>
    </row>
    <row r="193" ht="12.75">
      <c r="B193" s="42" t="s">
        <v>30</v>
      </c>
    </row>
    <row r="194" spans="1:8" ht="12.75">
      <c r="A194" s="7" t="s">
        <v>26</v>
      </c>
      <c r="B194" s="7">
        <f>E194*$F$24</f>
        <v>1312598.937327667</v>
      </c>
      <c r="C194" s="7">
        <f>B194/E194</f>
        <v>13.5352319109462</v>
      </c>
      <c r="D194" s="7">
        <f>C194*1000/(365*$F$29)</f>
        <v>5.235469031946528</v>
      </c>
      <c r="E194" s="7">
        <f>D182/$F$29</f>
        <v>96976.46453077343</v>
      </c>
      <c r="F194" s="7">
        <f>H194*B194</f>
        <v>5250395.749310668</v>
      </c>
      <c r="G194" s="8">
        <f>F194/E194</f>
        <v>54.1409276437848</v>
      </c>
      <c r="H194" s="8">
        <f>$F$28</f>
        <v>4</v>
      </c>
    </row>
    <row r="195" spans="1:8" ht="12.75">
      <c r="A195" t="s">
        <v>27</v>
      </c>
      <c r="B195" s="33">
        <f>B194*$D$17</f>
        <v>48523.86343500232</v>
      </c>
      <c r="C195" s="33"/>
      <c r="D195" s="33"/>
      <c r="E195" s="33"/>
      <c r="F195" s="33"/>
      <c r="G195" s="32"/>
      <c r="H195" s="36"/>
    </row>
    <row r="196" spans="1:8" ht="12.75">
      <c r="A196" t="s">
        <v>28</v>
      </c>
      <c r="B196" s="20">
        <f>B194*$D$18</f>
        <v>255641.13791113376</v>
      </c>
      <c r="C196" s="20"/>
      <c r="D196" s="20"/>
      <c r="E196" s="20"/>
      <c r="F196" s="20"/>
      <c r="G196" s="25"/>
      <c r="H196" s="29"/>
    </row>
    <row r="197" spans="1:8" ht="12.75">
      <c r="A197" t="s">
        <v>29</v>
      </c>
      <c r="B197" s="23">
        <f>B194*$D$19</f>
        <v>1008433.9359815309</v>
      </c>
      <c r="C197" s="23"/>
      <c r="D197" s="23"/>
      <c r="E197" s="23"/>
      <c r="F197" s="23"/>
      <c r="G197" s="26"/>
      <c r="H197" s="30"/>
    </row>
    <row r="198" ht="12.75">
      <c r="B198" s="42" t="s">
        <v>143</v>
      </c>
    </row>
    <row r="199" spans="1:7" ht="12.75">
      <c r="A199" s="7" t="s">
        <v>26</v>
      </c>
      <c r="B199" s="7">
        <f>E182</f>
        <v>15611543.023883382</v>
      </c>
      <c r="C199" s="7">
        <f>B199/E199</f>
        <v>160.9828023677785</v>
      </c>
      <c r="D199" s="7">
        <f>C199*1000/(365*$F$29)</f>
        <v>62.26863950449697</v>
      </c>
      <c r="E199" s="7">
        <f>D182/$F$29</f>
        <v>96976.46453077343</v>
      </c>
      <c r="F199" s="7">
        <f>F184+F189+F194</f>
        <v>16298039.141375989</v>
      </c>
      <c r="G199" s="8">
        <f>F199/E199</f>
        <v>168.06179953285624</v>
      </c>
    </row>
    <row r="200" spans="1:8" ht="12.75">
      <c r="A200" t="s">
        <v>27</v>
      </c>
      <c r="B200" s="33"/>
      <c r="C200" s="33"/>
      <c r="D200" s="33"/>
      <c r="E200" s="33"/>
      <c r="F200" s="33"/>
      <c r="G200" s="32"/>
      <c r="H200" s="36"/>
    </row>
    <row r="201" spans="1:8" ht="12.75">
      <c r="A201" t="s">
        <v>28</v>
      </c>
      <c r="B201" s="20"/>
      <c r="C201" s="20"/>
      <c r="D201" s="20"/>
      <c r="E201" s="20"/>
      <c r="F201" s="20"/>
      <c r="G201" s="25"/>
      <c r="H201" s="29"/>
    </row>
    <row r="202" spans="1:8" ht="12.75">
      <c r="A202" t="s">
        <v>29</v>
      </c>
      <c r="B202" s="23"/>
      <c r="C202" s="23"/>
      <c r="D202" s="23"/>
      <c r="E202" s="23"/>
      <c r="F202" s="23"/>
      <c r="G202" s="26"/>
      <c r="H202" s="30"/>
    </row>
    <row r="204" spans="1:8" ht="12.75">
      <c r="A204" s="41" t="s">
        <v>149</v>
      </c>
      <c r="H204" s="10">
        <v>2011</v>
      </c>
    </row>
    <row r="205" spans="1:8" ht="12.75">
      <c r="A205" s="10" t="s">
        <v>73</v>
      </c>
      <c r="B205" s="9" t="s">
        <v>144</v>
      </c>
      <c r="C205" s="9" t="s">
        <v>58</v>
      </c>
      <c r="D205" s="9" t="s">
        <v>303</v>
      </c>
      <c r="E205" s="9" t="s">
        <v>78</v>
      </c>
      <c r="G205" s="9" t="s">
        <v>72</v>
      </c>
      <c r="H205" s="10">
        <f>H204-2009</f>
        <v>2</v>
      </c>
    </row>
    <row r="206" spans="1:9" ht="12.75">
      <c r="A206" s="9">
        <f>($B$92*(1-($E$129*(1+$E$131)^$F206)-$E$133*(1+$E$135)^($F206)))/((1-$E$129-$E$133))</f>
        <v>14108248.102207795</v>
      </c>
      <c r="B206" s="7">
        <f>E206-(B208+B213+B218)</f>
        <v>510528.357020732</v>
      </c>
      <c r="C206" s="9">
        <f>$E$122</f>
        <v>700061.4217466069</v>
      </c>
      <c r="D206" s="9">
        <f>(C206*(1+$E$119)^F206)*($E$126*(1+$E$125)^$F206)</f>
        <v>709568.6573689181</v>
      </c>
      <c r="E206" s="9">
        <f>(D206/$F$29)*$G$33</f>
        <v>16127114.349229207</v>
      </c>
      <c r="F206" s="8">
        <f>H205-1</f>
        <v>1</v>
      </c>
      <c r="H206" s="14" t="s">
        <v>49</v>
      </c>
      <c r="I206" s="93"/>
    </row>
    <row r="207" spans="2:8" ht="12.75">
      <c r="B207" s="42" t="s">
        <v>35</v>
      </c>
      <c r="C207" s="7" t="s">
        <v>69</v>
      </c>
      <c r="D207" s="7" t="s">
        <v>43</v>
      </c>
      <c r="E207" s="7" t="s">
        <v>66</v>
      </c>
      <c r="F207" s="7" t="s">
        <v>70</v>
      </c>
      <c r="G207" s="7" t="s">
        <v>68</v>
      </c>
      <c r="H207" s="13" t="s">
        <v>67</v>
      </c>
    </row>
    <row r="208" spans="1:8" ht="12.75">
      <c r="A208" s="7" t="s">
        <v>26</v>
      </c>
      <c r="B208" s="7">
        <f>A206</f>
        <v>14108248.102207795</v>
      </c>
      <c r="C208" s="7">
        <f>B208/E208</f>
        <v>140.83023576389874</v>
      </c>
      <c r="D208" s="31">
        <f>C208*1000/(365*$F$29)</f>
        <v>54.47356520779978</v>
      </c>
      <c r="E208" s="7">
        <f>D206/$F$29</f>
        <v>100179.1129985766</v>
      </c>
      <c r="F208" s="7">
        <f>B208*H208</f>
        <v>3244897.063507793</v>
      </c>
      <c r="G208" s="7">
        <f>F208/E208</f>
        <v>32.39095422569671</v>
      </c>
      <c r="H208" s="13">
        <f>H$56</f>
        <v>0.23</v>
      </c>
    </row>
    <row r="209" spans="1:8" ht="12.75">
      <c r="A209" t="s">
        <v>27</v>
      </c>
      <c r="B209" s="33">
        <f>B208*B$17</f>
        <v>846860.4325504854</v>
      </c>
      <c r="C209" s="33">
        <f>B209/E209</f>
        <v>140.83023576389874</v>
      </c>
      <c r="D209" s="33">
        <f>C209*1000/(365*$F$29)</f>
        <v>54.47356520779978</v>
      </c>
      <c r="E209" s="33">
        <f>B$4*E208</f>
        <v>6013.342432872463</v>
      </c>
      <c r="F209" s="33">
        <f>B209*H209</f>
        <v>0</v>
      </c>
      <c r="G209" s="33">
        <f>F209/E209</f>
        <v>0</v>
      </c>
      <c r="H209" s="36">
        <f>H$58</f>
        <v>0</v>
      </c>
    </row>
    <row r="210" spans="1:8" ht="12.75">
      <c r="A210" t="s">
        <v>28</v>
      </c>
      <c r="B210" s="20">
        <f>B208*B$18</f>
        <v>4461564.873520683</v>
      </c>
      <c r="C210" s="20">
        <f>B210/E210</f>
        <v>140.83023576389874</v>
      </c>
      <c r="D210" s="20">
        <f>C210*1000/(365*$F$29)</f>
        <v>54.47356520779978</v>
      </c>
      <c r="E210" s="20">
        <f>B$5*E208</f>
        <v>31680.44737921533</v>
      </c>
      <c r="F210" s="20">
        <f>B210*H210</f>
        <v>0</v>
      </c>
      <c r="G210" s="20">
        <f>F210/E210</f>
        <v>0</v>
      </c>
      <c r="H210" s="29">
        <f>H$59</f>
        <v>0</v>
      </c>
    </row>
    <row r="211" spans="1:8" ht="12.75">
      <c r="A211" t="s">
        <v>29</v>
      </c>
      <c r="B211" s="23">
        <f>B208*B$19</f>
        <v>8799822.796136625</v>
      </c>
      <c r="C211" s="23">
        <f>B211/E211</f>
        <v>140.83023576389874</v>
      </c>
      <c r="D211" s="23">
        <f>C211*1000/(365*$F$29)</f>
        <v>54.47356520779978</v>
      </c>
      <c r="E211" s="23">
        <f>B$6*E208</f>
        <v>62485.32318648879</v>
      </c>
      <c r="F211" s="23">
        <f>B211*H211</f>
        <v>0</v>
      </c>
      <c r="G211" s="23">
        <f>F211/E211</f>
        <v>0</v>
      </c>
      <c r="H211" s="30">
        <f>H$60</f>
        <v>0</v>
      </c>
    </row>
    <row r="212" ht="12.75">
      <c r="B212" s="42" t="s">
        <v>135</v>
      </c>
    </row>
    <row r="213" spans="1:8" ht="12.75">
      <c r="A213" s="7" t="s">
        <v>26</v>
      </c>
      <c r="B213" s="7">
        <f>E213*$F$26</f>
        <v>152390.36293206178</v>
      </c>
      <c r="C213" s="7">
        <f>B213/E213</f>
        <v>1.5211790000000003</v>
      </c>
      <c r="D213" s="31">
        <f>C213*1000/(365*$F$29)</f>
        <v>0.5883966820034079</v>
      </c>
      <c r="E213" s="7">
        <f>D206/$F$29</f>
        <v>100179.1129985766</v>
      </c>
      <c r="F213" s="7">
        <f>H213*B213</f>
        <v>8050173.312249095</v>
      </c>
      <c r="G213" s="8">
        <f>F213/E213</f>
        <v>80.357801854</v>
      </c>
      <c r="H213" s="8">
        <f>$F$27</f>
        <v>52.826</v>
      </c>
    </row>
    <row r="214" spans="1:8" ht="12.75">
      <c r="A214" t="s">
        <v>27</v>
      </c>
      <c r="B214" s="33">
        <f>B213*$F$17</f>
        <v>3802.5457495784435</v>
      </c>
      <c r="C214" s="33"/>
      <c r="D214" s="33"/>
      <c r="E214" s="33"/>
      <c r="F214" s="33"/>
      <c r="G214" s="32"/>
      <c r="H214" s="36"/>
    </row>
    <row r="215" spans="1:8" ht="12.75">
      <c r="A215" t="s">
        <v>28</v>
      </c>
      <c r="B215" s="20">
        <f>B213*$F$18</f>
        <v>30049.764803357677</v>
      </c>
      <c r="C215" s="20"/>
      <c r="D215" s="20"/>
      <c r="E215" s="20"/>
      <c r="F215" s="20"/>
      <c r="G215" s="25"/>
      <c r="H215" s="29"/>
    </row>
    <row r="216" spans="1:8" ht="12.75">
      <c r="A216" t="s">
        <v>29</v>
      </c>
      <c r="B216" s="23">
        <f>B213*$F$19</f>
        <v>118538.05237912566</v>
      </c>
      <c r="C216" s="23"/>
      <c r="D216" s="23"/>
      <c r="E216" s="23"/>
      <c r="F216" s="23"/>
      <c r="G216" s="26"/>
      <c r="H216" s="30"/>
    </row>
    <row r="217" ht="12.75">
      <c r="B217" s="42" t="s">
        <v>30</v>
      </c>
    </row>
    <row r="218" spans="1:8" ht="12.75">
      <c r="A218" s="7" t="s">
        <v>26</v>
      </c>
      <c r="B218" s="7">
        <f>E218*$F$24</f>
        <v>1355947.5270686192</v>
      </c>
      <c r="C218" s="7">
        <f>B218/E218</f>
        <v>13.535231910946198</v>
      </c>
      <c r="D218" s="7">
        <f>C218*1000/(365*$F$29)</f>
        <v>5.235469031946527</v>
      </c>
      <c r="E218" s="7">
        <f>D206/$F$29</f>
        <v>100179.1129985766</v>
      </c>
      <c r="F218" s="7">
        <f>H218*B218</f>
        <v>5423790.108274477</v>
      </c>
      <c r="G218" s="8">
        <f>F218/E218</f>
        <v>54.14092764378479</v>
      </c>
      <c r="H218" s="8">
        <f>$F$28</f>
        <v>4</v>
      </c>
    </row>
    <row r="219" spans="1:8" ht="12.75">
      <c r="A219" t="s">
        <v>27</v>
      </c>
      <c r="B219" s="33">
        <f>B218*$D$17</f>
        <v>50126.36438854745</v>
      </c>
      <c r="C219" s="33"/>
      <c r="D219" s="33"/>
      <c r="E219" s="33"/>
      <c r="F219" s="33"/>
      <c r="G219" s="32"/>
      <c r="H219" s="36"/>
    </row>
    <row r="220" spans="1:8" ht="12.75">
      <c r="A220" t="s">
        <v>28</v>
      </c>
      <c r="B220" s="20">
        <f>B218*$D$18</f>
        <v>264083.6884062463</v>
      </c>
      <c r="C220" s="20"/>
      <c r="D220" s="20"/>
      <c r="E220" s="20"/>
      <c r="F220" s="20"/>
      <c r="G220" s="25"/>
      <c r="H220" s="29"/>
    </row>
    <row r="221" spans="1:8" ht="12.75">
      <c r="A221" t="s">
        <v>29</v>
      </c>
      <c r="B221" s="23">
        <f>B218*$D$19</f>
        <v>1041737.4742738254</v>
      </c>
      <c r="C221" s="23"/>
      <c r="D221" s="23"/>
      <c r="E221" s="23"/>
      <c r="F221" s="23"/>
      <c r="G221" s="26"/>
      <c r="H221" s="30"/>
    </row>
    <row r="222" ht="12.75">
      <c r="B222" s="42" t="s">
        <v>143</v>
      </c>
    </row>
    <row r="223" spans="1:7" ht="12.75">
      <c r="A223" s="7" t="s">
        <v>26</v>
      </c>
      <c r="B223" s="7">
        <f>E206</f>
        <v>16127114.349229207</v>
      </c>
      <c r="C223" s="7">
        <f>B223/E223</f>
        <v>160.9828023677785</v>
      </c>
      <c r="D223" s="7">
        <f>C223*1000/(365*$F$29)</f>
        <v>62.26863950449697</v>
      </c>
      <c r="E223" s="7">
        <f>D206/$F$29</f>
        <v>100179.1129985766</v>
      </c>
      <c r="F223" s="7">
        <f>F208+F213+F218</f>
        <v>16718860.484031364</v>
      </c>
      <c r="G223" s="8">
        <f>F223/E223</f>
        <v>166.8896837234815</v>
      </c>
    </row>
    <row r="224" spans="1:8" ht="12.75">
      <c r="A224" t="s">
        <v>27</v>
      </c>
      <c r="B224" s="33"/>
      <c r="C224" s="33"/>
      <c r="D224" s="33"/>
      <c r="E224" s="33"/>
      <c r="F224" s="33"/>
      <c r="G224" s="32"/>
      <c r="H224" s="36"/>
    </row>
    <row r="225" spans="1:8" ht="12.75">
      <c r="A225" t="s">
        <v>28</v>
      </c>
      <c r="B225" s="20"/>
      <c r="C225" s="20"/>
      <c r="D225" s="20"/>
      <c r="E225" s="20"/>
      <c r="F225" s="20"/>
      <c r="G225" s="25"/>
      <c r="H225" s="29"/>
    </row>
    <row r="226" spans="1:8" ht="12.75">
      <c r="A226" t="s">
        <v>29</v>
      </c>
      <c r="B226" s="23"/>
      <c r="C226" s="23"/>
      <c r="D226" s="23"/>
      <c r="E226" s="23"/>
      <c r="F226" s="23"/>
      <c r="G226" s="26"/>
      <c r="H226" s="30"/>
    </row>
    <row r="228" spans="1:8" ht="12.75">
      <c r="A228" s="41" t="s">
        <v>149</v>
      </c>
      <c r="H228" s="10">
        <v>2011</v>
      </c>
    </row>
    <row r="229" spans="1:8" ht="12.75">
      <c r="A229" s="10" t="s">
        <v>73</v>
      </c>
      <c r="B229" s="9" t="s">
        <v>144</v>
      </c>
      <c r="C229" s="9" t="s">
        <v>58</v>
      </c>
      <c r="D229" s="9" t="s">
        <v>303</v>
      </c>
      <c r="E229" s="9" t="s">
        <v>78</v>
      </c>
      <c r="G229" s="9" t="s">
        <v>72</v>
      </c>
      <c r="H229" s="10">
        <f>H228-2009</f>
        <v>2</v>
      </c>
    </row>
    <row r="230" spans="1:9" ht="12.75">
      <c r="A230" s="9">
        <f>($B$92*(1-($E$129*(1+$E$131)^$F230)-$E$133*(1+$E$135)^($F230)))/((1-$E$129-$E$133))</f>
        <v>14108248.102207795</v>
      </c>
      <c r="B230" s="7">
        <f>E230-(B232+B237+B242)</f>
        <v>510528.357020732</v>
      </c>
      <c r="C230" s="9">
        <f>$E$122</f>
        <v>700061.4217466069</v>
      </c>
      <c r="D230" s="9">
        <f>(C230*(1+$E$119)^F230)*($E$126*(1+$E$125)^$F230)</f>
        <v>709568.6573689181</v>
      </c>
      <c r="E230" s="9">
        <f>(D230/$F$29)*$G$33</f>
        <v>16127114.349229207</v>
      </c>
      <c r="F230" s="8">
        <f>H229-1</f>
        <v>1</v>
      </c>
      <c r="H230" s="14" t="s">
        <v>50</v>
      </c>
      <c r="I230" s="93"/>
    </row>
    <row r="231" spans="2:8" ht="12.75">
      <c r="B231" s="42" t="s">
        <v>35</v>
      </c>
      <c r="C231" s="7" t="s">
        <v>69</v>
      </c>
      <c r="D231" s="7" t="s">
        <v>43</v>
      </c>
      <c r="E231" s="7" t="s">
        <v>66</v>
      </c>
      <c r="F231" s="7" t="s">
        <v>70</v>
      </c>
      <c r="G231" s="7" t="s">
        <v>68</v>
      </c>
      <c r="H231" s="13" t="s">
        <v>67</v>
      </c>
    </row>
    <row r="232" spans="1:8" ht="12.75">
      <c r="A232" s="7" t="s">
        <v>26</v>
      </c>
      <c r="B232" s="7">
        <f>A230</f>
        <v>14108248.102207795</v>
      </c>
      <c r="C232" s="7">
        <f>B232/E232</f>
        <v>140.83023576389874</v>
      </c>
      <c r="D232" s="31">
        <f>C232*1000/(365*$F$29)</f>
        <v>54.47356520779978</v>
      </c>
      <c r="E232" s="7">
        <f>D230/$F$29</f>
        <v>100179.1129985766</v>
      </c>
      <c r="F232" s="7">
        <f>B232*H232</f>
        <v>3244897.063507793</v>
      </c>
      <c r="G232" s="7">
        <f>F232/E232</f>
        <v>32.39095422569671</v>
      </c>
      <c r="H232" s="13">
        <f>H$56</f>
        <v>0.23</v>
      </c>
    </row>
    <row r="233" spans="1:8" ht="12.75">
      <c r="A233" t="s">
        <v>27</v>
      </c>
      <c r="B233" s="33">
        <f>B232*B$17</f>
        <v>846860.4325504854</v>
      </c>
      <c r="C233" s="33">
        <f>B233/E233</f>
        <v>140.83023576389874</v>
      </c>
      <c r="D233" s="33">
        <f>C233*1000/(365*$F$29)</f>
        <v>54.47356520779978</v>
      </c>
      <c r="E233" s="33">
        <f>B$4*E232</f>
        <v>6013.342432872463</v>
      </c>
      <c r="F233" s="33">
        <f>B233*H233</f>
        <v>0</v>
      </c>
      <c r="G233" s="33">
        <f>F233/E233</f>
        <v>0</v>
      </c>
      <c r="H233" s="36">
        <f>H$58</f>
        <v>0</v>
      </c>
    </row>
    <row r="234" spans="1:8" ht="12.75">
      <c r="A234" t="s">
        <v>28</v>
      </c>
      <c r="B234" s="20">
        <f>B232*B$18</f>
        <v>4461564.873520683</v>
      </c>
      <c r="C234" s="20">
        <f>B234/E234</f>
        <v>140.83023576389874</v>
      </c>
      <c r="D234" s="20">
        <f>C234*1000/(365*$F$29)</f>
        <v>54.47356520779978</v>
      </c>
      <c r="E234" s="20">
        <f>B$5*E232</f>
        <v>31680.44737921533</v>
      </c>
      <c r="F234" s="20">
        <f>B234*H234</f>
        <v>0</v>
      </c>
      <c r="G234" s="20">
        <f>F234/E234</f>
        <v>0</v>
      </c>
      <c r="H234" s="29">
        <f>H$59</f>
        <v>0</v>
      </c>
    </row>
    <row r="235" spans="1:8" ht="12.75">
      <c r="A235" t="s">
        <v>29</v>
      </c>
      <c r="B235" s="23">
        <f>B232*B$19</f>
        <v>8799822.796136625</v>
      </c>
      <c r="C235" s="23">
        <f>B235/E235</f>
        <v>140.83023576389874</v>
      </c>
      <c r="D235" s="23">
        <f>C235*1000/(365*$F$29)</f>
        <v>54.47356520779978</v>
      </c>
      <c r="E235" s="23">
        <f>B$6*E232</f>
        <v>62485.32318648879</v>
      </c>
      <c r="F235" s="23">
        <f>B235*H235</f>
        <v>0</v>
      </c>
      <c r="G235" s="23">
        <f>F235/E235</f>
        <v>0</v>
      </c>
      <c r="H235" s="30">
        <f>H$60</f>
        <v>0</v>
      </c>
    </row>
    <row r="236" ht="12.75">
      <c r="B236" s="42" t="s">
        <v>135</v>
      </c>
    </row>
    <row r="237" spans="1:8" ht="12.75">
      <c r="A237" s="7" t="s">
        <v>26</v>
      </c>
      <c r="B237" s="7">
        <f>E237*$F$26</f>
        <v>152390.36293206178</v>
      </c>
      <c r="C237" s="7">
        <f>B237/E237</f>
        <v>1.5211790000000003</v>
      </c>
      <c r="D237" s="31">
        <f>C237*1000/(365*$F$29)</f>
        <v>0.5883966820034079</v>
      </c>
      <c r="E237" s="7">
        <f>D230/$F$29</f>
        <v>100179.1129985766</v>
      </c>
      <c r="F237" s="7">
        <f>H$165*B237</f>
        <v>8050173.312249095</v>
      </c>
      <c r="G237" s="8">
        <f>F237/E237</f>
        <v>80.357801854</v>
      </c>
      <c r="H237" s="8">
        <f>$F$27</f>
        <v>52.826</v>
      </c>
    </row>
    <row r="238" spans="1:8" ht="12.75">
      <c r="A238" t="s">
        <v>27</v>
      </c>
      <c r="B238" s="33">
        <f>B237*$F$17</f>
        <v>3802.5457495784435</v>
      </c>
      <c r="C238" s="33"/>
      <c r="D238" s="33"/>
      <c r="E238" s="33"/>
      <c r="F238" s="33"/>
      <c r="G238" s="32"/>
      <c r="H238" s="36"/>
    </row>
    <row r="239" spans="1:8" ht="12.75">
      <c r="A239" t="s">
        <v>28</v>
      </c>
      <c r="B239" s="20">
        <f>B237*$F$18</f>
        <v>30049.764803357677</v>
      </c>
      <c r="C239" s="20"/>
      <c r="D239" s="20"/>
      <c r="E239" s="20"/>
      <c r="F239" s="20"/>
      <c r="G239" s="25"/>
      <c r="H239" s="29"/>
    </row>
    <row r="240" spans="1:8" ht="12.75">
      <c r="A240" t="s">
        <v>29</v>
      </c>
      <c r="B240" s="23">
        <f>B237*$F$19</f>
        <v>118538.05237912566</v>
      </c>
      <c r="C240" s="23"/>
      <c r="D240" s="23"/>
      <c r="E240" s="23"/>
      <c r="F240" s="23"/>
      <c r="G240" s="26"/>
      <c r="H240" s="30"/>
    </row>
    <row r="241" ht="12.75">
      <c r="B241" s="42" t="s">
        <v>30</v>
      </c>
    </row>
    <row r="242" spans="1:8" ht="12.75">
      <c r="A242" s="7" t="s">
        <v>26</v>
      </c>
      <c r="B242" s="7">
        <f>E242*$F$24</f>
        <v>1355947.5270686192</v>
      </c>
      <c r="C242" s="7">
        <f>B242/E242</f>
        <v>13.535231910946198</v>
      </c>
      <c r="D242" s="7">
        <f>C242*1000/(365*$F$29)</f>
        <v>5.235469031946527</v>
      </c>
      <c r="E242" s="7">
        <f>D230/$F$29</f>
        <v>100179.1129985766</v>
      </c>
      <c r="F242" s="7">
        <f>H$170*B242</f>
        <v>5423790.108274477</v>
      </c>
      <c r="G242" s="8">
        <f>F242/E242</f>
        <v>54.14092764378479</v>
      </c>
      <c r="H242" s="8">
        <f>$F$28</f>
        <v>4</v>
      </c>
    </row>
    <row r="243" spans="1:8" ht="12.75">
      <c r="A243" t="s">
        <v>27</v>
      </c>
      <c r="B243" s="33">
        <f>B242*$D$17</f>
        <v>50126.36438854745</v>
      </c>
      <c r="C243" s="33"/>
      <c r="D243" s="33"/>
      <c r="E243" s="33"/>
      <c r="F243" s="33"/>
      <c r="G243" s="32"/>
      <c r="H243" s="36"/>
    </row>
    <row r="244" spans="1:8" ht="12.75">
      <c r="A244" t="s">
        <v>28</v>
      </c>
      <c r="B244" s="20">
        <f>B242*$D$18</f>
        <v>264083.6884062463</v>
      </c>
      <c r="C244" s="20"/>
      <c r="D244" s="20"/>
      <c r="E244" s="20"/>
      <c r="F244" s="20"/>
      <c r="G244" s="25"/>
      <c r="H244" s="29"/>
    </row>
    <row r="245" spans="1:8" ht="12.75">
      <c r="A245" t="s">
        <v>29</v>
      </c>
      <c r="B245" s="23">
        <f>B242*$D$19</f>
        <v>1041737.4742738254</v>
      </c>
      <c r="C245" s="23"/>
      <c r="D245" s="23"/>
      <c r="E245" s="23"/>
      <c r="F245" s="23"/>
      <c r="G245" s="26"/>
      <c r="H245" s="30"/>
    </row>
    <row r="246" ht="12.75">
      <c r="B246" s="42" t="s">
        <v>143</v>
      </c>
    </row>
    <row r="247" spans="1:7" ht="12.75">
      <c r="A247" s="7" t="s">
        <v>26</v>
      </c>
      <c r="B247" s="7">
        <f>E230</f>
        <v>16127114.349229207</v>
      </c>
      <c r="C247" s="7">
        <f>B247/E247</f>
        <v>160.9828023677785</v>
      </c>
      <c r="D247" s="7">
        <f>C247*1000/(365*$F$29)</f>
        <v>62.26863950449697</v>
      </c>
      <c r="E247" s="7">
        <f>D230/$F$29</f>
        <v>100179.1129985766</v>
      </c>
      <c r="F247" s="7">
        <f>F232+F237+F242</f>
        <v>16718860.484031364</v>
      </c>
      <c r="G247" s="8">
        <f>F247/E247</f>
        <v>166.8896837234815</v>
      </c>
    </row>
    <row r="248" spans="1:8" ht="12.75">
      <c r="A248" t="s">
        <v>27</v>
      </c>
      <c r="B248" s="33"/>
      <c r="C248" s="33"/>
      <c r="D248" s="33"/>
      <c r="E248" s="33"/>
      <c r="F248" s="33"/>
      <c r="G248" s="32"/>
      <c r="H248" s="36"/>
    </row>
    <row r="249" spans="1:8" ht="12.75">
      <c r="A249" t="s">
        <v>28</v>
      </c>
      <c r="B249" s="20"/>
      <c r="C249" s="20"/>
      <c r="D249" s="20"/>
      <c r="E249" s="20"/>
      <c r="F249" s="20"/>
      <c r="G249" s="25"/>
      <c r="H249" s="29"/>
    </row>
    <row r="250" spans="1:8" ht="12.75">
      <c r="A250" t="s">
        <v>29</v>
      </c>
      <c r="B250" s="23"/>
      <c r="C250" s="23"/>
      <c r="D250" s="23"/>
      <c r="E250" s="23"/>
      <c r="F250" s="23"/>
      <c r="G250" s="26"/>
      <c r="H250" s="30"/>
    </row>
    <row r="252" spans="1:8" ht="12.75">
      <c r="A252" s="41" t="s">
        <v>149</v>
      </c>
      <c r="H252" s="10">
        <v>2012</v>
      </c>
    </row>
    <row r="253" spans="1:8" ht="12.75">
      <c r="A253" s="10" t="s">
        <v>73</v>
      </c>
      <c r="B253" s="9" t="s">
        <v>144</v>
      </c>
      <c r="C253" s="9" t="s">
        <v>58</v>
      </c>
      <c r="D253" s="9" t="s">
        <v>303</v>
      </c>
      <c r="E253" s="9" t="s">
        <v>78</v>
      </c>
      <c r="G253" s="9" t="s">
        <v>72</v>
      </c>
      <c r="H253" s="10">
        <f>H252-2009</f>
        <v>3</v>
      </c>
    </row>
    <row r="254" spans="1:9" ht="12.75">
      <c r="A254" s="9">
        <f>($B$92*(1-($E$129*(1+$E$131)^$F254)-$E$133*(1+$E$135)^($F254)))/((1-$E$129-$E$133))</f>
        <v>14064886.820363447</v>
      </c>
      <c r="B254" s="7">
        <f>E254-(B256+B261+B266)</f>
        <v>1036674.8409740739</v>
      </c>
      <c r="C254" s="9">
        <f>$E$122</f>
        <v>700061.4217466069</v>
      </c>
      <c r="D254" s="9">
        <f>(C254*(1+$E$119)^F254)*($E$126*(1+$E$125)^$F254)</f>
        <v>733002.167595542</v>
      </c>
      <c r="E254" s="9">
        <f>(D254/$F$29)*$G$33</f>
        <v>16659712.421457913</v>
      </c>
      <c r="F254" s="8">
        <f>H253-1</f>
        <v>2</v>
      </c>
      <c r="H254" s="14" t="s">
        <v>49</v>
      </c>
      <c r="I254" s="93"/>
    </row>
    <row r="255" spans="2:8" ht="12.75">
      <c r="B255" s="42" t="s">
        <v>35</v>
      </c>
      <c r="C255" s="7" t="s">
        <v>69</v>
      </c>
      <c r="D255" s="7" t="s">
        <v>43</v>
      </c>
      <c r="E255" s="7" t="s">
        <v>66</v>
      </c>
      <c r="F255" s="7" t="s">
        <v>70</v>
      </c>
      <c r="G255" s="7" t="s">
        <v>68</v>
      </c>
      <c r="H255" s="13" t="s">
        <v>67</v>
      </c>
    </row>
    <row r="256" spans="1:8" ht="12.75">
      <c r="A256" s="7" t="s">
        <v>26</v>
      </c>
      <c r="B256" s="7">
        <f>A254</f>
        <v>14064886.820363447</v>
      </c>
      <c r="C256" s="7">
        <f>B256/E256</f>
        <v>135.90900239138688</v>
      </c>
      <c r="D256" s="31">
        <f>C256*1000/(365*$F$29)</f>
        <v>52.570017112703525</v>
      </c>
      <c r="E256" s="7">
        <f>D254/$F$29</f>
        <v>103487.5289560274</v>
      </c>
      <c r="F256" s="7">
        <f>B256*H256</f>
        <v>3234923.968683593</v>
      </c>
      <c r="G256" s="7">
        <f>F256/E256</f>
        <v>31.259070550018986</v>
      </c>
      <c r="H256" s="13">
        <f>H$56</f>
        <v>0.23</v>
      </c>
    </row>
    <row r="257" spans="1:8" ht="12.75">
      <c r="A257" t="s">
        <v>27</v>
      </c>
      <c r="B257" s="33">
        <f>B256*B$17</f>
        <v>844257.6321437572</v>
      </c>
      <c r="C257" s="33">
        <f>B257/E257</f>
        <v>135.90900239138688</v>
      </c>
      <c r="D257" s="33">
        <f>C257*1000/(365*$F$29)</f>
        <v>52.570017112703525</v>
      </c>
      <c r="E257" s="33">
        <f>B$4*E256</f>
        <v>6211.933111777895</v>
      </c>
      <c r="F257" s="33">
        <f>B257*H257</f>
        <v>0</v>
      </c>
      <c r="G257" s="33">
        <f>F257/E257</f>
        <v>0</v>
      </c>
      <c r="H257" s="36">
        <f>H$58</f>
        <v>0</v>
      </c>
    </row>
    <row r="258" spans="1:8" ht="12.75">
      <c r="A258" t="s">
        <v>28</v>
      </c>
      <c r="B258" s="20">
        <f>B256*B$18</f>
        <v>4447852.386290089</v>
      </c>
      <c r="C258" s="20">
        <f>B258/E258</f>
        <v>135.9090023913869</v>
      </c>
      <c r="D258" s="20">
        <f>C258*1000/(365*$F$29)</f>
        <v>52.57001711270354</v>
      </c>
      <c r="E258" s="20">
        <f>B$5*E256</f>
        <v>32726.69439130522</v>
      </c>
      <c r="F258" s="20">
        <f>B258*H258</f>
        <v>0</v>
      </c>
      <c r="G258" s="20">
        <f>F258/E258</f>
        <v>0</v>
      </c>
      <c r="H258" s="29">
        <f>H$59</f>
        <v>0</v>
      </c>
    </row>
    <row r="259" spans="1:8" ht="12.75">
      <c r="A259" t="s">
        <v>29</v>
      </c>
      <c r="B259" s="23">
        <f>B256*B$19</f>
        <v>8772776.801929599</v>
      </c>
      <c r="C259" s="23">
        <f>B259/E259</f>
        <v>135.90900239138688</v>
      </c>
      <c r="D259" s="23">
        <f>C259*1000/(365*$F$29)</f>
        <v>52.570017112703525</v>
      </c>
      <c r="E259" s="23">
        <f>B$6*E256</f>
        <v>64548.90145294427</v>
      </c>
      <c r="F259" s="23">
        <f>B259*H259</f>
        <v>0</v>
      </c>
      <c r="G259" s="23">
        <f>F259/E259</f>
        <v>0</v>
      </c>
      <c r="H259" s="30">
        <f>H$60</f>
        <v>0</v>
      </c>
    </row>
    <row r="260" ht="12.75">
      <c r="B260" s="42" t="s">
        <v>135</v>
      </c>
    </row>
    <row r="261" spans="1:8" ht="12.75">
      <c r="A261" s="7" t="s">
        <v>26</v>
      </c>
      <c r="B261" s="7">
        <f>E261*$F$26</f>
        <v>157423.0558098008</v>
      </c>
      <c r="C261" s="7">
        <f>B261/E261</f>
        <v>1.521179</v>
      </c>
      <c r="D261" s="31">
        <f>C261*1000/(365*$F$29)</f>
        <v>0.5883966820034078</v>
      </c>
      <c r="E261" s="7">
        <f>D254/$F$29</f>
        <v>103487.5289560274</v>
      </c>
      <c r="F261" s="7">
        <f>H261*B261</f>
        <v>8316030.346208537</v>
      </c>
      <c r="G261" s="8">
        <f>F261/E261</f>
        <v>80.357801854</v>
      </c>
      <c r="H261" s="8">
        <f>$F$27</f>
        <v>52.826</v>
      </c>
    </row>
    <row r="262" spans="1:8" ht="12.75">
      <c r="A262" t="s">
        <v>27</v>
      </c>
      <c r="B262" s="33">
        <f>B261*$F$17</f>
        <v>3928.124851451912</v>
      </c>
      <c r="C262" s="33"/>
      <c r="D262" s="33"/>
      <c r="E262" s="33"/>
      <c r="F262" s="33"/>
      <c r="G262" s="32"/>
      <c r="H262" s="36"/>
    </row>
    <row r="263" spans="1:8" ht="12.75">
      <c r="A263" t="s">
        <v>28</v>
      </c>
      <c r="B263" s="20">
        <f>B261*$F$18</f>
        <v>31042.15851116066</v>
      </c>
      <c r="C263" s="20"/>
      <c r="D263" s="20"/>
      <c r="E263" s="20"/>
      <c r="F263" s="20"/>
      <c r="G263" s="25"/>
      <c r="H263" s="29"/>
    </row>
    <row r="264" spans="1:8" ht="12.75">
      <c r="A264" t="s">
        <v>29</v>
      </c>
      <c r="B264" s="23">
        <f>B261*$F$19</f>
        <v>122452.77244718824</v>
      </c>
      <c r="C264" s="23"/>
      <c r="D264" s="23"/>
      <c r="E264" s="23"/>
      <c r="F264" s="23"/>
      <c r="G264" s="26"/>
      <c r="H264" s="30"/>
    </row>
    <row r="265" ht="12.75">
      <c r="B265" s="42" t="s">
        <v>30</v>
      </c>
    </row>
    <row r="266" spans="1:8" ht="12.75">
      <c r="A266" s="7" t="s">
        <v>26</v>
      </c>
      <c r="B266" s="7">
        <f>E266*$F$24</f>
        <v>1400727.7043105909</v>
      </c>
      <c r="C266" s="7">
        <f>B266/E266</f>
        <v>13.5352319109462</v>
      </c>
      <c r="D266" s="7">
        <f>C266*1000/(365*$F$29)</f>
        <v>5.235469031946528</v>
      </c>
      <c r="E266" s="7">
        <f>D254/$F$29</f>
        <v>103487.5289560274</v>
      </c>
      <c r="F266" s="7">
        <f>H266*B266</f>
        <v>5602910.8172423635</v>
      </c>
      <c r="G266" s="8">
        <f>F266/E266</f>
        <v>54.1409276437848</v>
      </c>
      <c r="H266" s="8">
        <f>$F$28</f>
        <v>4</v>
      </c>
    </row>
    <row r="267" spans="1:8" ht="12.75">
      <c r="A267" t="s">
        <v>27</v>
      </c>
      <c r="B267" s="33">
        <f>B266*$D$17</f>
        <v>51781.78794809145</v>
      </c>
      <c r="C267" s="33"/>
      <c r="D267" s="33"/>
      <c r="E267" s="33"/>
      <c r="F267" s="33"/>
      <c r="G267" s="32"/>
      <c r="H267" s="36"/>
    </row>
    <row r="268" spans="1:8" ht="12.75">
      <c r="A268" t="s">
        <v>28</v>
      </c>
      <c r="B268" s="20">
        <f>B266*$D$18</f>
        <v>272805.0541947227</v>
      </c>
      <c r="C268" s="20"/>
      <c r="D268" s="20"/>
      <c r="E268" s="20"/>
      <c r="F268" s="20"/>
      <c r="G268" s="25"/>
      <c r="H268" s="29"/>
    </row>
    <row r="269" spans="1:8" ht="12.75">
      <c r="A269" t="s">
        <v>29</v>
      </c>
      <c r="B269" s="23">
        <f>B266*$D$19</f>
        <v>1076140.8621677768</v>
      </c>
      <c r="C269" s="23"/>
      <c r="D269" s="23"/>
      <c r="E269" s="23"/>
      <c r="F269" s="23"/>
      <c r="G269" s="26"/>
      <c r="H269" s="30"/>
    </row>
    <row r="270" ht="12.75">
      <c r="B270" s="42" t="s">
        <v>143</v>
      </c>
    </row>
    <row r="271" spans="1:7" ht="12.75">
      <c r="A271" s="7" t="s">
        <v>26</v>
      </c>
      <c r="B271" s="7">
        <f>E254</f>
        <v>16659712.421457913</v>
      </c>
      <c r="C271" s="7">
        <f>B271/E271</f>
        <v>160.9828023677785</v>
      </c>
      <c r="D271" s="7">
        <f>C271*1000/(365*$F$29)</f>
        <v>62.26863950449697</v>
      </c>
      <c r="E271" s="7">
        <f>D254/$F$29</f>
        <v>103487.5289560274</v>
      </c>
      <c r="F271" s="7">
        <f>F256+F261+F266</f>
        <v>17153865.132134493</v>
      </c>
      <c r="G271" s="8">
        <f>F271/E271</f>
        <v>165.75780004780378</v>
      </c>
    </row>
    <row r="272" spans="1:8" ht="12.75">
      <c r="A272" t="s">
        <v>27</v>
      </c>
      <c r="B272" s="33"/>
      <c r="C272" s="33"/>
      <c r="D272" s="33"/>
      <c r="E272" s="33"/>
      <c r="F272" s="33"/>
      <c r="G272" s="32"/>
      <c r="H272" s="36"/>
    </row>
    <row r="273" spans="1:8" ht="12.75">
      <c r="A273" t="s">
        <v>28</v>
      </c>
      <c r="B273" s="20"/>
      <c r="C273" s="20"/>
      <c r="D273" s="20"/>
      <c r="E273" s="20"/>
      <c r="F273" s="20"/>
      <c r="G273" s="25"/>
      <c r="H273" s="29"/>
    </row>
    <row r="274" spans="1:8" ht="12.75">
      <c r="A274" t="s">
        <v>29</v>
      </c>
      <c r="B274" s="23"/>
      <c r="C274" s="23"/>
      <c r="D274" s="23"/>
      <c r="E274" s="23"/>
      <c r="F274" s="23"/>
      <c r="G274" s="26"/>
      <c r="H274" s="30"/>
    </row>
    <row r="276" spans="1:8" ht="12.75">
      <c r="A276" s="41" t="s">
        <v>149</v>
      </c>
      <c r="H276" s="14">
        <v>2012</v>
      </c>
    </row>
    <row r="277" spans="1:8" ht="12.75">
      <c r="A277" s="10" t="s">
        <v>73</v>
      </c>
      <c r="B277" s="9" t="s">
        <v>144</v>
      </c>
      <c r="C277" s="9" t="s">
        <v>58</v>
      </c>
      <c r="D277" s="9" t="s">
        <v>303</v>
      </c>
      <c r="E277" s="9" t="s">
        <v>78</v>
      </c>
      <c r="G277" s="9" t="s">
        <v>72</v>
      </c>
      <c r="H277" s="10">
        <f>H276-2009</f>
        <v>3</v>
      </c>
    </row>
    <row r="278" spans="1:9" ht="12.75">
      <c r="A278" s="9">
        <f>($B$92*(1-($E$129*(1+$E$131)^$F278)-$E$133*(1+$E$135)^($F278)))/((1-$E$129-$E$133))</f>
        <v>14064886.820363447</v>
      </c>
      <c r="B278" s="7">
        <f>E278-(B280+B285+B290)</f>
        <v>1036674.8409740739</v>
      </c>
      <c r="C278" s="9">
        <f>$E$122</f>
        <v>700061.4217466069</v>
      </c>
      <c r="D278" s="9">
        <f>(C278*(1+$E$119)^F278)*($E$126*(1+$E$125)^$F278)</f>
        <v>733002.167595542</v>
      </c>
      <c r="E278" s="9">
        <f>(D278/$F$29)*$G$33</f>
        <v>16659712.421457913</v>
      </c>
      <c r="F278" s="8">
        <f>H277-1</f>
        <v>2</v>
      </c>
      <c r="H278" s="14" t="s">
        <v>50</v>
      </c>
      <c r="I278" s="93"/>
    </row>
    <row r="279" spans="2:8" ht="12.75">
      <c r="B279" s="109" t="s">
        <v>35</v>
      </c>
      <c r="C279" s="7" t="s">
        <v>69</v>
      </c>
      <c r="D279" s="7" t="s">
        <v>43</v>
      </c>
      <c r="E279" s="7" t="s">
        <v>66</v>
      </c>
      <c r="F279" s="7" t="s">
        <v>70</v>
      </c>
      <c r="G279" s="7" t="s">
        <v>68</v>
      </c>
      <c r="H279" s="13" t="s">
        <v>67</v>
      </c>
    </row>
    <row r="280" spans="1:8" ht="12.75">
      <c r="A280" s="7" t="s">
        <v>26</v>
      </c>
      <c r="B280" s="7">
        <f>A278</f>
        <v>14064886.820363447</v>
      </c>
      <c r="C280" s="7">
        <f>B280/E280</f>
        <v>135.90900239138688</v>
      </c>
      <c r="D280" s="31">
        <f>C280*1000/(365*$F$29)</f>
        <v>52.570017112703525</v>
      </c>
      <c r="E280" s="7">
        <f>D278/$F$29</f>
        <v>103487.5289560274</v>
      </c>
      <c r="F280" s="7">
        <f>B280*H280</f>
        <v>3234923.968683593</v>
      </c>
      <c r="G280" s="7">
        <f>F280/E280</f>
        <v>31.259070550018986</v>
      </c>
      <c r="H280" s="13">
        <f>H$56</f>
        <v>0.23</v>
      </c>
    </row>
    <row r="281" spans="1:8" ht="12.75">
      <c r="A281" t="s">
        <v>27</v>
      </c>
      <c r="B281" s="33">
        <f>B280*B$17</f>
        <v>844257.6321437572</v>
      </c>
      <c r="C281" s="33">
        <f>B281/E281</f>
        <v>135.90900239138688</v>
      </c>
      <c r="D281" s="33">
        <f>C281*1000/(365*$F$29)</f>
        <v>52.570017112703525</v>
      </c>
      <c r="E281" s="33">
        <f>B$4*E280</f>
        <v>6211.933111777895</v>
      </c>
      <c r="F281" s="33">
        <f>B281*H281</f>
        <v>0</v>
      </c>
      <c r="G281" s="33">
        <f>F281/E281</f>
        <v>0</v>
      </c>
      <c r="H281" s="36">
        <f>H$58</f>
        <v>0</v>
      </c>
    </row>
    <row r="282" spans="1:8" ht="12.75">
      <c r="A282" t="s">
        <v>28</v>
      </c>
      <c r="B282" s="20">
        <f>B280*B$18</f>
        <v>4447852.386290089</v>
      </c>
      <c r="C282" s="20">
        <f>B282/E282</f>
        <v>135.9090023913869</v>
      </c>
      <c r="D282" s="20">
        <f>C282*1000/(365*$F$29)</f>
        <v>52.57001711270354</v>
      </c>
      <c r="E282" s="20">
        <f>B$5*E280</f>
        <v>32726.69439130522</v>
      </c>
      <c r="F282" s="20">
        <f>B282*H282</f>
        <v>0</v>
      </c>
      <c r="G282" s="20">
        <f>F282/E282</f>
        <v>0</v>
      </c>
      <c r="H282" s="29">
        <f>H$59</f>
        <v>0</v>
      </c>
    </row>
    <row r="283" spans="1:8" ht="12.75">
      <c r="A283" t="s">
        <v>29</v>
      </c>
      <c r="B283" s="23">
        <f>B280*B$19</f>
        <v>8772776.801929599</v>
      </c>
      <c r="C283" s="23">
        <f>B283/E283</f>
        <v>135.90900239138688</v>
      </c>
      <c r="D283" s="23">
        <f>C283*1000/(365*$F$29)</f>
        <v>52.570017112703525</v>
      </c>
      <c r="E283" s="23">
        <f>B$6*E280</f>
        <v>64548.90145294427</v>
      </c>
      <c r="F283" s="23">
        <f>B283*H283</f>
        <v>0</v>
      </c>
      <c r="G283" s="23">
        <f>F283/E283</f>
        <v>0</v>
      </c>
      <c r="H283" s="30">
        <f>H$60</f>
        <v>0</v>
      </c>
    </row>
    <row r="284" ht="12.75">
      <c r="B284" s="109" t="s">
        <v>135</v>
      </c>
    </row>
    <row r="285" spans="1:8" ht="12.75">
      <c r="A285" s="7" t="s">
        <v>26</v>
      </c>
      <c r="B285" s="7">
        <f>E285*$F$26</f>
        <v>157423.0558098008</v>
      </c>
      <c r="C285" s="7">
        <f>B285/E285</f>
        <v>1.521179</v>
      </c>
      <c r="D285" s="31">
        <f>C285*1000/(365*$F$29)</f>
        <v>0.5883966820034078</v>
      </c>
      <c r="E285" s="7">
        <f>D278/$F$29</f>
        <v>103487.5289560274</v>
      </c>
      <c r="F285" s="7">
        <f>H$165*B285</f>
        <v>8316030.346208537</v>
      </c>
      <c r="G285" s="8">
        <f>F285/E285</f>
        <v>80.357801854</v>
      </c>
      <c r="H285" s="8">
        <f>$F$27</f>
        <v>52.826</v>
      </c>
    </row>
    <row r="286" spans="1:8" ht="12.75">
      <c r="A286" t="s">
        <v>27</v>
      </c>
      <c r="B286" s="33">
        <f>B285*$F$17</f>
        <v>3928.124851451912</v>
      </c>
      <c r="C286" s="33"/>
      <c r="D286" s="33"/>
      <c r="E286" s="33"/>
      <c r="F286" s="33"/>
      <c r="G286" s="32"/>
      <c r="H286" s="36"/>
    </row>
    <row r="287" spans="1:8" ht="12.75">
      <c r="A287" t="s">
        <v>28</v>
      </c>
      <c r="B287" s="20">
        <f>B285*$F$18</f>
        <v>31042.15851116066</v>
      </c>
      <c r="C287" s="20"/>
      <c r="D287" s="20"/>
      <c r="E287" s="20"/>
      <c r="F287" s="20"/>
      <c r="G287" s="25"/>
      <c r="H287" s="29"/>
    </row>
    <row r="288" spans="1:8" ht="12.75">
      <c r="A288" t="s">
        <v>29</v>
      </c>
      <c r="B288" s="23">
        <f>B285*$F$19</f>
        <v>122452.77244718824</v>
      </c>
      <c r="C288" s="23"/>
      <c r="D288" s="23"/>
      <c r="E288" s="23"/>
      <c r="F288" s="23"/>
      <c r="G288" s="26"/>
      <c r="H288" s="30"/>
    </row>
    <row r="289" ht="12.75">
      <c r="B289" s="109" t="s">
        <v>30</v>
      </c>
    </row>
    <row r="290" spans="1:8" ht="12.75">
      <c r="A290" s="7" t="s">
        <v>26</v>
      </c>
      <c r="B290" s="7">
        <f>E290*$F$24</f>
        <v>1400727.7043105909</v>
      </c>
      <c r="C290" s="7">
        <f>B290/E290</f>
        <v>13.5352319109462</v>
      </c>
      <c r="D290" s="7">
        <f>C290*1000/(365*$F$29)</f>
        <v>5.235469031946528</v>
      </c>
      <c r="E290" s="7">
        <f>D278/$F$29</f>
        <v>103487.5289560274</v>
      </c>
      <c r="F290" s="7">
        <f>H$170*B290</f>
        <v>5602910.8172423635</v>
      </c>
      <c r="G290" s="8">
        <f>F290/E290</f>
        <v>54.1409276437848</v>
      </c>
      <c r="H290" s="8">
        <f>$F$28</f>
        <v>4</v>
      </c>
    </row>
    <row r="291" spans="1:8" ht="12.75">
      <c r="A291" t="s">
        <v>27</v>
      </c>
      <c r="B291" s="33">
        <f>B290*$D$17</f>
        <v>51781.78794809145</v>
      </c>
      <c r="C291" s="33"/>
      <c r="D291" s="33"/>
      <c r="E291" s="33"/>
      <c r="F291" s="33"/>
      <c r="G291" s="32"/>
      <c r="H291" s="36"/>
    </row>
    <row r="292" spans="1:8" ht="12.75">
      <c r="A292" t="s">
        <v>28</v>
      </c>
      <c r="B292" s="20">
        <f>B290*$D$18</f>
        <v>272805.0541947227</v>
      </c>
      <c r="C292" s="20"/>
      <c r="D292" s="20"/>
      <c r="E292" s="20"/>
      <c r="F292" s="20"/>
      <c r="G292" s="25"/>
      <c r="H292" s="29"/>
    </row>
    <row r="293" spans="1:8" ht="12.75">
      <c r="A293" t="s">
        <v>29</v>
      </c>
      <c r="B293" s="23">
        <f>B290*$D$19</f>
        <v>1076140.8621677768</v>
      </c>
      <c r="C293" s="23"/>
      <c r="D293" s="23"/>
      <c r="E293" s="23"/>
      <c r="F293" s="23"/>
      <c r="G293" s="26"/>
      <c r="H293" s="30"/>
    </row>
    <row r="294" ht="12.75">
      <c r="B294" s="42" t="s">
        <v>143</v>
      </c>
    </row>
    <row r="295" spans="1:7" ht="12.75">
      <c r="A295" s="7" t="s">
        <v>26</v>
      </c>
      <c r="B295" s="7">
        <f>IF(E278&gt;=(B280+B285),E278,(B280+B285+B290))</f>
        <v>16659712.421457913</v>
      </c>
      <c r="C295" s="7">
        <f>B295/E295</f>
        <v>160.9828023677785</v>
      </c>
      <c r="D295" s="7">
        <f>C295*1000/(365*$F$29)</f>
        <v>62.26863950449697</v>
      </c>
      <c r="E295" s="7">
        <f>D278/$F$29</f>
        <v>103487.5289560274</v>
      </c>
      <c r="F295" s="7">
        <f>F280+F285+F290</f>
        <v>17153865.132134493</v>
      </c>
      <c r="G295" s="8">
        <f>F295/E295</f>
        <v>165.75780004780378</v>
      </c>
    </row>
    <row r="296" spans="1:8" ht="12.75">
      <c r="A296" t="s">
        <v>27</v>
      </c>
      <c r="B296" s="33"/>
      <c r="C296" s="33"/>
      <c r="D296" s="33"/>
      <c r="E296" s="33"/>
      <c r="F296" s="33"/>
      <c r="G296" s="32"/>
      <c r="H296" s="36"/>
    </row>
    <row r="297" spans="1:8" ht="12.75">
      <c r="A297" t="s">
        <v>28</v>
      </c>
      <c r="B297" s="20"/>
      <c r="C297" s="20"/>
      <c r="D297" s="20"/>
      <c r="E297" s="20"/>
      <c r="F297" s="20"/>
      <c r="G297" s="25"/>
      <c r="H297" s="29"/>
    </row>
    <row r="298" spans="1:8" ht="12.75">
      <c r="A298" t="s">
        <v>29</v>
      </c>
      <c r="B298" s="23"/>
      <c r="C298" s="23"/>
      <c r="D298" s="23"/>
      <c r="E298" s="23"/>
      <c r="F298" s="23"/>
      <c r="G298" s="26"/>
      <c r="H298" s="30"/>
    </row>
    <row r="300" spans="1:8" ht="12.75">
      <c r="A300" s="41" t="s">
        <v>149</v>
      </c>
      <c r="H300" s="10">
        <v>2013</v>
      </c>
    </row>
    <row r="301" spans="1:8" ht="12.75">
      <c r="A301" s="10" t="s">
        <v>73</v>
      </c>
      <c r="B301" s="9" t="s">
        <v>144</v>
      </c>
      <c r="C301" s="9" t="s">
        <v>58</v>
      </c>
      <c r="D301" s="9" t="s">
        <v>303</v>
      </c>
      <c r="E301" s="9" t="s">
        <v>78</v>
      </c>
      <c r="G301" s="9" t="s">
        <v>72</v>
      </c>
      <c r="H301" s="10">
        <f>H300-2009</f>
        <v>4</v>
      </c>
    </row>
    <row r="302" spans="1:9" ht="12.75">
      <c r="A302" s="9">
        <f>($B$92*(1-($E$129*(1+$E$131)^$F302)-$E$133*(1+$E$135)^($F302)))/((1-$E$129-$E$133))</f>
        <v>14021341.308466716</v>
      </c>
      <c r="B302" s="7">
        <f>E302-(B304+B309+B314)</f>
        <v>1578949.5398971029</v>
      </c>
      <c r="C302" s="9">
        <f>$E$122</f>
        <v>700061.4217466069</v>
      </c>
      <c r="D302" s="9">
        <f>(C302*(1+$E$119)^F302)*($E$126*(1+$E$125)^$F302)</f>
        <v>757209.5696729945</v>
      </c>
      <c r="E302" s="9">
        <f>(D302/$F$29)*$G$33</f>
        <v>17209899.54901289</v>
      </c>
      <c r="F302" s="8">
        <f>H301-1</f>
        <v>3</v>
      </c>
      <c r="H302" s="14" t="s">
        <v>49</v>
      </c>
      <c r="I302" s="93"/>
    </row>
    <row r="303" spans="2:8" ht="12.75">
      <c r="B303" s="42" t="s">
        <v>35</v>
      </c>
      <c r="C303" s="7" t="s">
        <v>74</v>
      </c>
      <c r="D303" s="7" t="s">
        <v>43</v>
      </c>
      <c r="E303" s="7" t="s">
        <v>66</v>
      </c>
      <c r="F303" s="7" t="s">
        <v>75</v>
      </c>
      <c r="G303" s="7" t="s">
        <v>76</v>
      </c>
      <c r="H303" s="13" t="s">
        <v>67</v>
      </c>
    </row>
    <row r="304" spans="1:8" ht="12.75">
      <c r="A304" s="7" t="s">
        <v>26</v>
      </c>
      <c r="B304" s="7">
        <f>A302</f>
        <v>14021341.308466716</v>
      </c>
      <c r="C304" s="7">
        <f>B304/E304</f>
        <v>131.15676883317616</v>
      </c>
      <c r="D304" s="31">
        <f>C304*1000/(365*$F$29)</f>
        <v>50.731838661806925</v>
      </c>
      <c r="E304" s="7">
        <f>D302/$F$29</f>
        <v>106905.20537526395</v>
      </c>
      <c r="F304" s="7">
        <f>B304*H304</f>
        <v>3224908.5009473446</v>
      </c>
      <c r="G304" s="7">
        <f>F304/E304</f>
        <v>30.166056831630517</v>
      </c>
      <c r="H304" s="13">
        <f>H$56</f>
        <v>0.23</v>
      </c>
    </row>
    <row r="305" spans="1:8" ht="12.75">
      <c r="A305" t="s">
        <v>27</v>
      </c>
      <c r="B305" s="33">
        <f>B304*B$17</f>
        <v>841643.7731604631</v>
      </c>
      <c r="C305" s="33">
        <f>B305/E305</f>
        <v>131.15676883317616</v>
      </c>
      <c r="D305" s="33">
        <f>C305*1000/(365*$F$29)</f>
        <v>50.731838661806925</v>
      </c>
      <c r="E305" s="33">
        <f>B$4*E304</f>
        <v>6417.082249342277</v>
      </c>
      <c r="F305" s="33">
        <f>B305*H305</f>
        <v>0</v>
      </c>
      <c r="G305" s="33">
        <f>F305/E305</f>
        <v>0</v>
      </c>
      <c r="H305" s="36">
        <f>H$58</f>
        <v>0</v>
      </c>
    </row>
    <row r="306" spans="1:8" ht="12.75">
      <c r="A306" t="s">
        <v>28</v>
      </c>
      <c r="B306" s="20">
        <f>B304*B$18</f>
        <v>4434081.638506916</v>
      </c>
      <c r="C306" s="20">
        <f>B306/E306</f>
        <v>131.1567688331762</v>
      </c>
      <c r="D306" s="20">
        <f>C306*1000/(365*$F$29)</f>
        <v>50.73183866180694</v>
      </c>
      <c r="E306" s="20">
        <f>B$5*E304</f>
        <v>33807.493718809215</v>
      </c>
      <c r="F306" s="20">
        <f>B306*H306</f>
        <v>0</v>
      </c>
      <c r="G306" s="20">
        <f>F306/E306</f>
        <v>0</v>
      </c>
      <c r="H306" s="29">
        <f>H$59</f>
        <v>0</v>
      </c>
    </row>
    <row r="307" spans="1:8" ht="12.75">
      <c r="A307" t="s">
        <v>29</v>
      </c>
      <c r="B307" s="23">
        <f>B304*B$19</f>
        <v>8745615.896799335</v>
      </c>
      <c r="C307" s="23">
        <f>B307/E307</f>
        <v>131.15676883317616</v>
      </c>
      <c r="D307" s="23">
        <f>C307*1000/(365*$F$29)</f>
        <v>50.731838661806925</v>
      </c>
      <c r="E307" s="23">
        <f>B$6*E304</f>
        <v>66680.62940711244</v>
      </c>
      <c r="F307" s="23">
        <f>B307*H307</f>
        <v>0</v>
      </c>
      <c r="G307" s="23">
        <f>F307/E307</f>
        <v>0</v>
      </c>
      <c r="H307" s="30">
        <f>H$60</f>
        <v>0</v>
      </c>
    </row>
    <row r="308" ht="12.75">
      <c r="B308" s="42" t="s">
        <v>135</v>
      </c>
    </row>
    <row r="309" spans="1:8" ht="12.75">
      <c r="A309" s="7" t="s">
        <v>26</v>
      </c>
      <c r="B309" s="7">
        <f>E309*$F$26</f>
        <v>162621.95340753865</v>
      </c>
      <c r="C309" s="7">
        <f>B309/E309</f>
        <v>1.521179</v>
      </c>
      <c r="D309" s="31">
        <f>C309*1000/(365*$F$29)</f>
        <v>0.5883966820034078</v>
      </c>
      <c r="E309" s="7">
        <f>D302/$F$29</f>
        <v>106905.20537526395</v>
      </c>
      <c r="F309" s="7">
        <f>H309*B309</f>
        <v>8590667.310706636</v>
      </c>
      <c r="G309" s="8">
        <f>F309/E309</f>
        <v>80.357801854</v>
      </c>
      <c r="H309" s="8">
        <f>$F$27</f>
        <v>52.826</v>
      </c>
    </row>
    <row r="310" spans="1:8" ht="12.75">
      <c r="A310" t="s">
        <v>27</v>
      </c>
      <c r="B310" s="33">
        <f>B309*$F$17</f>
        <v>4057.8512041057543</v>
      </c>
      <c r="C310" s="33"/>
      <c r="D310" s="33"/>
      <c r="E310" s="33"/>
      <c r="F310" s="33"/>
      <c r="G310" s="32"/>
      <c r="H310" s="36"/>
    </row>
    <row r="311" spans="1:8" ht="12.75">
      <c r="A311" t="s">
        <v>28</v>
      </c>
      <c r="B311" s="20">
        <f>B309*$F$18</f>
        <v>32067.326028600142</v>
      </c>
      <c r="C311" s="20"/>
      <c r="D311" s="20"/>
      <c r="E311" s="20"/>
      <c r="F311" s="20"/>
      <c r="G311" s="25"/>
      <c r="H311" s="29"/>
    </row>
    <row r="312" spans="1:8" ht="12.75">
      <c r="A312" t="s">
        <v>29</v>
      </c>
      <c r="B312" s="23">
        <f>B309*$F$19</f>
        <v>126496.77617483275</v>
      </c>
      <c r="C312" s="23"/>
      <c r="D312" s="23"/>
      <c r="E312" s="23"/>
      <c r="F312" s="23"/>
      <c r="G312" s="26"/>
      <c r="H312" s="30"/>
    </row>
    <row r="313" ht="12.75">
      <c r="B313" s="42" t="s">
        <v>30</v>
      </c>
    </row>
    <row r="314" spans="1:8" ht="12.75">
      <c r="A314" s="7" t="s">
        <v>26</v>
      </c>
      <c r="B314" s="7">
        <f>E314*$F$24</f>
        <v>1446986.7472415299</v>
      </c>
      <c r="C314" s="7">
        <f>B314/E314</f>
        <v>13.5352319109462</v>
      </c>
      <c r="D314" s="7">
        <f>C314*1000/(365*$F$29)</f>
        <v>5.235469031946528</v>
      </c>
      <c r="E314" s="7">
        <f>D302/$F$29</f>
        <v>106905.20537526395</v>
      </c>
      <c r="F314" s="7">
        <f>H314*B314</f>
        <v>5787946.9889661195</v>
      </c>
      <c r="G314" s="8">
        <f>F314/E314</f>
        <v>54.1409276437848</v>
      </c>
      <c r="H314" s="8">
        <f>$F$28</f>
        <v>4</v>
      </c>
    </row>
    <row r="315" spans="1:8" ht="12.75">
      <c r="A315" t="s">
        <v>27</v>
      </c>
      <c r="B315" s="33">
        <f>B314*$D$17</f>
        <v>53491.88188309396</v>
      </c>
      <c r="C315" s="33"/>
      <c r="D315" s="33"/>
      <c r="E315" s="33"/>
      <c r="F315" s="33"/>
      <c r="G315" s="32"/>
      <c r="H315" s="36"/>
    </row>
    <row r="316" spans="1:8" ht="12.75">
      <c r="A316" t="s">
        <v>28</v>
      </c>
      <c r="B316" s="20">
        <f>B314*$D$18</f>
        <v>281814.4431537152</v>
      </c>
      <c r="C316" s="20"/>
      <c r="D316" s="20"/>
      <c r="E316" s="20"/>
      <c r="F316" s="20"/>
      <c r="G316" s="25"/>
      <c r="H316" s="29"/>
    </row>
    <row r="317" spans="1:8" ht="12.75">
      <c r="A317" t="s">
        <v>29</v>
      </c>
      <c r="B317" s="23">
        <f>B314*$D$19</f>
        <v>1111680.4222047208</v>
      </c>
      <c r="C317" s="23"/>
      <c r="D317" s="23"/>
      <c r="E317" s="23"/>
      <c r="F317" s="23"/>
      <c r="G317" s="26"/>
      <c r="H317" s="30"/>
    </row>
    <row r="318" ht="12.75">
      <c r="B318" s="42" t="s">
        <v>143</v>
      </c>
    </row>
    <row r="319" spans="1:7" ht="12.75">
      <c r="A319" s="7" t="s">
        <v>26</v>
      </c>
      <c r="B319" s="7">
        <f>E302</f>
        <v>17209899.54901289</v>
      </c>
      <c r="C319" s="7">
        <f>B319/E319</f>
        <v>160.9828023677785</v>
      </c>
      <c r="D319" s="7">
        <f>C319*1000/(365*$F$29)</f>
        <v>62.26863950449697</v>
      </c>
      <c r="E319" s="7">
        <f>D302/$F$29</f>
        <v>106905.20537526395</v>
      </c>
      <c r="F319" s="7">
        <f>F304+F309+F314</f>
        <v>17603522.8006201</v>
      </c>
      <c r="G319" s="8">
        <f>F319/E319</f>
        <v>164.66478632941534</v>
      </c>
    </row>
    <row r="320" spans="1:8" ht="12.75">
      <c r="A320" t="s">
        <v>27</v>
      </c>
      <c r="B320" s="33"/>
      <c r="C320" s="33"/>
      <c r="D320" s="33"/>
      <c r="E320" s="33"/>
      <c r="F320" s="33"/>
      <c r="G320" s="32"/>
      <c r="H320" s="36"/>
    </row>
    <row r="321" spans="1:8" ht="12.75">
      <c r="A321" t="s">
        <v>28</v>
      </c>
      <c r="B321" s="20"/>
      <c r="C321" s="20"/>
      <c r="D321" s="20"/>
      <c r="E321" s="20"/>
      <c r="F321" s="20"/>
      <c r="G321" s="25"/>
      <c r="H321" s="29"/>
    </row>
    <row r="322" spans="1:8" ht="12.75">
      <c r="A322" t="s">
        <v>29</v>
      </c>
      <c r="B322" s="23"/>
      <c r="C322" s="23"/>
      <c r="D322" s="23"/>
      <c r="E322" s="23"/>
      <c r="F322" s="23"/>
      <c r="G322" s="26"/>
      <c r="H322" s="30"/>
    </row>
    <row r="324" spans="1:8" ht="12.75">
      <c r="A324" s="41" t="s">
        <v>149</v>
      </c>
      <c r="H324" s="14">
        <v>2013</v>
      </c>
    </row>
    <row r="325" spans="1:8" ht="12.75">
      <c r="A325" s="10" t="s">
        <v>73</v>
      </c>
      <c r="B325" s="9" t="s">
        <v>144</v>
      </c>
      <c r="C325" s="9" t="s">
        <v>58</v>
      </c>
      <c r="D325" s="9" t="s">
        <v>303</v>
      </c>
      <c r="E325" s="9" t="s">
        <v>78</v>
      </c>
      <c r="F325" s="9" t="s">
        <v>486</v>
      </c>
      <c r="G325" s="9" t="s">
        <v>72</v>
      </c>
      <c r="H325" s="10">
        <f>H324-2009</f>
        <v>4</v>
      </c>
    </row>
    <row r="326" spans="1:9" ht="12.75">
      <c r="A326" s="9">
        <f>(A302*(1-F326))+(F326*($B$92*(1-($E$137*(1+$E$139)^$G326)-($E$141*(1+$E$143)^$G326))/((1-($E$129*(1+$E$131)^$G326)-$E$133*(1+$E$135)^$G326))))</f>
        <v>17909086.29882256</v>
      </c>
      <c r="B326" s="7">
        <f>E326-(B328+B333+B338)</f>
        <v>-1850306.1332751513</v>
      </c>
      <c r="C326" s="9">
        <f>$E$122</f>
        <v>700061.4217466069</v>
      </c>
      <c r="D326" s="9">
        <f>(C326*(1+$E$119)^G326)*($E$126*(1+$E$125)^$G326)</f>
        <v>757209.5696729945</v>
      </c>
      <c r="E326" s="9">
        <f>(D326/$F$29)*$G$33</f>
        <v>17209899.54901289</v>
      </c>
      <c r="F326" s="16">
        <v>0.3</v>
      </c>
      <c r="G326" s="8">
        <f>H325-1</f>
        <v>3</v>
      </c>
      <c r="H326" s="14" t="s">
        <v>50</v>
      </c>
      <c r="I326" s="93"/>
    </row>
    <row r="327" spans="2:8" ht="12.75">
      <c r="B327" s="109" t="s">
        <v>35</v>
      </c>
      <c r="C327" s="7" t="s">
        <v>74</v>
      </c>
      <c r="D327" s="7" t="s">
        <v>43</v>
      </c>
      <c r="E327" s="7" t="s">
        <v>66</v>
      </c>
      <c r="F327" s="7" t="s">
        <v>75</v>
      </c>
      <c r="G327" s="7" t="s">
        <v>76</v>
      </c>
      <c r="H327" s="13" t="s">
        <v>67</v>
      </c>
    </row>
    <row r="328" spans="1:8" ht="12.75">
      <c r="A328" s="7" t="s">
        <v>26</v>
      </c>
      <c r="B328" s="7">
        <f>A326</f>
        <v>17909086.29882256</v>
      </c>
      <c r="C328" s="7">
        <f>B328/E328</f>
        <v>167.52305218400917</v>
      </c>
      <c r="D328" s="31">
        <f>C328*1000/(365*$F$29)</f>
        <v>64.7984281035662</v>
      </c>
      <c r="E328" s="7">
        <f>D326/$F$29</f>
        <v>106905.20537526395</v>
      </c>
      <c r="F328" s="7">
        <f>B328*H328</f>
        <v>4119089.848729189</v>
      </c>
      <c r="G328" s="7">
        <f>F328/E328</f>
        <v>38.53030200232211</v>
      </c>
      <c r="H328" s="13">
        <f>H$56</f>
        <v>0.23</v>
      </c>
    </row>
    <row r="329" spans="1:8" ht="12.75">
      <c r="A329" t="s">
        <v>27</v>
      </c>
      <c r="B329" s="33">
        <f>B328*B$17</f>
        <v>1075009.2045256451</v>
      </c>
      <c r="C329" s="33">
        <f>B329/E329</f>
        <v>167.52305218400917</v>
      </c>
      <c r="D329" s="33">
        <f>C329*1000/(365*$F$29)</f>
        <v>64.7984281035662</v>
      </c>
      <c r="E329" s="33">
        <f>B$4*E328</f>
        <v>6417.082249342277</v>
      </c>
      <c r="F329" s="33">
        <f>B329*H329</f>
        <v>0</v>
      </c>
      <c r="G329" s="33">
        <f>F329/E329</f>
        <v>0</v>
      </c>
      <c r="H329" s="36">
        <f>H$58</f>
        <v>0</v>
      </c>
    </row>
    <row r="330" spans="1:8" ht="12.75">
      <c r="A330" t="s">
        <v>28</v>
      </c>
      <c r="B330" s="20">
        <f>B328*B$18</f>
        <v>5663534.534466639</v>
      </c>
      <c r="C330" s="20">
        <f>B330/E330</f>
        <v>167.5230521840092</v>
      </c>
      <c r="D330" s="20">
        <f>C330*1000/(365*$F$29)</f>
        <v>64.79842810356621</v>
      </c>
      <c r="E330" s="20">
        <f>B$5*E328</f>
        <v>33807.493718809215</v>
      </c>
      <c r="F330" s="20">
        <f>B330*H330</f>
        <v>0</v>
      </c>
      <c r="G330" s="20">
        <f>F330/E330</f>
        <v>0</v>
      </c>
      <c r="H330" s="29">
        <f>H$59</f>
        <v>0</v>
      </c>
    </row>
    <row r="331" spans="1:8" ht="12.75">
      <c r="A331" t="s">
        <v>29</v>
      </c>
      <c r="B331" s="23">
        <f>B328*B$19</f>
        <v>11170542.559830273</v>
      </c>
      <c r="C331" s="23">
        <f>B331/E331</f>
        <v>167.52305218400915</v>
      </c>
      <c r="D331" s="23">
        <f>C331*1000/(365*$F$29)</f>
        <v>64.79842810356618</v>
      </c>
      <c r="E331" s="23">
        <f>B$6*E328</f>
        <v>66680.62940711244</v>
      </c>
      <c r="F331" s="23">
        <f>B331*H331</f>
        <v>0</v>
      </c>
      <c r="G331" s="23">
        <f>F331/E331</f>
        <v>0</v>
      </c>
      <c r="H331" s="30">
        <f>H$60</f>
        <v>0</v>
      </c>
    </row>
    <row r="332" ht="12.75">
      <c r="B332" s="109" t="s">
        <v>135</v>
      </c>
    </row>
    <row r="333" spans="1:8" ht="12.75">
      <c r="A333" s="7" t="s">
        <v>26</v>
      </c>
      <c r="B333" s="7">
        <f>(F326*E333*$F$26*$E$145)+((1-F326)*B309)</f>
        <v>138228.66039640782</v>
      </c>
      <c r="C333" s="7">
        <f>B333/E333</f>
        <v>1.2930021499999997</v>
      </c>
      <c r="D333" s="31">
        <f>C333*1000/(365*$F$29)</f>
        <v>0.5001371797028965</v>
      </c>
      <c r="E333" s="7">
        <f>D326/$F$29</f>
        <v>106905.20537526395</v>
      </c>
      <c r="F333" s="7">
        <f>H$165*B333</f>
        <v>7302067.214100639</v>
      </c>
      <c r="G333" s="8">
        <f>F333/E333</f>
        <v>68.30413157589999</v>
      </c>
      <c r="H333" s="8">
        <f>$F$27</f>
        <v>52.826</v>
      </c>
    </row>
    <row r="334" spans="1:8" ht="12.75">
      <c r="A334" t="s">
        <v>27</v>
      </c>
      <c r="B334" s="33">
        <f>B333*$F$17</f>
        <v>3449.17352348989</v>
      </c>
      <c r="C334" s="33"/>
      <c r="D334" s="33"/>
      <c r="E334" s="33"/>
      <c r="F334" s="33"/>
      <c r="G334" s="32"/>
      <c r="H334" s="36"/>
    </row>
    <row r="335" spans="1:8" ht="12.75">
      <c r="A335" t="s">
        <v>28</v>
      </c>
      <c r="B335" s="20">
        <f>B333*$F$18</f>
        <v>27257.227124310113</v>
      </c>
      <c r="C335" s="20"/>
      <c r="D335" s="20"/>
      <c r="E335" s="20"/>
      <c r="F335" s="20"/>
      <c r="G335" s="25"/>
      <c r="H335" s="29"/>
    </row>
    <row r="336" spans="1:8" ht="12.75">
      <c r="A336" t="s">
        <v>29</v>
      </c>
      <c r="B336" s="23">
        <f>B333*$F$19</f>
        <v>107522.25974860782</v>
      </c>
      <c r="C336" s="23"/>
      <c r="D336" s="23"/>
      <c r="E336" s="23"/>
      <c r="F336" s="23"/>
      <c r="G336" s="26"/>
      <c r="H336" s="30"/>
    </row>
    <row r="337" ht="12.75">
      <c r="B337" s="109" t="s">
        <v>30</v>
      </c>
    </row>
    <row r="338" spans="1:8" ht="12.75">
      <c r="A338" s="7" t="s">
        <v>26</v>
      </c>
      <c r="B338" s="7">
        <f>(F326*(IF(E326&gt;=(B328+B333),(E326-(B328+B333)),0)))+(1-F326)*B314</f>
        <v>1012890.7230690708</v>
      </c>
      <c r="C338" s="7">
        <f>B338/E338</f>
        <v>9.47466233766234</v>
      </c>
      <c r="D338" s="7">
        <f>C338*1000/(365*$F$29)</f>
        <v>3.6648283223625695</v>
      </c>
      <c r="E338" s="7">
        <f>D326/$F$29</f>
        <v>106905.20537526395</v>
      </c>
      <c r="F338" s="7">
        <f>H$170*B338</f>
        <v>4051562.8922762834</v>
      </c>
      <c r="G338" s="8">
        <f>F338/E338</f>
        <v>37.89864935064936</v>
      </c>
      <c r="H338" s="8">
        <f>$F$28</f>
        <v>4</v>
      </c>
    </row>
    <row r="339" spans="1:8" ht="12.75">
      <c r="A339" t="s">
        <v>27</v>
      </c>
      <c r="B339" s="33">
        <f>B338*$D$17</f>
        <v>37444.31731816577</v>
      </c>
      <c r="C339" s="33"/>
      <c r="D339" s="33"/>
      <c r="E339" s="33"/>
      <c r="F339" s="33"/>
      <c r="G339" s="32"/>
      <c r="H339" s="36"/>
    </row>
    <row r="340" spans="1:8" ht="12.75">
      <c r="A340" t="s">
        <v>28</v>
      </c>
      <c r="B340" s="20">
        <f>B338*$D$18</f>
        <v>197270.11020760064</v>
      </c>
      <c r="C340" s="20"/>
      <c r="D340" s="20"/>
      <c r="E340" s="20"/>
      <c r="F340" s="20"/>
      <c r="G340" s="25"/>
      <c r="H340" s="29"/>
    </row>
    <row r="341" spans="1:8" ht="12.75">
      <c r="A341" t="s">
        <v>29</v>
      </c>
      <c r="B341" s="23">
        <f>B338*$D$19</f>
        <v>778176.2955433045</v>
      </c>
      <c r="C341" s="23"/>
      <c r="D341" s="23"/>
      <c r="E341" s="23"/>
      <c r="F341" s="23"/>
      <c r="G341" s="26"/>
      <c r="H341" s="30"/>
    </row>
    <row r="342" ht="12.75">
      <c r="B342" s="42" t="s">
        <v>143</v>
      </c>
    </row>
    <row r="343" spans="1:7" ht="12.75">
      <c r="A343" s="7" t="s">
        <v>26</v>
      </c>
      <c r="B343" s="7">
        <f>IF(E326&gt;=(B328+B333),E326,(B328+B333+B338))</f>
        <v>19060205.68228804</v>
      </c>
      <c r="C343" s="7">
        <f>B343/E343</f>
        <v>178.2907166716715</v>
      </c>
      <c r="D343" s="7">
        <f>C343*1000/(365*$F$29)</f>
        <v>68.96339360563167</v>
      </c>
      <c r="E343" s="7">
        <f>D326/$F$29</f>
        <v>106905.20537526395</v>
      </c>
      <c r="F343" s="7">
        <f>F328+F333+F338</f>
        <v>15472719.955106111</v>
      </c>
      <c r="G343" s="8">
        <f>F343/E343</f>
        <v>144.73308292887145</v>
      </c>
    </row>
    <row r="344" spans="1:8" ht="12.75">
      <c r="A344" t="s">
        <v>27</v>
      </c>
      <c r="B344" s="33"/>
      <c r="C344" s="33"/>
      <c r="D344" s="33"/>
      <c r="E344" s="33"/>
      <c r="F344" s="33"/>
      <c r="G344" s="32"/>
      <c r="H344" s="36"/>
    </row>
    <row r="345" spans="1:8" ht="12.75">
      <c r="A345" t="s">
        <v>28</v>
      </c>
      <c r="B345" s="20"/>
      <c r="C345" s="20"/>
      <c r="D345" s="20"/>
      <c r="E345" s="20"/>
      <c r="F345" s="20"/>
      <c r="G345" s="25"/>
      <c r="H345" s="29"/>
    </row>
    <row r="346" spans="1:8" ht="12.75">
      <c r="A346" t="s">
        <v>29</v>
      </c>
      <c r="B346" s="23"/>
      <c r="C346" s="23"/>
      <c r="D346" s="23"/>
      <c r="E346" s="23"/>
      <c r="F346" s="23"/>
      <c r="G346" s="26"/>
      <c r="H346" s="30"/>
    </row>
    <row r="348" spans="1:8" ht="12.75">
      <c r="A348" s="41" t="s">
        <v>149</v>
      </c>
      <c r="H348" s="10">
        <v>2014</v>
      </c>
    </row>
    <row r="349" spans="1:8" ht="12.75">
      <c r="A349" s="10" t="s">
        <v>73</v>
      </c>
      <c r="B349" s="9" t="s">
        <v>144</v>
      </c>
      <c r="C349" s="9" t="s">
        <v>58</v>
      </c>
      <c r="D349" s="9" t="s">
        <v>303</v>
      </c>
      <c r="E349" s="9" t="s">
        <v>78</v>
      </c>
      <c r="G349" s="9" t="s">
        <v>72</v>
      </c>
      <c r="H349" s="10">
        <f>H348-2009</f>
        <v>5</v>
      </c>
    </row>
    <row r="350" spans="1:9" ht="12.75">
      <c r="A350" s="9">
        <f>($B$92*(1-($E$129*(1+$E$131)^$F350)-$E$133*(1+$E$135)^($F350)))/((1-$E$129-$E$133))</f>
        <v>13977611.193535456</v>
      </c>
      <c r="B350" s="7">
        <f>E350-(B352+B357+B362)</f>
        <v>2137879.3769933414</v>
      </c>
      <c r="C350" s="9">
        <f>$E$122</f>
        <v>700061.4217466069</v>
      </c>
      <c r="D350" s="9">
        <f>(C350*(1+$E$119)^F350)*($E$126*(1+$E$125)^$F350)</f>
        <v>782216.4213854487</v>
      </c>
      <c r="E350" s="9">
        <f>(D350/$F$29)*$G$33</f>
        <v>17778256.610578094</v>
      </c>
      <c r="F350" s="8">
        <f>H349-1</f>
        <v>4</v>
      </c>
      <c r="H350" s="14" t="s">
        <v>49</v>
      </c>
      <c r="I350" s="93"/>
    </row>
    <row r="351" spans="2:8" ht="12.75">
      <c r="B351" s="42" t="s">
        <v>35</v>
      </c>
      <c r="C351" s="7" t="s">
        <v>74</v>
      </c>
      <c r="D351" s="7" t="s">
        <v>43</v>
      </c>
      <c r="E351" s="7" t="s">
        <v>66</v>
      </c>
      <c r="F351" s="7" t="s">
        <v>75</v>
      </c>
      <c r="G351" s="7" t="s">
        <v>76</v>
      </c>
      <c r="H351" s="13" t="s">
        <v>67</v>
      </c>
    </row>
    <row r="352" spans="1:8" ht="12.75">
      <c r="A352" s="7" t="s">
        <v>26</v>
      </c>
      <c r="B352" s="7">
        <f>A350</f>
        <v>13977611.193535456</v>
      </c>
      <c r="C352" s="7">
        <f>B352/E352</f>
        <v>126.56781087318319</v>
      </c>
      <c r="D352" s="31">
        <f>C352*1000/(365*$F$29)</f>
        <v>48.95681571085048</v>
      </c>
      <c r="E352" s="7">
        <f>D350/$F$29</f>
        <v>110435.75058385552</v>
      </c>
      <c r="F352" s="7">
        <f>B352*H352</f>
        <v>3214850.574513155</v>
      </c>
      <c r="G352" s="7">
        <f>F352/E352</f>
        <v>29.110596500832134</v>
      </c>
      <c r="H352" s="13">
        <f>H$56</f>
        <v>0.23</v>
      </c>
    </row>
    <row r="353" spans="1:8" ht="12.75">
      <c r="A353" t="s">
        <v>27</v>
      </c>
      <c r="B353" s="33">
        <f>B352*B$17</f>
        <v>839018.8332120103</v>
      </c>
      <c r="C353" s="33">
        <f>B353/E353</f>
        <v>126.5678108731832</v>
      </c>
      <c r="D353" s="33">
        <f>C353*1000/(365*$F$29)</f>
        <v>48.956815710850485</v>
      </c>
      <c r="E353" s="33">
        <f>B$4*E352</f>
        <v>6629.00643871197</v>
      </c>
      <c r="F353" s="33">
        <f>B353*H353</f>
        <v>0</v>
      </c>
      <c r="G353" s="33">
        <f>F353/E353</f>
        <v>0</v>
      </c>
      <c r="H353" s="36">
        <f>H$58</f>
        <v>0</v>
      </c>
    </row>
    <row r="354" spans="1:8" ht="12.75">
      <c r="A354" t="s">
        <v>28</v>
      </c>
      <c r="B354" s="20">
        <f>B352*B$18</f>
        <v>4420252.512220018</v>
      </c>
      <c r="C354" s="20">
        <f>B354/E354</f>
        <v>126.5678108731832</v>
      </c>
      <c r="D354" s="20">
        <f>C354*1000/(365*$F$29)</f>
        <v>48.956815710850485</v>
      </c>
      <c r="E354" s="20">
        <f>B$5*E352</f>
        <v>34923.98645220281</v>
      </c>
      <c r="F354" s="20">
        <f>B354*H354</f>
        <v>0</v>
      </c>
      <c r="G354" s="20">
        <f>F354/E354</f>
        <v>0</v>
      </c>
      <c r="H354" s="29">
        <f>H$59</f>
        <v>0</v>
      </c>
    </row>
    <row r="355" spans="1:8" ht="12.75">
      <c r="A355" t="s">
        <v>29</v>
      </c>
      <c r="B355" s="23">
        <f>B352*B$19</f>
        <v>8718339.848103426</v>
      </c>
      <c r="C355" s="23">
        <f>B355/E355</f>
        <v>126.56781087318318</v>
      </c>
      <c r="D355" s="23">
        <f>C355*1000/(365*$F$29)</f>
        <v>48.95681571085047</v>
      </c>
      <c r="E355" s="23">
        <f>B$6*E352</f>
        <v>68882.75769294074</v>
      </c>
      <c r="F355" s="23">
        <f>B355*H355</f>
        <v>0</v>
      </c>
      <c r="G355" s="23">
        <f>F355/E355</f>
        <v>0</v>
      </c>
      <c r="H355" s="30">
        <f>H$60</f>
        <v>0</v>
      </c>
    </row>
    <row r="356" ht="12.75">
      <c r="B356" s="42" t="s">
        <v>135</v>
      </c>
    </row>
    <row r="357" spans="1:8" ht="12.75">
      <c r="A357" s="7" t="s">
        <v>26</v>
      </c>
      <c r="B357" s="7">
        <f>E357*$F$26</f>
        <v>167992.54463739877</v>
      </c>
      <c r="C357" s="7">
        <f>B357/E357</f>
        <v>1.521179</v>
      </c>
      <c r="D357" s="31">
        <f>C357*1000/(365*$F$29)</f>
        <v>0.5883966820034078</v>
      </c>
      <c r="E357" s="7">
        <f>D350/$F$29</f>
        <v>110435.75058385552</v>
      </c>
      <c r="F357" s="7">
        <f>H357*B357</f>
        <v>8874374.163015228</v>
      </c>
      <c r="G357" s="8">
        <f>F357/E357</f>
        <v>80.357801854</v>
      </c>
      <c r="H357" s="8">
        <f>$F$27</f>
        <v>52.826</v>
      </c>
    </row>
    <row r="358" spans="1:8" ht="12.75">
      <c r="A358" t="s">
        <v>27</v>
      </c>
      <c r="B358" s="33">
        <f>B357*$F$17</f>
        <v>4191.861770528069</v>
      </c>
      <c r="C358" s="33"/>
      <c r="D358" s="33"/>
      <c r="E358" s="33"/>
      <c r="F358" s="33"/>
      <c r="G358" s="32"/>
      <c r="H358" s="36"/>
    </row>
    <row r="359" spans="1:8" ht="12.75">
      <c r="A359" t="s">
        <v>28</v>
      </c>
      <c r="B359" s="20">
        <f>B357*$F$18</f>
        <v>33126.34971098496</v>
      </c>
      <c r="C359" s="20"/>
      <c r="D359" s="20"/>
      <c r="E359" s="20"/>
      <c r="F359" s="20"/>
      <c r="G359" s="25"/>
      <c r="H359" s="29"/>
    </row>
    <row r="360" spans="1:8" ht="12.75">
      <c r="A360" t="s">
        <v>29</v>
      </c>
      <c r="B360" s="23">
        <f>B357*$F$19</f>
        <v>130674.33315588573</v>
      </c>
      <c r="C360" s="23"/>
      <c r="D360" s="23"/>
      <c r="E360" s="23"/>
      <c r="F360" s="23"/>
      <c r="G360" s="26"/>
      <c r="H360" s="30"/>
    </row>
    <row r="361" ht="12.75">
      <c r="B361" s="42" t="s">
        <v>30</v>
      </c>
    </row>
    <row r="362" spans="1:8" ht="12.75">
      <c r="A362" s="7" t="s">
        <v>26</v>
      </c>
      <c r="B362" s="7">
        <f>E362*$F$24</f>
        <v>1494773.4954118966</v>
      </c>
      <c r="C362" s="7">
        <f>B362/E362</f>
        <v>13.5352319109462</v>
      </c>
      <c r="D362" s="7">
        <f>C362*1000/(365*$F$29)</f>
        <v>5.235469031946528</v>
      </c>
      <c r="E362" s="7">
        <f>D350/$F$29</f>
        <v>110435.75058385552</v>
      </c>
      <c r="F362" s="7">
        <f>H362*B362</f>
        <v>5979093.981647586</v>
      </c>
      <c r="G362" s="8">
        <f>F362/E362</f>
        <v>54.1409276437848</v>
      </c>
      <c r="H362" s="8">
        <f>$F$28</f>
        <v>4</v>
      </c>
    </row>
    <row r="363" spans="1:8" ht="12.75">
      <c r="A363" t="s">
        <v>27</v>
      </c>
      <c r="B363" s="33">
        <f>B362*$D$17</f>
        <v>55258.45168311421</v>
      </c>
      <c r="C363" s="33"/>
      <c r="D363" s="33"/>
      <c r="E363" s="33"/>
      <c r="F363" s="33"/>
      <c r="G363" s="32"/>
      <c r="H363" s="36"/>
    </row>
    <row r="364" spans="1:8" ht="12.75">
      <c r="A364" t="s">
        <v>28</v>
      </c>
      <c r="B364" s="20">
        <f>B362*$D$18</f>
        <v>291121.36725058866</v>
      </c>
      <c r="C364" s="20"/>
      <c r="D364" s="20"/>
      <c r="E364" s="20"/>
      <c r="F364" s="20"/>
      <c r="G364" s="25"/>
      <c r="H364" s="29"/>
    </row>
    <row r="365" spans="1:8" ht="12.75">
      <c r="A365" t="s">
        <v>29</v>
      </c>
      <c r="B365" s="23">
        <f>B362*$D$19</f>
        <v>1148393.6764781938</v>
      </c>
      <c r="C365" s="23"/>
      <c r="D365" s="23"/>
      <c r="E365" s="23"/>
      <c r="F365" s="23"/>
      <c r="G365" s="26"/>
      <c r="H365" s="30"/>
    </row>
    <row r="366" ht="12.75">
      <c r="B366" s="42" t="s">
        <v>143</v>
      </c>
    </row>
    <row r="367" spans="1:7" ht="12.75">
      <c r="A367" s="7" t="s">
        <v>26</v>
      </c>
      <c r="B367" s="7">
        <f>E350</f>
        <v>17778256.610578094</v>
      </c>
      <c r="C367" s="7">
        <f>B367/E367</f>
        <v>160.9828023677785</v>
      </c>
      <c r="D367" s="7">
        <f>C367*1000/(365*$F$29)</f>
        <v>62.26863950449697</v>
      </c>
      <c r="E367" s="7">
        <f>D350/$F$29</f>
        <v>110435.75058385552</v>
      </c>
      <c r="F367" s="7">
        <f>F352+F357+F362</f>
        <v>18068318.719175972</v>
      </c>
      <c r="G367" s="8">
        <f>F367/E367</f>
        <v>163.60932599861695</v>
      </c>
    </row>
    <row r="368" spans="1:8" ht="12.75">
      <c r="A368" t="s">
        <v>27</v>
      </c>
      <c r="B368" s="33"/>
      <c r="C368" s="33"/>
      <c r="D368" s="33"/>
      <c r="E368" s="33"/>
      <c r="F368" s="33"/>
      <c r="G368" s="32"/>
      <c r="H368" s="36"/>
    </row>
    <row r="369" spans="1:8" ht="12.75">
      <c r="A369" t="s">
        <v>28</v>
      </c>
      <c r="B369" s="20"/>
      <c r="C369" s="20"/>
      <c r="D369" s="20"/>
      <c r="E369" s="20"/>
      <c r="F369" s="20"/>
      <c r="G369" s="25"/>
      <c r="H369" s="29"/>
    </row>
    <row r="370" spans="1:8" ht="12.75">
      <c r="A370" t="s">
        <v>29</v>
      </c>
      <c r="B370" s="23"/>
      <c r="C370" s="23"/>
      <c r="D370" s="23"/>
      <c r="E370" s="23"/>
      <c r="F370" s="23"/>
      <c r="G370" s="26"/>
      <c r="H370" s="30"/>
    </row>
    <row r="372" spans="1:8" ht="12.75">
      <c r="A372" s="41" t="s">
        <v>149</v>
      </c>
      <c r="H372" s="14">
        <v>2014</v>
      </c>
    </row>
    <row r="373" spans="1:8" ht="12.75">
      <c r="A373" s="10" t="s">
        <v>73</v>
      </c>
      <c r="B373" s="9" t="s">
        <v>144</v>
      </c>
      <c r="C373" s="9" t="s">
        <v>58</v>
      </c>
      <c r="D373" s="9" t="s">
        <v>303</v>
      </c>
      <c r="E373" s="9" t="s">
        <v>78</v>
      </c>
      <c r="F373" s="9" t="s">
        <v>486</v>
      </c>
      <c r="G373" s="9" t="s">
        <v>72</v>
      </c>
      <c r="H373" s="10">
        <f>H372-2009</f>
        <v>5</v>
      </c>
    </row>
    <row r="374" spans="1:9" ht="12.75">
      <c r="A374" s="9">
        <f>(A350*(1-F374))+(F374*($B$92*(1-($E$137*(1+$E$139)^$G374)-($E$141*(1+$E$143)^$G374))/((1-($E$129*(1+$E$131)^$G374)-$E$133*(1+$E$135)^$G374))))</f>
        <v>21841970.929924067</v>
      </c>
      <c r="B374" s="7">
        <f>E374-(B376+B381+B386)</f>
        <v>-4779218.498756912</v>
      </c>
      <c r="C374" s="9">
        <f>$E$122</f>
        <v>700061.4217466069</v>
      </c>
      <c r="D374" s="9">
        <f>(C374*(1+$E$119)^G374)*($E$126*(1+$E$125)^$G374)</f>
        <v>782216.4213854487</v>
      </c>
      <c r="E374" s="9">
        <f>(D374/$F$29)*$G$33</f>
        <v>17778256.610578094</v>
      </c>
      <c r="F374" s="16">
        <v>0.6</v>
      </c>
      <c r="G374" s="8">
        <f>H373-1</f>
        <v>4</v>
      </c>
      <c r="H374" s="14" t="s">
        <v>50</v>
      </c>
      <c r="I374" s="93"/>
    </row>
    <row r="375" spans="2:8" ht="12.75">
      <c r="B375" s="109" t="s">
        <v>35</v>
      </c>
      <c r="C375" s="7" t="s">
        <v>74</v>
      </c>
      <c r="D375" s="7" t="s">
        <v>43</v>
      </c>
      <c r="E375" s="7" t="s">
        <v>66</v>
      </c>
      <c r="F375" s="7" t="s">
        <v>75</v>
      </c>
      <c r="G375" s="7" t="s">
        <v>76</v>
      </c>
      <c r="H375" s="13" t="s">
        <v>67</v>
      </c>
    </row>
    <row r="376" spans="1:8" ht="12.75">
      <c r="A376" s="7" t="s">
        <v>26</v>
      </c>
      <c r="B376" s="7">
        <f>A374</f>
        <v>21841970.929924067</v>
      </c>
      <c r="C376" s="7">
        <f>B376/E376</f>
        <v>197.77989296445386</v>
      </c>
      <c r="D376" s="31">
        <f>C376*1000/(365*$F$29)</f>
        <v>76.50186650438494</v>
      </c>
      <c r="E376" s="7">
        <f>D374/$F$29</f>
        <v>110435.75058385552</v>
      </c>
      <c r="F376" s="7">
        <f>B376*H376</f>
        <v>5023653.313882535</v>
      </c>
      <c r="G376" s="7">
        <f>F376/E376</f>
        <v>45.48937538182439</v>
      </c>
      <c r="H376" s="13">
        <f>H$56</f>
        <v>0.23</v>
      </c>
    </row>
    <row r="377" spans="1:8" ht="12.75">
      <c r="A377" t="s">
        <v>27</v>
      </c>
      <c r="B377" s="33">
        <f>B376*B$17</f>
        <v>1311084.183909129</v>
      </c>
      <c r="C377" s="33">
        <f>B377/E377</f>
        <v>197.77989296445386</v>
      </c>
      <c r="D377" s="33">
        <f>C377*1000/(365*$F$29)</f>
        <v>76.50186650438494</v>
      </c>
      <c r="E377" s="33">
        <f>B$4*E376</f>
        <v>6629.00643871197</v>
      </c>
      <c r="F377" s="33">
        <f>B377*H377</f>
        <v>0</v>
      </c>
      <c r="G377" s="33">
        <f>F377/E377</f>
        <v>0</v>
      </c>
      <c r="H377" s="36">
        <f>H$58</f>
        <v>0</v>
      </c>
    </row>
    <row r="378" spans="1:8" ht="12.75">
      <c r="A378" t="s">
        <v>28</v>
      </c>
      <c r="B378" s="20">
        <f>B376*B$18</f>
        <v>6907262.302408708</v>
      </c>
      <c r="C378" s="20">
        <f>B378/E378</f>
        <v>197.77989296445386</v>
      </c>
      <c r="D378" s="20">
        <f>C378*1000/(365*$F$29)</f>
        <v>76.50186650438494</v>
      </c>
      <c r="E378" s="20">
        <f>B$5*E376</f>
        <v>34923.98645220281</v>
      </c>
      <c r="F378" s="20">
        <f>B378*H378</f>
        <v>0</v>
      </c>
      <c r="G378" s="20">
        <f>F378/E378</f>
        <v>0</v>
      </c>
      <c r="H378" s="29">
        <f>H$59</f>
        <v>0</v>
      </c>
    </row>
    <row r="379" spans="1:8" ht="12.75">
      <c r="A379" t="s">
        <v>29</v>
      </c>
      <c r="B379" s="23">
        <f>B376*B$19</f>
        <v>13623624.443606228</v>
      </c>
      <c r="C379" s="23">
        <f>B379/E379</f>
        <v>197.77989296445384</v>
      </c>
      <c r="D379" s="23">
        <f>C379*1000/(365*$F$29)</f>
        <v>76.50186650438494</v>
      </c>
      <c r="E379" s="23">
        <f>B$6*E376</f>
        <v>68882.75769294074</v>
      </c>
      <c r="F379" s="23">
        <f>B379*H379</f>
        <v>0</v>
      </c>
      <c r="G379" s="23">
        <f>F379/E379</f>
        <v>0</v>
      </c>
      <c r="H379" s="30">
        <f>H$60</f>
        <v>0</v>
      </c>
    </row>
    <row r="380" ht="12.75">
      <c r="B380" s="109" t="s">
        <v>135</v>
      </c>
    </row>
    <row r="381" spans="1:8" ht="12.75">
      <c r="A381" s="7" t="s">
        <v>26</v>
      </c>
      <c r="B381" s="7">
        <f>(F374*E381*$F$26*$E$145)+((1-F374)*B357)</f>
        <v>117594.78124617915</v>
      </c>
      <c r="C381" s="7">
        <f>B381/E381</f>
        <v>1.0648253</v>
      </c>
      <c r="D381" s="31">
        <f>C381*1000/(365*$F$29)</f>
        <v>0.41187767740238546</v>
      </c>
      <c r="E381" s="7">
        <f>D374/$F$29</f>
        <v>110435.75058385552</v>
      </c>
      <c r="F381" s="7">
        <f>H$165*B381</f>
        <v>6212061.91411066</v>
      </c>
      <c r="G381" s="8">
        <f>F381/E381</f>
        <v>56.25046129780001</v>
      </c>
      <c r="H381" s="8">
        <f>$F$27</f>
        <v>52.826</v>
      </c>
    </row>
    <row r="382" spans="1:8" ht="12.75">
      <c r="A382" t="s">
        <v>27</v>
      </c>
      <c r="B382" s="33">
        <f>B381*$F$17</f>
        <v>2934.303239369649</v>
      </c>
      <c r="C382" s="33"/>
      <c r="D382" s="33"/>
      <c r="E382" s="33"/>
      <c r="F382" s="33"/>
      <c r="G382" s="32"/>
      <c r="H382" s="36"/>
    </row>
    <row r="383" spans="1:8" ht="12.75">
      <c r="A383" t="s">
        <v>28</v>
      </c>
      <c r="B383" s="20">
        <f>B381*$F$18</f>
        <v>23188.444797689477</v>
      </c>
      <c r="C383" s="20"/>
      <c r="D383" s="20"/>
      <c r="E383" s="20"/>
      <c r="F383" s="20"/>
      <c r="G383" s="25"/>
      <c r="H383" s="29"/>
    </row>
    <row r="384" spans="1:8" ht="12.75">
      <c r="A384" t="s">
        <v>29</v>
      </c>
      <c r="B384" s="23">
        <f>B381*$F$19</f>
        <v>91472.03320912003</v>
      </c>
      <c r="C384" s="23"/>
      <c r="D384" s="23"/>
      <c r="E384" s="23"/>
      <c r="F384" s="23"/>
      <c r="G384" s="26"/>
      <c r="H384" s="30"/>
    </row>
    <row r="385" ht="12.75">
      <c r="B385" s="109" t="s">
        <v>30</v>
      </c>
    </row>
    <row r="386" spans="1:8" ht="12.75">
      <c r="A386" s="7" t="s">
        <v>26</v>
      </c>
      <c r="B386" s="7">
        <f>(F374*(IF(E374&gt;=(B376+B381),(E374-(B376+B381)),0)))+(1-F374)*B362</f>
        <v>597909.3981647587</v>
      </c>
      <c r="C386" s="7">
        <f>B386/E386</f>
        <v>5.41409276437848</v>
      </c>
      <c r="D386" s="7">
        <f>C386*1000/(365*$F$29)</f>
        <v>2.094187612778611</v>
      </c>
      <c r="E386" s="7">
        <f>D374/$F$29</f>
        <v>110435.75058385552</v>
      </c>
      <c r="F386" s="7">
        <f>H$170*B386</f>
        <v>2391637.5926590348</v>
      </c>
      <c r="G386" s="8">
        <f>F386/E386</f>
        <v>21.65637105751392</v>
      </c>
      <c r="H386" s="8">
        <f>$F$28</f>
        <v>4</v>
      </c>
    </row>
    <row r="387" spans="1:8" ht="12.75">
      <c r="A387" t="s">
        <v>27</v>
      </c>
      <c r="B387" s="33">
        <f>B386*$D$17</f>
        <v>22103.380673245687</v>
      </c>
      <c r="C387" s="33"/>
      <c r="D387" s="33"/>
      <c r="E387" s="33"/>
      <c r="F387" s="33"/>
      <c r="G387" s="32"/>
      <c r="H387" s="36"/>
    </row>
    <row r="388" spans="1:8" ht="12.75">
      <c r="A388" t="s">
        <v>28</v>
      </c>
      <c r="B388" s="20">
        <f>B386*$D$18</f>
        <v>116448.54690023547</v>
      </c>
      <c r="C388" s="20"/>
      <c r="D388" s="20"/>
      <c r="E388" s="20"/>
      <c r="F388" s="20"/>
      <c r="G388" s="25"/>
      <c r="H388" s="29"/>
    </row>
    <row r="389" spans="1:8" ht="12.75">
      <c r="A389" t="s">
        <v>29</v>
      </c>
      <c r="B389" s="23">
        <f>B386*$D$19</f>
        <v>459357.4705912776</v>
      </c>
      <c r="C389" s="23"/>
      <c r="D389" s="23"/>
      <c r="E389" s="23"/>
      <c r="F389" s="23"/>
      <c r="G389" s="26"/>
      <c r="H389" s="30"/>
    </row>
    <row r="390" ht="12.75">
      <c r="B390" s="42" t="s">
        <v>143</v>
      </c>
    </row>
    <row r="391" spans="1:7" ht="12.75">
      <c r="A391" s="7" t="s">
        <v>26</v>
      </c>
      <c r="B391" s="7">
        <f>IF(E374&gt;=(B376+B381),E374,(B376+B381+B386))</f>
        <v>22557475.109335005</v>
      </c>
      <c r="C391" s="7">
        <f>B391/E391</f>
        <v>204.25881102883233</v>
      </c>
      <c r="D391" s="7">
        <f>C391*1000/(365*$F$29)</f>
        <v>79.00793179456593</v>
      </c>
      <c r="E391" s="7">
        <f>D374/$F$29</f>
        <v>110435.75058385552</v>
      </c>
      <c r="F391" s="7">
        <f>F376+F381+F386</f>
        <v>13627352.820652228</v>
      </c>
      <c r="G391" s="8">
        <f>F391/E391</f>
        <v>123.3962077371383</v>
      </c>
    </row>
    <row r="392" spans="1:8" ht="12.75">
      <c r="A392" t="s">
        <v>27</v>
      </c>
      <c r="B392" s="33"/>
      <c r="C392" s="33"/>
      <c r="D392" s="33"/>
      <c r="E392" s="33"/>
      <c r="F392" s="33"/>
      <c r="G392" s="32"/>
      <c r="H392" s="36"/>
    </row>
    <row r="393" spans="1:8" ht="12.75">
      <c r="A393" t="s">
        <v>28</v>
      </c>
      <c r="B393" s="20"/>
      <c r="C393" s="20"/>
      <c r="D393" s="20"/>
      <c r="E393" s="20"/>
      <c r="F393" s="20"/>
      <c r="G393" s="25"/>
      <c r="H393" s="29"/>
    </row>
    <row r="394" spans="1:8" ht="12.75">
      <c r="A394" t="s">
        <v>29</v>
      </c>
      <c r="B394" s="23"/>
      <c r="C394" s="23"/>
      <c r="D394" s="23"/>
      <c r="E394" s="23"/>
      <c r="F394" s="23"/>
      <c r="G394" s="26"/>
      <c r="H394" s="30"/>
    </row>
    <row r="396" spans="1:8" ht="12.75">
      <c r="A396" s="41" t="s">
        <v>149</v>
      </c>
      <c r="H396" s="10">
        <v>2015</v>
      </c>
    </row>
    <row r="397" spans="1:8" ht="12.75">
      <c r="A397" s="10" t="s">
        <v>73</v>
      </c>
      <c r="B397" s="9" t="s">
        <v>144</v>
      </c>
      <c r="C397" s="9" t="s">
        <v>58</v>
      </c>
      <c r="D397" s="9" t="s">
        <v>303</v>
      </c>
      <c r="E397" s="9" t="s">
        <v>78</v>
      </c>
      <c r="G397" s="9" t="s">
        <v>72</v>
      </c>
      <c r="H397" s="10">
        <f>H396-2009</f>
        <v>6</v>
      </c>
    </row>
    <row r="398" spans="1:8" ht="12.75">
      <c r="A398" s="9">
        <f>($B$92*(1-($E$129*(1+$E$131)^$F398)-$E$133*(1+$E$135)^($F398)))/((1-$E$129-$E$133))</f>
        <v>13933696.100819806</v>
      </c>
      <c r="B398" s="7">
        <f>E398-(B400+B405+B410)</f>
        <v>2714008.6665590163</v>
      </c>
      <c r="C398" s="9">
        <f>$E$122</f>
        <v>700061.4217466069</v>
      </c>
      <c r="D398" s="9">
        <f>(C398*(1+$E$119)^F398)*($E$126*(1+$E$125)^$F398)</f>
        <v>808049.1245630905</v>
      </c>
      <c r="E398" s="9">
        <f>(D398/$F$29)*$G$33</f>
        <v>18365383.66836036</v>
      </c>
      <c r="F398" s="8">
        <f>H397-1</f>
        <v>5</v>
      </c>
      <c r="H398" s="14" t="s">
        <v>49</v>
      </c>
    </row>
    <row r="399" spans="2:8" ht="12.75">
      <c r="B399" s="42" t="s">
        <v>35</v>
      </c>
      <c r="C399" s="7" t="s">
        <v>74</v>
      </c>
      <c r="D399" s="7" t="s">
        <v>43</v>
      </c>
      <c r="E399" s="7" t="s">
        <v>66</v>
      </c>
      <c r="F399" s="7" t="s">
        <v>75</v>
      </c>
      <c r="G399" s="7" t="s">
        <v>76</v>
      </c>
      <c r="H399" s="13" t="s">
        <v>67</v>
      </c>
    </row>
    <row r="400" spans="1:8" ht="12.75">
      <c r="A400" s="7" t="s">
        <v>26</v>
      </c>
      <c r="B400" s="7">
        <f>A398</f>
        <v>13933696.100819806</v>
      </c>
      <c r="C400" s="7">
        <f>B400/E400</f>
        <v>122.13659600889899</v>
      </c>
      <c r="D400" s="31">
        <f>C400*1000/(365*$F$29)</f>
        <v>47.24280827097062</v>
      </c>
      <c r="E400" s="7">
        <f>D398/$F$29</f>
        <v>114082.89207441628</v>
      </c>
      <c r="F400" s="7">
        <f>B400*H400</f>
        <v>3204750.103188555</v>
      </c>
      <c r="G400" s="7">
        <f>F400/E400</f>
        <v>28.091417082046767</v>
      </c>
      <c r="H400" s="13">
        <f>H$56</f>
        <v>0.23</v>
      </c>
    </row>
    <row r="401" spans="1:8" ht="12.75">
      <c r="A401" t="s">
        <v>27</v>
      </c>
      <c r="B401" s="33">
        <f>B400*B$17</f>
        <v>836382.7898036971</v>
      </c>
      <c r="C401" s="33">
        <f>B401/E401</f>
        <v>122.13659600889899</v>
      </c>
      <c r="D401" s="33">
        <f>C401*1000/(365*$F$29)</f>
        <v>47.24280827097062</v>
      </c>
      <c r="E401" s="33">
        <f>B$4*E400</f>
        <v>6847.929426023609</v>
      </c>
      <c r="F401" s="33">
        <f>B401*H401</f>
        <v>0</v>
      </c>
      <c r="G401" s="33">
        <f>F401/E401</f>
        <v>0</v>
      </c>
      <c r="H401" s="36">
        <f>H$58</f>
        <v>0</v>
      </c>
    </row>
    <row r="402" spans="1:8" ht="12.75">
      <c r="A402" t="s">
        <v>28</v>
      </c>
      <c r="B402" s="20">
        <f>B400*B$18</f>
        <v>4406364.888919227</v>
      </c>
      <c r="C402" s="20">
        <f>B402/E402</f>
        <v>122.13659600889898</v>
      </c>
      <c r="D402" s="20">
        <f>C402*1000/(365*$F$29)</f>
        <v>47.24280827097061</v>
      </c>
      <c r="E402" s="20">
        <f>B$5*E400</f>
        <v>36077.351366482944</v>
      </c>
      <c r="F402" s="20">
        <f>B402*H402</f>
        <v>0</v>
      </c>
      <c r="G402" s="20">
        <f>F402/E402</f>
        <v>0</v>
      </c>
      <c r="H402" s="29">
        <f>H$59</f>
        <v>0</v>
      </c>
    </row>
    <row r="403" spans="1:8" ht="12.75">
      <c r="A403" t="s">
        <v>29</v>
      </c>
      <c r="B403" s="23">
        <f>B400*B$19</f>
        <v>8690948.42209688</v>
      </c>
      <c r="C403" s="23">
        <f>B403/E403</f>
        <v>122.13659600889899</v>
      </c>
      <c r="D403" s="23">
        <f>C403*1000/(365*$F$29)</f>
        <v>47.24280827097062</v>
      </c>
      <c r="E403" s="23">
        <f>B$6*E400</f>
        <v>71157.61128190972</v>
      </c>
      <c r="F403" s="23">
        <f>B403*H403</f>
        <v>0</v>
      </c>
      <c r="G403" s="23">
        <f>F403/E403</f>
        <v>0</v>
      </c>
      <c r="H403" s="30">
        <f>H$60</f>
        <v>0</v>
      </c>
    </row>
    <row r="404" ht="12.75">
      <c r="B404" s="42" t="s">
        <v>135</v>
      </c>
    </row>
    <row r="405" spans="1:8" ht="12.75">
      <c r="A405" s="7" t="s">
        <v>26</v>
      </c>
      <c r="B405" s="7">
        <f>E405*$F$26</f>
        <v>173540.49968286848</v>
      </c>
      <c r="C405" s="7">
        <f>B405/E405</f>
        <v>1.521179</v>
      </c>
      <c r="D405" s="31">
        <f>C405*1000/(365*$F$29)</f>
        <v>0.5883966820034078</v>
      </c>
      <c r="E405" s="7">
        <f>D398/$F$29</f>
        <v>114082.89207441628</v>
      </c>
      <c r="F405" s="7">
        <f>H405*B405</f>
        <v>9167450.436247211</v>
      </c>
      <c r="G405" s="8">
        <f>F405/E405</f>
        <v>80.357801854</v>
      </c>
      <c r="H405" s="8">
        <f>$F$27</f>
        <v>52.826</v>
      </c>
    </row>
    <row r="406" spans="1:8" ht="12.75">
      <c r="A406" t="s">
        <v>27</v>
      </c>
      <c r="B406" s="33">
        <f>B405*$F$17</f>
        <v>4330.298036910664</v>
      </c>
      <c r="C406" s="33"/>
      <c r="D406" s="33"/>
      <c r="E406" s="33"/>
      <c r="F406" s="33"/>
      <c r="G406" s="32"/>
      <c r="H406" s="36"/>
    </row>
    <row r="407" spans="1:8" ht="12.75">
      <c r="A407" t="s">
        <v>28</v>
      </c>
      <c r="B407" s="20">
        <f>B405*$F$18</f>
        <v>34220.34765841613</v>
      </c>
      <c r="C407" s="20"/>
      <c r="D407" s="20"/>
      <c r="E407" s="20"/>
      <c r="F407" s="20"/>
      <c r="G407" s="25"/>
      <c r="H407" s="29"/>
    </row>
    <row r="408" spans="1:8" ht="12.75">
      <c r="A408" t="s">
        <v>29</v>
      </c>
      <c r="B408" s="23">
        <f>B405*$F$19</f>
        <v>134989.8539875417</v>
      </c>
      <c r="C408" s="23"/>
      <c r="D408" s="23"/>
      <c r="E408" s="23"/>
      <c r="F408" s="23"/>
      <c r="G408" s="26"/>
      <c r="H408" s="30"/>
    </row>
    <row r="409" ht="12.75">
      <c r="B409" s="42" t="s">
        <v>30</v>
      </c>
    </row>
    <row r="410" spans="1:8" ht="12.75">
      <c r="A410" s="7" t="s">
        <v>26</v>
      </c>
      <c r="B410" s="7">
        <f>E410*$F$24</f>
        <v>1544138.4012986706</v>
      </c>
      <c r="C410" s="7">
        <f>B410/E410</f>
        <v>13.5352319109462</v>
      </c>
      <c r="D410" s="7">
        <f>C410*1000/(365*$F$29)</f>
        <v>5.235469031946528</v>
      </c>
      <c r="E410" s="7">
        <f>D398/$F$29</f>
        <v>114082.89207441628</v>
      </c>
      <c r="F410" s="7">
        <f>H410*B410</f>
        <v>6176553.605194682</v>
      </c>
      <c r="G410" s="8">
        <f>F410/E410</f>
        <v>54.1409276437848</v>
      </c>
      <c r="H410" s="8">
        <f>$F$28</f>
        <v>4</v>
      </c>
    </row>
    <row r="411" spans="1:8" ht="12.75">
      <c r="A411" t="s">
        <v>27</v>
      </c>
      <c r="B411" s="33">
        <f>B410*$D$17</f>
        <v>57083.36246401758</v>
      </c>
      <c r="C411" s="33"/>
      <c r="D411" s="33"/>
      <c r="E411" s="33"/>
      <c r="F411" s="33"/>
      <c r="G411" s="32"/>
      <c r="H411" s="36"/>
    </row>
    <row r="412" spans="1:8" ht="12.75">
      <c r="A412" t="s">
        <v>28</v>
      </c>
      <c r="B412" s="20">
        <f>B410*$D$18</f>
        <v>300735.652585501</v>
      </c>
      <c r="C412" s="20"/>
      <c r="D412" s="20"/>
      <c r="E412" s="20"/>
      <c r="F412" s="20"/>
      <c r="G412" s="25"/>
      <c r="H412" s="29"/>
    </row>
    <row r="413" spans="1:8" ht="12.75">
      <c r="A413" t="s">
        <v>29</v>
      </c>
      <c r="B413" s="23">
        <f>B410*$D$19</f>
        <v>1186319.386249152</v>
      </c>
      <c r="C413" s="23"/>
      <c r="D413" s="23"/>
      <c r="E413" s="23"/>
      <c r="F413" s="23"/>
      <c r="G413" s="26"/>
      <c r="H413" s="30"/>
    </row>
    <row r="414" ht="12.75">
      <c r="B414" s="42" t="s">
        <v>143</v>
      </c>
    </row>
    <row r="415" spans="1:7" ht="12.75">
      <c r="A415" s="7" t="s">
        <v>26</v>
      </c>
      <c r="B415" s="7">
        <f>E398</f>
        <v>18365383.66836036</v>
      </c>
      <c r="C415" s="7">
        <f>B415/E415</f>
        <v>160.9828023677785</v>
      </c>
      <c r="D415" s="7">
        <f>C415*1000/(365*$F$29)</f>
        <v>62.26863950449697</v>
      </c>
      <c r="E415" s="7">
        <f>D398/$F$29</f>
        <v>114082.89207441628</v>
      </c>
      <c r="F415" s="7">
        <f>F400+F405+F410</f>
        <v>18548754.144630447</v>
      </c>
      <c r="G415" s="8">
        <f>F415/E415</f>
        <v>162.59014657983155</v>
      </c>
    </row>
    <row r="416" spans="1:8" ht="12.75">
      <c r="A416" t="s">
        <v>27</v>
      </c>
      <c r="B416" s="33"/>
      <c r="C416" s="33"/>
      <c r="D416" s="33"/>
      <c r="E416" s="33"/>
      <c r="F416" s="33"/>
      <c r="G416" s="32"/>
      <c r="H416" s="36"/>
    </row>
    <row r="417" spans="1:8" ht="12.75">
      <c r="A417" t="s">
        <v>28</v>
      </c>
      <c r="B417" s="20"/>
      <c r="C417" s="20"/>
      <c r="D417" s="20"/>
      <c r="E417" s="20"/>
      <c r="F417" s="20"/>
      <c r="G417" s="25"/>
      <c r="H417" s="29"/>
    </row>
    <row r="418" spans="1:8" ht="12.75">
      <c r="A418" t="s">
        <v>29</v>
      </c>
      <c r="B418" s="23"/>
      <c r="C418" s="23"/>
      <c r="D418" s="23"/>
      <c r="E418" s="23"/>
      <c r="F418" s="23"/>
      <c r="G418" s="26"/>
      <c r="H418" s="30"/>
    </row>
    <row r="420" spans="1:8" ht="12.75">
      <c r="A420" s="41" t="s">
        <v>149</v>
      </c>
      <c r="H420" s="14">
        <v>2015</v>
      </c>
    </row>
    <row r="421" spans="1:8" ht="12.75">
      <c r="A421" s="10" t="s">
        <v>73</v>
      </c>
      <c r="B421" s="9" t="s">
        <v>144</v>
      </c>
      <c r="C421" s="9" t="s">
        <v>58</v>
      </c>
      <c r="D421" s="9" t="s">
        <v>303</v>
      </c>
      <c r="E421" s="9" t="s">
        <v>78</v>
      </c>
      <c r="F421" s="9" t="s">
        <v>486</v>
      </c>
      <c r="G421" s="9" t="s">
        <v>72</v>
      </c>
      <c r="H421" s="10">
        <f>H420-2009</f>
        <v>6</v>
      </c>
    </row>
    <row r="422" spans="1:8" ht="12.75">
      <c r="A422" s="9">
        <f>(A398*(1-F422))+(F422*($B$92*(1-($E$137*(1+$E$139)^$G422)-($E$141*(1+$E$143)^$G422))/((1-($E$129*(1+$E$131)^$G422)-$E$133*(1+$E$135)^$G422))))</f>
        <v>25864510.969561353</v>
      </c>
      <c r="B422" s="7">
        <f>E422-(B424+B429+B434)</f>
        <v>-7748988.416156437</v>
      </c>
      <c r="C422" s="9">
        <f>$E$122</f>
        <v>700061.4217466069</v>
      </c>
      <c r="D422" s="9">
        <f>(C422*(1+$E$119)^G422)*($E$126*(1+$E$125)^$G422)</f>
        <v>808049.1245630905</v>
      </c>
      <c r="E422" s="9">
        <f>(D422/$F$29)*$G$33</f>
        <v>18365383.66836036</v>
      </c>
      <c r="F422" s="16">
        <v>0.9</v>
      </c>
      <c r="G422" s="8">
        <f>H421-1</f>
        <v>5</v>
      </c>
      <c r="H422" s="14" t="s">
        <v>50</v>
      </c>
    </row>
    <row r="423" spans="2:8" ht="12.75">
      <c r="B423" s="109" t="s">
        <v>35</v>
      </c>
      <c r="C423" s="7" t="s">
        <v>74</v>
      </c>
      <c r="D423" s="7" t="s">
        <v>43</v>
      </c>
      <c r="E423" s="7" t="s">
        <v>66</v>
      </c>
      <c r="F423" s="7" t="s">
        <v>75</v>
      </c>
      <c r="G423" s="7" t="s">
        <v>76</v>
      </c>
      <c r="H423" s="13" t="s">
        <v>67</v>
      </c>
    </row>
    <row r="424" spans="1:8" ht="12.75">
      <c r="A424" s="7" t="s">
        <v>26</v>
      </c>
      <c r="B424" s="7">
        <f>A422</f>
        <v>25864510.969561353</v>
      </c>
      <c r="C424" s="7">
        <f>B424/E424</f>
        <v>226.7168240500945</v>
      </c>
      <c r="D424" s="31">
        <f>C424*1000/(365*$F$29)</f>
        <v>87.69475980501045</v>
      </c>
      <c r="E424" s="7">
        <f>D422/$F$29</f>
        <v>114082.89207441628</v>
      </c>
      <c r="F424" s="7">
        <f>B424*H424</f>
        <v>5948837.522999112</v>
      </c>
      <c r="G424" s="7">
        <f>F424/E424</f>
        <v>52.144869531521735</v>
      </c>
      <c r="H424" s="13">
        <f>H$56</f>
        <v>0.23</v>
      </c>
    </row>
    <row r="425" spans="1:8" ht="12.75">
      <c r="A425" t="s">
        <v>27</v>
      </c>
      <c r="B425" s="33">
        <f>B424*B$17</f>
        <v>1552540.8107872591</v>
      </c>
      <c r="C425" s="33">
        <f>B425/E425</f>
        <v>226.7168240500945</v>
      </c>
      <c r="D425" s="33">
        <f>C425*1000/(365*$F$29)</f>
        <v>87.69475980501045</v>
      </c>
      <c r="E425" s="33">
        <f>B$4*E424</f>
        <v>6847.929426023609</v>
      </c>
      <c r="F425" s="33">
        <f>B425*H425</f>
        <v>0</v>
      </c>
      <c r="G425" s="33">
        <f>F425/E425</f>
        <v>0</v>
      </c>
      <c r="H425" s="36">
        <f>H$58</f>
        <v>0</v>
      </c>
    </row>
    <row r="426" spans="1:8" ht="12.75">
      <c r="A426" t="s">
        <v>28</v>
      </c>
      <c r="B426" s="20">
        <f>B424*B$18</f>
        <v>8179342.521948349</v>
      </c>
      <c r="C426" s="20">
        <f>B426/E426</f>
        <v>226.71682405009446</v>
      </c>
      <c r="D426" s="20">
        <f>C426*1000/(365*$F$29)</f>
        <v>87.69475980501043</v>
      </c>
      <c r="E426" s="20">
        <f>B$5*E424</f>
        <v>36077.351366482944</v>
      </c>
      <c r="F426" s="20">
        <f>B426*H426</f>
        <v>0</v>
      </c>
      <c r="G426" s="20">
        <f>F426/E426</f>
        <v>0</v>
      </c>
      <c r="H426" s="29">
        <f>H$59</f>
        <v>0</v>
      </c>
    </row>
    <row r="427" spans="1:8" ht="12.75">
      <c r="A427" t="s">
        <v>29</v>
      </c>
      <c r="B427" s="23">
        <f>B424*B$19</f>
        <v>16132627.636825742</v>
      </c>
      <c r="C427" s="23">
        <f>B427/E427</f>
        <v>226.71682405009446</v>
      </c>
      <c r="D427" s="23">
        <f>C427*1000/(365*$F$29)</f>
        <v>87.69475980501043</v>
      </c>
      <c r="E427" s="23">
        <f>B$6*E424</f>
        <v>71157.61128190972</v>
      </c>
      <c r="F427" s="23">
        <f>B427*H427</f>
        <v>0</v>
      </c>
      <c r="G427" s="23">
        <f>F427/E427</f>
        <v>0</v>
      </c>
      <c r="H427" s="30">
        <f>H$60</f>
        <v>0</v>
      </c>
    </row>
    <row r="428" ht="12.75">
      <c r="B428" s="109" t="s">
        <v>135</v>
      </c>
    </row>
    <row r="429" spans="1:8" ht="12.75">
      <c r="A429" s="7" t="s">
        <v>26</v>
      </c>
      <c r="B429" s="7">
        <f>(F422*E429*$F$26*$E$145)+((1-F422)*B405)</f>
        <v>95447.27482557765</v>
      </c>
      <c r="C429" s="7">
        <f>B429/E429</f>
        <v>0.8366484499999999</v>
      </c>
      <c r="D429" s="31">
        <f>C429*1000/(365*$F$29)</f>
        <v>0.3236181751018742</v>
      </c>
      <c r="E429" s="7">
        <f>D422/$F$29</f>
        <v>114082.89207441628</v>
      </c>
      <c r="F429" s="7">
        <f>H$165*B429</f>
        <v>5042097.739935965</v>
      </c>
      <c r="G429" s="8">
        <f>F429/E429</f>
        <v>44.1967910197</v>
      </c>
      <c r="H429" s="8">
        <f>$F$27</f>
        <v>52.826</v>
      </c>
    </row>
    <row r="430" spans="1:8" ht="12.75">
      <c r="A430" t="s">
        <v>27</v>
      </c>
      <c r="B430" s="33">
        <f>B429*$F$17</f>
        <v>2381.663920300865</v>
      </c>
      <c r="C430" s="33"/>
      <c r="D430" s="33"/>
      <c r="E430" s="33"/>
      <c r="F430" s="33"/>
      <c r="G430" s="32"/>
      <c r="H430" s="36"/>
    </row>
    <row r="431" spans="1:8" ht="12.75">
      <c r="A431" t="s">
        <v>28</v>
      </c>
      <c r="B431" s="20">
        <f>B429*$F$18</f>
        <v>18821.191212128873</v>
      </c>
      <c r="C431" s="20"/>
      <c r="D431" s="20"/>
      <c r="E431" s="20"/>
      <c r="F431" s="20"/>
      <c r="G431" s="25"/>
      <c r="H431" s="29"/>
    </row>
    <row r="432" spans="1:8" ht="12.75">
      <c r="A432" t="s">
        <v>29</v>
      </c>
      <c r="B432" s="23">
        <f>B429*$F$19</f>
        <v>74244.41969314791</v>
      </c>
      <c r="C432" s="23"/>
      <c r="D432" s="23"/>
      <c r="E432" s="23"/>
      <c r="F432" s="23"/>
      <c r="G432" s="26"/>
      <c r="H432" s="30"/>
    </row>
    <row r="433" ht="12.75">
      <c r="B433" s="109" t="s">
        <v>30</v>
      </c>
    </row>
    <row r="434" spans="1:8" ht="12.75">
      <c r="A434" s="7" t="s">
        <v>26</v>
      </c>
      <c r="B434" s="7">
        <f>(F422*(IF(E422&gt;=(B424+B429),(E422-(B424+B429)),0)))+(1-F422)*B410</f>
        <v>154413.84012986702</v>
      </c>
      <c r="C434" s="7">
        <f>B434/E434</f>
        <v>1.3535231910946197</v>
      </c>
      <c r="D434" s="7">
        <f>C434*1000/(365*$F$29)</f>
        <v>0.5235469031946527</v>
      </c>
      <c r="E434" s="7">
        <f>D422/$F$29</f>
        <v>114082.89207441628</v>
      </c>
      <c r="F434" s="7">
        <f>H$170*B434</f>
        <v>617655.3605194681</v>
      </c>
      <c r="G434" s="8">
        <f>F434/E434</f>
        <v>5.414092764378479</v>
      </c>
      <c r="H434" s="8">
        <f>$F$28</f>
        <v>4</v>
      </c>
    </row>
    <row r="435" spans="1:8" ht="12.75">
      <c r="A435" t="s">
        <v>27</v>
      </c>
      <c r="B435" s="33">
        <f>B434*$D$17</f>
        <v>5708.336246401756</v>
      </c>
      <c r="C435" s="33"/>
      <c r="D435" s="33"/>
      <c r="E435" s="33"/>
      <c r="F435" s="33"/>
      <c r="G435" s="32"/>
      <c r="H435" s="36"/>
    </row>
    <row r="436" spans="1:8" ht="12.75">
      <c r="A436" t="s">
        <v>28</v>
      </c>
      <c r="B436" s="20">
        <f>B434*$D$18</f>
        <v>30073.565258550094</v>
      </c>
      <c r="C436" s="20"/>
      <c r="D436" s="20"/>
      <c r="E436" s="20"/>
      <c r="F436" s="20"/>
      <c r="G436" s="25"/>
      <c r="H436" s="29"/>
    </row>
    <row r="437" spans="1:8" ht="12.75">
      <c r="A437" t="s">
        <v>29</v>
      </c>
      <c r="B437" s="23">
        <f>B434*$D$19</f>
        <v>118631.93862491519</v>
      </c>
      <c r="C437" s="23"/>
      <c r="D437" s="23"/>
      <c r="E437" s="23"/>
      <c r="F437" s="23"/>
      <c r="G437" s="26"/>
      <c r="H437" s="30"/>
    </row>
    <row r="438" ht="12.75">
      <c r="B438" s="42" t="s">
        <v>143</v>
      </c>
    </row>
    <row r="439" spans="1:7" ht="12.75">
      <c r="A439" s="7" t="s">
        <v>26</v>
      </c>
      <c r="B439" s="7">
        <f>IF(E422&gt;=(B424+B429),E422,(B424+B429+B434))</f>
        <v>26114372.084516797</v>
      </c>
      <c r="C439" s="7">
        <f>B439/E439</f>
        <v>228.9069956911891</v>
      </c>
      <c r="D439" s="7">
        <f>C439*1000/(365*$F$29)</f>
        <v>88.54192488330698</v>
      </c>
      <c r="E439" s="7">
        <f>D422/$F$29</f>
        <v>114082.89207441628</v>
      </c>
      <c r="F439" s="7">
        <f>F424+F429+F434</f>
        <v>11608590.623454545</v>
      </c>
      <c r="G439" s="8">
        <f>F439/E439</f>
        <v>101.7557533156002</v>
      </c>
    </row>
    <row r="440" spans="1:8" ht="12.75">
      <c r="A440" t="s">
        <v>27</v>
      </c>
      <c r="B440" s="33"/>
      <c r="C440" s="33"/>
      <c r="D440" s="33"/>
      <c r="E440" s="33"/>
      <c r="F440" s="33"/>
      <c r="G440" s="32"/>
      <c r="H440" s="36"/>
    </row>
    <row r="441" spans="1:8" ht="12.75">
      <c r="A441" t="s">
        <v>28</v>
      </c>
      <c r="B441" s="20"/>
      <c r="C441" s="20"/>
      <c r="D441" s="20"/>
      <c r="E441" s="20"/>
      <c r="F441" s="20"/>
      <c r="G441" s="25"/>
      <c r="H441" s="29"/>
    </row>
    <row r="442" spans="1:8" ht="12.75">
      <c r="A442" t="s">
        <v>29</v>
      </c>
      <c r="B442" s="23"/>
      <c r="C442" s="23"/>
      <c r="D442" s="23"/>
      <c r="E442" s="23"/>
      <c r="F442" s="23"/>
      <c r="G442" s="26"/>
      <c r="H442" s="30"/>
    </row>
    <row r="444" spans="1:8" ht="12.75">
      <c r="A444" s="41" t="s">
        <v>149</v>
      </c>
      <c r="H444" s="10">
        <v>2016</v>
      </c>
    </row>
    <row r="445" spans="1:8" ht="12.75">
      <c r="A445" s="10" t="s">
        <v>73</v>
      </c>
      <c r="B445" s="9" t="s">
        <v>144</v>
      </c>
      <c r="C445" s="9" t="s">
        <v>58</v>
      </c>
      <c r="D445" s="9" t="s">
        <v>303</v>
      </c>
      <c r="E445" s="9" t="s">
        <v>78</v>
      </c>
      <c r="G445" s="9" t="s">
        <v>72</v>
      </c>
      <c r="H445" s="10">
        <f>H444-2009</f>
        <v>7</v>
      </c>
    </row>
    <row r="446" spans="1:8" ht="12.75">
      <c r="A446" s="9">
        <f>($B$92*(1-($E$129*(1+$E$131)^$F446)-$E$133*(1+$E$135)^($F446)))/((1-$E$129-$E$133))</f>
        <v>13889595.653799014</v>
      </c>
      <c r="B446" s="7">
        <f>E446-(B448+B453+B458)</f>
        <v>3307899.688268846</v>
      </c>
      <c r="C446" s="9">
        <f>$E$122</f>
        <v>700061.4217466069</v>
      </c>
      <c r="D446" s="9">
        <f>(C446*(1+$E$119)^F446)*($E$126*(1+$E$125)^$F446)</f>
        <v>834734.9529567462</v>
      </c>
      <c r="E446" s="9">
        <f>(D446/$F$29)*$G$33</f>
        <v>18971900.60162541</v>
      </c>
      <c r="F446" s="8">
        <f>H445-1</f>
        <v>6</v>
      </c>
      <c r="H446" s="14" t="s">
        <v>49</v>
      </c>
    </row>
    <row r="447" spans="2:8" ht="12.75">
      <c r="B447" s="42" t="s">
        <v>35</v>
      </c>
      <c r="C447" s="7" t="s">
        <v>74</v>
      </c>
      <c r="D447" s="7" t="s">
        <v>43</v>
      </c>
      <c r="E447" s="7" t="s">
        <v>66</v>
      </c>
      <c r="F447" s="7" t="s">
        <v>75</v>
      </c>
      <c r="G447" s="7" t="s">
        <v>76</v>
      </c>
      <c r="H447" s="13" t="s">
        <v>67</v>
      </c>
    </row>
    <row r="448" spans="1:8" ht="12.75">
      <c r="A448" s="7" t="s">
        <v>26</v>
      </c>
      <c r="B448" s="7">
        <f>A446</f>
        <v>13889595.653799014</v>
      </c>
      <c r="C448" s="7">
        <f>B448/E448</f>
        <v>117.85777709125858</v>
      </c>
      <c r="D448" s="31">
        <f>C448*1000/(365*$F$29)</f>
        <v>45.587748048581915</v>
      </c>
      <c r="E448" s="7">
        <f>D446/$F$29</f>
        <v>117850.48044003194</v>
      </c>
      <c r="F448" s="7">
        <f>B448*H448</f>
        <v>3194607.0003737733</v>
      </c>
      <c r="G448" s="7">
        <f>F448/E448</f>
        <v>27.107288730989474</v>
      </c>
      <c r="H448" s="13">
        <f>H$56</f>
        <v>0.23</v>
      </c>
    </row>
    <row r="449" spans="1:8" ht="12.75">
      <c r="A449" t="s">
        <v>27</v>
      </c>
      <c r="B449" s="33">
        <f>B448*B$17</f>
        <v>833735.6203345231</v>
      </c>
      <c r="C449" s="33">
        <f>B449/E449</f>
        <v>117.85777709125858</v>
      </c>
      <c r="D449" s="33">
        <f>C449*1000/(365*$F$29)</f>
        <v>45.587748048581915</v>
      </c>
      <c r="E449" s="33">
        <f>B$4*E448</f>
        <v>7074.082346631673</v>
      </c>
      <c r="F449" s="33">
        <f>B449*H449</f>
        <v>0</v>
      </c>
      <c r="G449" s="33">
        <f>F449/E449</f>
        <v>0</v>
      </c>
      <c r="H449" s="36">
        <f>H$58</f>
        <v>0</v>
      </c>
    </row>
    <row r="450" spans="1:8" ht="12.75">
      <c r="A450" t="s">
        <v>28</v>
      </c>
      <c r="B450" s="20">
        <f>B448*B$18</f>
        <v>4392418.649534358</v>
      </c>
      <c r="C450" s="20">
        <f>B450/E450</f>
        <v>117.8577770912586</v>
      </c>
      <c r="D450" s="20">
        <f>C450*1000/(365*$F$29)</f>
        <v>45.58774804858192</v>
      </c>
      <c r="E450" s="20">
        <f>B$5*E448</f>
        <v>37268.80616569969</v>
      </c>
      <c r="F450" s="20">
        <f>B450*H450</f>
        <v>0</v>
      </c>
      <c r="G450" s="20">
        <f>F450/E450</f>
        <v>0</v>
      </c>
      <c r="H450" s="29">
        <f>H$59</f>
        <v>0</v>
      </c>
    </row>
    <row r="451" spans="1:8" ht="12.75">
      <c r="A451" t="s">
        <v>29</v>
      </c>
      <c r="B451" s="23">
        <f>B448*B$19</f>
        <v>8663441.383930132</v>
      </c>
      <c r="C451" s="23">
        <f>B451/E451</f>
        <v>117.85777709125858</v>
      </c>
      <c r="D451" s="23">
        <f>C451*1000/(365*$F$29)</f>
        <v>45.587748048581915</v>
      </c>
      <c r="E451" s="23">
        <f>B$6*E448</f>
        <v>73507.59192770056</v>
      </c>
      <c r="F451" s="23">
        <f>B451*H451</f>
        <v>0</v>
      </c>
      <c r="G451" s="23">
        <f>F451/E451</f>
        <v>0</v>
      </c>
      <c r="H451" s="30">
        <f>H$60</f>
        <v>0</v>
      </c>
    </row>
    <row r="452" ht="12.75">
      <c r="B452" s="42" t="s">
        <v>135</v>
      </c>
    </row>
    <row r="453" spans="1:8" ht="12.75">
      <c r="A453" s="7" t="s">
        <v>26</v>
      </c>
      <c r="B453" s="7">
        <f>E453*$F$26</f>
        <v>179271.67598528735</v>
      </c>
      <c r="C453" s="7">
        <f>B453/E453</f>
        <v>1.521179</v>
      </c>
      <c r="D453" s="31">
        <f>C453*1000/(365*$F$29)</f>
        <v>0.5883966820034078</v>
      </c>
      <c r="E453" s="7">
        <f>D446/$F$29</f>
        <v>117850.48044003194</v>
      </c>
      <c r="F453" s="7">
        <f>H453*B453</f>
        <v>9470205.55559879</v>
      </c>
      <c r="G453" s="8">
        <f>F453/E453</f>
        <v>80.357801854</v>
      </c>
      <c r="H453" s="8">
        <f>$F$27</f>
        <v>52.826</v>
      </c>
    </row>
    <row r="454" spans="1:8" ht="12.75">
      <c r="A454" t="s">
        <v>27</v>
      </c>
      <c r="B454" s="33">
        <f>B453*$F$17</f>
        <v>4473.306162027889</v>
      </c>
      <c r="C454" s="33"/>
      <c r="D454" s="33"/>
      <c r="E454" s="33"/>
      <c r="F454" s="33"/>
      <c r="G454" s="32"/>
      <c r="H454" s="36"/>
    </row>
    <row r="455" spans="1:8" ht="12.75">
      <c r="A455" t="s">
        <v>28</v>
      </c>
      <c r="B455" s="20">
        <f>B453*$F$18</f>
        <v>35350.47489625888</v>
      </c>
      <c r="C455" s="20"/>
      <c r="D455" s="20"/>
      <c r="E455" s="20"/>
      <c r="F455" s="20"/>
      <c r="G455" s="25"/>
      <c r="H455" s="29"/>
    </row>
    <row r="456" spans="1:8" ht="12.75">
      <c r="A456" t="s">
        <v>29</v>
      </c>
      <c r="B456" s="23">
        <f>B453*$F$19</f>
        <v>139447.89492700057</v>
      </c>
      <c r="C456" s="23"/>
      <c r="D456" s="23"/>
      <c r="E456" s="23"/>
      <c r="F456" s="23"/>
      <c r="G456" s="26"/>
      <c r="H456" s="30"/>
    </row>
    <row r="457" ht="12.75">
      <c r="B457" s="42" t="s">
        <v>30</v>
      </c>
    </row>
    <row r="458" spans="1:8" ht="12.75">
      <c r="A458" s="7" t="s">
        <v>26</v>
      </c>
      <c r="B458" s="7">
        <f>E458*$F$24</f>
        <v>1595133.5835722613</v>
      </c>
      <c r="C458" s="7">
        <f>B458/E458</f>
        <v>13.5352319109462</v>
      </c>
      <c r="D458" s="7">
        <f>C458*1000/(365*$F$29)</f>
        <v>5.235469031946528</v>
      </c>
      <c r="E458" s="7">
        <f>D446/$F$29</f>
        <v>117850.48044003194</v>
      </c>
      <c r="F458" s="7">
        <f>H458*B458</f>
        <v>6380534.334289045</v>
      </c>
      <c r="G458" s="8">
        <f>F458/E458</f>
        <v>54.1409276437848</v>
      </c>
      <c r="H458" s="8">
        <f>$F$28</f>
        <v>4</v>
      </c>
    </row>
    <row r="459" spans="1:8" ht="12.75">
      <c r="A459" t="s">
        <v>27</v>
      </c>
      <c r="B459" s="33">
        <f>B458*$D$17</f>
        <v>58968.54093713488</v>
      </c>
      <c r="C459" s="33"/>
      <c r="D459" s="33"/>
      <c r="E459" s="33"/>
      <c r="F459" s="33"/>
      <c r="G459" s="32"/>
      <c r="H459" s="36"/>
    </row>
    <row r="460" spans="1:8" ht="12.75">
      <c r="A460" t="s">
        <v>28</v>
      </c>
      <c r="B460" s="20">
        <f>B458*$D$18</f>
        <v>310667.44976564153</v>
      </c>
      <c r="C460" s="20"/>
      <c r="D460" s="20"/>
      <c r="E460" s="20"/>
      <c r="F460" s="20"/>
      <c r="G460" s="25"/>
      <c r="H460" s="29"/>
    </row>
    <row r="461" spans="1:8" ht="12.75">
      <c r="A461" t="s">
        <v>29</v>
      </c>
      <c r="B461" s="23">
        <f>B458*$D$19</f>
        <v>1225497.592869485</v>
      </c>
      <c r="C461" s="23"/>
      <c r="D461" s="23"/>
      <c r="E461" s="23"/>
      <c r="F461" s="23"/>
      <c r="G461" s="26"/>
      <c r="H461" s="30"/>
    </row>
    <row r="462" ht="12.75">
      <c r="B462" s="42" t="s">
        <v>143</v>
      </c>
    </row>
    <row r="463" spans="1:7" ht="12.75">
      <c r="A463" s="7" t="s">
        <v>26</v>
      </c>
      <c r="B463" s="7">
        <f>E446</f>
        <v>18971900.60162541</v>
      </c>
      <c r="C463" s="7">
        <f>B463/E463</f>
        <v>160.9828023677785</v>
      </c>
      <c r="D463" s="7">
        <f>C463*1000/(365*$F$29)</f>
        <v>62.26863950449697</v>
      </c>
      <c r="E463" s="7">
        <f>D446/$F$29</f>
        <v>117850.48044003194</v>
      </c>
      <c r="F463" s="7">
        <f>F448+F453+F458</f>
        <v>19045346.89026161</v>
      </c>
      <c r="G463" s="8">
        <f>F463/E463</f>
        <v>161.60601822877427</v>
      </c>
    </row>
    <row r="464" spans="1:8" ht="12.75">
      <c r="A464" t="s">
        <v>27</v>
      </c>
      <c r="B464" s="33"/>
      <c r="C464" s="33"/>
      <c r="D464" s="33"/>
      <c r="E464" s="33"/>
      <c r="F464" s="33"/>
      <c r="G464" s="32"/>
      <c r="H464" s="36"/>
    </row>
    <row r="465" spans="1:8" ht="12.75">
      <c r="A465" t="s">
        <v>28</v>
      </c>
      <c r="B465" s="20"/>
      <c r="C465" s="20"/>
      <c r="D465" s="20"/>
      <c r="E465" s="20"/>
      <c r="F465" s="20"/>
      <c r="G465" s="25"/>
      <c r="H465" s="29"/>
    </row>
    <row r="466" spans="1:8" ht="12.75">
      <c r="A466" t="s">
        <v>29</v>
      </c>
      <c r="B466" s="23"/>
      <c r="C466" s="23"/>
      <c r="D466" s="23"/>
      <c r="E466" s="23"/>
      <c r="F466" s="23"/>
      <c r="G466" s="26"/>
      <c r="H466" s="30"/>
    </row>
    <row r="468" spans="1:8" ht="12.75">
      <c r="A468" s="41" t="s">
        <v>149</v>
      </c>
      <c r="H468" s="14">
        <v>2016</v>
      </c>
    </row>
    <row r="469" spans="1:8" ht="12.75">
      <c r="A469" s="10" t="s">
        <v>73</v>
      </c>
      <c r="B469" s="9" t="s">
        <v>144</v>
      </c>
      <c r="C469" s="9" t="s">
        <v>58</v>
      </c>
      <c r="D469" s="9" t="s">
        <v>303</v>
      </c>
      <c r="E469" s="9" t="s">
        <v>78</v>
      </c>
      <c r="F469" s="9" t="s">
        <v>486</v>
      </c>
      <c r="G469" s="9" t="s">
        <v>72</v>
      </c>
      <c r="H469" s="10">
        <f>H468-2009</f>
        <v>7</v>
      </c>
    </row>
    <row r="470" spans="1:8" ht="12.75">
      <c r="A470" s="9">
        <f>(A446*(1-F470))+(F470*($B$92*(1-($E$137*(1+$E$139)^$G470)-($E$141*(1+$E$143)^$G470))/((1-($E$129*(1+$E$131)^$G470)-$E$133*(1+$E$135)^$G470))))</f>
        <v>26223804.343166385</v>
      </c>
      <c r="B470" s="7">
        <f>E470-(B472+B477+B482)</f>
        <v>-7476321.133258812</v>
      </c>
      <c r="C470" s="9">
        <f>$E$122</f>
        <v>700061.4217466069</v>
      </c>
      <c r="D470" s="9">
        <f>(C470*(1+$E$119)^G470)*($E$126*(1+$E$125)^$G470)</f>
        <v>834734.9529567462</v>
      </c>
      <c r="E470" s="9">
        <f>(D470/$F$29)*$G$33</f>
        <v>18971900.60162541</v>
      </c>
      <c r="F470" s="16">
        <v>0.92</v>
      </c>
      <c r="G470" s="8">
        <f>H469-1</f>
        <v>6</v>
      </c>
      <c r="H470" s="14" t="s">
        <v>50</v>
      </c>
    </row>
    <row r="471" spans="2:8" ht="12.75">
      <c r="B471" s="109" t="s">
        <v>35</v>
      </c>
      <c r="C471" s="7" t="s">
        <v>74</v>
      </c>
      <c r="D471" s="7" t="s">
        <v>43</v>
      </c>
      <c r="E471" s="7" t="s">
        <v>66</v>
      </c>
      <c r="F471" s="7" t="s">
        <v>75</v>
      </c>
      <c r="G471" s="7" t="s">
        <v>76</v>
      </c>
      <c r="H471" s="13" t="s">
        <v>67</v>
      </c>
    </row>
    <row r="472" spans="1:8" ht="12.75">
      <c r="A472" s="7" t="s">
        <v>26</v>
      </c>
      <c r="B472" s="7">
        <f>A470</f>
        <v>26223804.343166385</v>
      </c>
      <c r="C472" s="7">
        <f>B472/E472</f>
        <v>222.5175853781125</v>
      </c>
      <c r="D472" s="31">
        <f>C472*1000/(365*$F$29)</f>
        <v>86.0704814646346</v>
      </c>
      <c r="E472" s="7">
        <f>D470/$F$29</f>
        <v>117850.48044003194</v>
      </c>
      <c r="F472" s="7">
        <f>B472*H472</f>
        <v>6031474.998928268</v>
      </c>
      <c r="G472" s="7">
        <f>F472/E472</f>
        <v>51.17904463696588</v>
      </c>
      <c r="H472" s="13">
        <f>H$56</f>
        <v>0.23</v>
      </c>
    </row>
    <row r="473" spans="1:8" ht="12.75">
      <c r="A473" t="s">
        <v>27</v>
      </c>
      <c r="B473" s="33">
        <f>B472*B$17</f>
        <v>1574107.7225384116</v>
      </c>
      <c r="C473" s="33">
        <f>B473/E473</f>
        <v>222.51758537811247</v>
      </c>
      <c r="D473" s="33">
        <f>C473*1000/(365*$F$29)</f>
        <v>86.07048146463458</v>
      </c>
      <c r="E473" s="33">
        <f>B$4*E472</f>
        <v>7074.082346631673</v>
      </c>
      <c r="F473" s="33">
        <f>B473*H473</f>
        <v>0</v>
      </c>
      <c r="G473" s="33">
        <f>F473/E473</f>
        <v>0</v>
      </c>
      <c r="H473" s="36">
        <f>H$58</f>
        <v>0</v>
      </c>
    </row>
    <row r="474" spans="1:8" ht="12.75">
      <c r="A474" t="s">
        <v>28</v>
      </c>
      <c r="B474" s="20">
        <f>B472*B$18</f>
        <v>8292964.757916406</v>
      </c>
      <c r="C474" s="20">
        <f>B474/E474</f>
        <v>222.5175853781125</v>
      </c>
      <c r="D474" s="20">
        <f>C474*1000/(365*$F$29)</f>
        <v>86.0704814646346</v>
      </c>
      <c r="E474" s="20">
        <f>B$5*E472</f>
        <v>37268.80616569969</v>
      </c>
      <c r="F474" s="20">
        <f>B474*H474</f>
        <v>0</v>
      </c>
      <c r="G474" s="20">
        <f>F474/E474</f>
        <v>0</v>
      </c>
      <c r="H474" s="29">
        <f>H$59</f>
        <v>0</v>
      </c>
    </row>
    <row r="475" spans="1:8" ht="12.75">
      <c r="A475" t="s">
        <v>29</v>
      </c>
      <c r="B475" s="23">
        <f>B472*B$19</f>
        <v>16356731.862711564</v>
      </c>
      <c r="C475" s="23">
        <f>B475/E475</f>
        <v>222.51758537811253</v>
      </c>
      <c r="D475" s="23">
        <f>C475*1000/(365*$F$29)</f>
        <v>86.07048146463461</v>
      </c>
      <c r="E475" s="23">
        <f>B$6*E472</f>
        <v>73507.59192770056</v>
      </c>
      <c r="F475" s="23">
        <f>B475*H475</f>
        <v>0</v>
      </c>
      <c r="G475" s="23">
        <f>F475/E475</f>
        <v>0</v>
      </c>
      <c r="H475" s="30">
        <f>H$60</f>
        <v>0</v>
      </c>
    </row>
    <row r="476" ht="12.75">
      <c r="B476" s="109" t="s">
        <v>135</v>
      </c>
    </row>
    <row r="477" spans="1:8" ht="12.75">
      <c r="A477" s="7" t="s">
        <v>26</v>
      </c>
      <c r="B477" s="7">
        <f>(F470*E477*$F$26*$E$145)+((1-F470)*B453)</f>
        <v>96806.70503205516</v>
      </c>
      <c r="C477" s="7">
        <f>B477/E477</f>
        <v>0.8214366599999999</v>
      </c>
      <c r="D477" s="31">
        <f>C477*1000/(365*$F$29)</f>
        <v>0.3177342082818402</v>
      </c>
      <c r="E477" s="7">
        <f>D470/$F$29</f>
        <v>117850.48044003194</v>
      </c>
      <c r="F477" s="7">
        <f>H$165*B477</f>
        <v>5113911.000023346</v>
      </c>
      <c r="G477" s="8">
        <f>F477/E477</f>
        <v>43.39321300116</v>
      </c>
      <c r="H477" s="8">
        <f>$F$27</f>
        <v>52.826</v>
      </c>
    </row>
    <row r="478" spans="1:8" ht="12.75">
      <c r="A478" t="s">
        <v>27</v>
      </c>
      <c r="B478" s="33">
        <f>B477*$F$17</f>
        <v>2415.58532749506</v>
      </c>
      <c r="C478" s="33"/>
      <c r="D478" s="33"/>
      <c r="E478" s="33"/>
      <c r="F478" s="33"/>
      <c r="G478" s="32"/>
      <c r="H478" s="36"/>
    </row>
    <row r="479" spans="1:8" ht="12.75">
      <c r="A479" t="s">
        <v>28</v>
      </c>
      <c r="B479" s="20">
        <f>B477*$F$18</f>
        <v>19089.256443979793</v>
      </c>
      <c r="C479" s="20"/>
      <c r="D479" s="20"/>
      <c r="E479" s="20"/>
      <c r="F479" s="20"/>
      <c r="G479" s="25"/>
      <c r="H479" s="29"/>
    </row>
    <row r="480" spans="1:8" ht="12.75">
      <c r="A480" t="s">
        <v>29</v>
      </c>
      <c r="B480" s="23">
        <f>B477*$F$19</f>
        <v>75301.86326058031</v>
      </c>
      <c r="C480" s="23"/>
      <c r="D480" s="23"/>
      <c r="E480" s="23"/>
      <c r="F480" s="23"/>
      <c r="G480" s="26"/>
      <c r="H480" s="30"/>
    </row>
    <row r="481" ht="12.75">
      <c r="B481" s="109" t="s">
        <v>30</v>
      </c>
    </row>
    <row r="482" spans="1:8" ht="12.75">
      <c r="A482" s="7" t="s">
        <v>26</v>
      </c>
      <c r="B482" s="7">
        <f>(F470*(IF(E470&gt;=(B472+B477),(E470-(B472+B477)),0)))+(1-F470)*B458</f>
        <v>127610.68668578083</v>
      </c>
      <c r="C482" s="7">
        <f>B482/E482</f>
        <v>1.0828185528756955</v>
      </c>
      <c r="D482" s="7">
        <f>C482*1000/(365*$F$29)</f>
        <v>0.4188375225557221</v>
      </c>
      <c r="E482" s="7">
        <f>D470/$F$29</f>
        <v>117850.48044003194</v>
      </c>
      <c r="F482" s="7">
        <f>H$170*B482</f>
        <v>510442.74674312334</v>
      </c>
      <c r="G482" s="8">
        <f>F482/E482</f>
        <v>4.331274211502782</v>
      </c>
      <c r="H482" s="8">
        <f>$F$28</f>
        <v>4</v>
      </c>
    </row>
    <row r="483" spans="1:8" ht="12.75">
      <c r="A483" t="s">
        <v>27</v>
      </c>
      <c r="B483" s="33">
        <f>B482*$D$17</f>
        <v>4717.4832749707875</v>
      </c>
      <c r="C483" s="33"/>
      <c r="D483" s="33"/>
      <c r="E483" s="33"/>
      <c r="F483" s="33"/>
      <c r="G483" s="32"/>
      <c r="H483" s="36"/>
    </row>
    <row r="484" spans="1:8" ht="12.75">
      <c r="A484" t="s">
        <v>28</v>
      </c>
      <c r="B484" s="20">
        <f>B482*$D$18</f>
        <v>24853.39598125131</v>
      </c>
      <c r="C484" s="20"/>
      <c r="D484" s="20"/>
      <c r="E484" s="20"/>
      <c r="F484" s="20"/>
      <c r="G484" s="25"/>
      <c r="H484" s="29"/>
    </row>
    <row r="485" spans="1:8" ht="12.75">
      <c r="A485" t="s">
        <v>29</v>
      </c>
      <c r="B485" s="23">
        <f>B482*$D$19</f>
        <v>98039.80742955874</v>
      </c>
      <c r="C485" s="23"/>
      <c r="D485" s="23"/>
      <c r="E485" s="23"/>
      <c r="F485" s="23"/>
      <c r="G485" s="26"/>
      <c r="H485" s="30"/>
    </row>
    <row r="486" ht="12.75">
      <c r="B486" s="42" t="s">
        <v>143</v>
      </c>
    </row>
    <row r="487" spans="1:7" ht="12.75">
      <c r="A487" s="7" t="s">
        <v>26</v>
      </c>
      <c r="B487" s="7">
        <f>IF(E470&gt;=(B472+B477),E470,(B472+B477+B482))</f>
        <v>26448221.73488422</v>
      </c>
      <c r="C487" s="7">
        <f>B487/E487</f>
        <v>224.4218405909882</v>
      </c>
      <c r="D487" s="7">
        <f>C487*1000/(365*$F$29)</f>
        <v>86.80705319547216</v>
      </c>
      <c r="E487" s="7">
        <f>D470/$F$29</f>
        <v>117850.48044003194</v>
      </c>
      <c r="F487" s="7">
        <f>F472+F477+F482</f>
        <v>11655828.745694738</v>
      </c>
      <c r="G487" s="8">
        <f>F487/E487</f>
        <v>98.90353184962865</v>
      </c>
    </row>
    <row r="488" spans="1:8" ht="12.75">
      <c r="A488" t="s">
        <v>27</v>
      </c>
      <c r="B488" s="33"/>
      <c r="C488" s="33"/>
      <c r="D488" s="33"/>
      <c r="E488" s="33"/>
      <c r="F488" s="33"/>
      <c r="G488" s="32"/>
      <c r="H488" s="36"/>
    </row>
    <row r="489" spans="1:8" ht="12.75">
      <c r="A489" t="s">
        <v>28</v>
      </c>
      <c r="B489" s="20"/>
      <c r="C489" s="20"/>
      <c r="D489" s="20"/>
      <c r="E489" s="20"/>
      <c r="F489" s="20"/>
      <c r="G489" s="25"/>
      <c r="H489" s="29"/>
    </row>
    <row r="490" spans="1:8" ht="12.75">
      <c r="A490" t="s">
        <v>29</v>
      </c>
      <c r="B490" s="23"/>
      <c r="C490" s="23"/>
      <c r="D490" s="23"/>
      <c r="E490" s="23"/>
      <c r="F490" s="23"/>
      <c r="G490" s="26"/>
      <c r="H490" s="30"/>
    </row>
    <row r="492" spans="1:8" ht="12.75">
      <c r="A492" s="41" t="s">
        <v>149</v>
      </c>
      <c r="H492" s="10">
        <v>2017</v>
      </c>
    </row>
    <row r="493" spans="1:8" ht="12.75">
      <c r="A493" s="10" t="s">
        <v>73</v>
      </c>
      <c r="B493" s="9" t="s">
        <v>144</v>
      </c>
      <c r="C493" s="9" t="s">
        <v>58</v>
      </c>
      <c r="D493" s="9" t="s">
        <v>303</v>
      </c>
      <c r="E493" s="9" t="s">
        <v>78</v>
      </c>
      <c r="G493" s="9" t="s">
        <v>72</v>
      </c>
      <c r="H493" s="10">
        <f>H492-2009</f>
        <v>8</v>
      </c>
    </row>
    <row r="494" spans="1:8" ht="12.75">
      <c r="A494" s="9">
        <f>($B$92*(1-($E$129*(1+$E$131)^$F494)-$E$133*(1+$E$135)^($F494)))/((1-$E$129-$E$133))</f>
        <v>13845309.474178355</v>
      </c>
      <c r="B494" s="7">
        <f>E494-(B496+B501+B506)</f>
        <v>3920133.2804273963</v>
      </c>
      <c r="C494" s="9">
        <f>$E$122</f>
        <v>700061.4217466069</v>
      </c>
      <c r="D494" s="9">
        <f>(C494*(1+$E$119)^F494)*($E$126*(1+$E$125)^$F494)</f>
        <v>862302.0810330675</v>
      </c>
      <c r="E494" s="9">
        <f>(D494/$F$29)*$G$33</f>
        <v>19598447.76115635</v>
      </c>
      <c r="F494" s="8">
        <f>H493-1</f>
        <v>7</v>
      </c>
      <c r="H494" s="14" t="s">
        <v>49</v>
      </c>
    </row>
    <row r="495" spans="2:8" ht="12.75">
      <c r="B495" s="42" t="s">
        <v>35</v>
      </c>
      <c r="C495" s="7" t="s">
        <v>74</v>
      </c>
      <c r="D495" s="7" t="s">
        <v>43</v>
      </c>
      <c r="E495" s="7" t="s">
        <v>66</v>
      </c>
      <c r="F495" s="7" t="s">
        <v>75</v>
      </c>
      <c r="G495" s="7" t="s">
        <v>76</v>
      </c>
      <c r="H495" s="13" t="s">
        <v>67</v>
      </c>
    </row>
    <row r="496" spans="1:8" ht="12.75">
      <c r="A496" s="7" t="s">
        <v>26</v>
      </c>
      <c r="B496" s="7">
        <f>A494</f>
        <v>13845309.474178355</v>
      </c>
      <c r="C496" s="7">
        <f>B496/E496</f>
        <v>113.72618617378083</v>
      </c>
      <c r="D496" s="31">
        <f>C496*1000/(365*$F$29)</f>
        <v>43.989636066205534</v>
      </c>
      <c r="E496" s="7">
        <f>D494/$F$29</f>
        <v>121742.49343965376</v>
      </c>
      <c r="F496" s="7">
        <f>B496*H496</f>
        <v>3184421.1790610217</v>
      </c>
      <c r="G496" s="7">
        <f>F496/E496</f>
        <v>26.15702281996959</v>
      </c>
      <c r="H496" s="13">
        <f>H$56</f>
        <v>0.23</v>
      </c>
    </row>
    <row r="497" spans="1:8" ht="12.75">
      <c r="A497" t="s">
        <v>27</v>
      </c>
      <c r="B497" s="33">
        <f>B496*B$17</f>
        <v>831077.3020970029</v>
      </c>
      <c r="C497" s="33">
        <f>B497/E497</f>
        <v>113.72618617378085</v>
      </c>
      <c r="D497" s="33">
        <f>C497*1000/(365*$F$29)</f>
        <v>43.98963606620554</v>
      </c>
      <c r="E497" s="33">
        <f>B$4*E496</f>
        <v>7307.70396913745</v>
      </c>
      <c r="F497" s="33">
        <f>B497*H497</f>
        <v>0</v>
      </c>
      <c r="G497" s="33">
        <f>F497/E497</f>
        <v>0</v>
      </c>
      <c r="H497" s="36">
        <f>H$58</f>
        <v>0</v>
      </c>
    </row>
    <row r="498" spans="1:8" ht="12.75">
      <c r="A498" t="s">
        <v>28</v>
      </c>
      <c r="B498" s="20">
        <f>B496*B$18</f>
        <v>4378413.674434221</v>
      </c>
      <c r="C498" s="20">
        <f>B498/E498</f>
        <v>113.72618617378083</v>
      </c>
      <c r="D498" s="20">
        <f>C498*1000/(365*$F$29)</f>
        <v>43.989636066205534</v>
      </c>
      <c r="E498" s="20">
        <f>B$5*E496</f>
        <v>38499.60876858851</v>
      </c>
      <c r="F498" s="20">
        <f>B498*H498</f>
        <v>0</v>
      </c>
      <c r="G498" s="20">
        <f>F498/E498</f>
        <v>0</v>
      </c>
      <c r="H498" s="29">
        <f>H$59</f>
        <v>0</v>
      </c>
    </row>
    <row r="499" spans="1:8" ht="12.75">
      <c r="A499" t="s">
        <v>29</v>
      </c>
      <c r="B499" s="23">
        <f>B496*B$19</f>
        <v>8635818.497647129</v>
      </c>
      <c r="C499" s="23">
        <f>B499/E499</f>
        <v>113.72618617378083</v>
      </c>
      <c r="D499" s="23">
        <f>C499*1000/(365*$F$29)</f>
        <v>43.989636066205534</v>
      </c>
      <c r="E499" s="23">
        <f>B$6*E496</f>
        <v>75935.18070192779</v>
      </c>
      <c r="F499" s="23">
        <f>B499*H499</f>
        <v>0</v>
      </c>
      <c r="G499" s="23">
        <f>F499/E499</f>
        <v>0</v>
      </c>
      <c r="H499" s="30">
        <f>H$60</f>
        <v>0</v>
      </c>
    </row>
    <row r="500" ht="12.75">
      <c r="B500" s="42" t="s">
        <v>135</v>
      </c>
    </row>
    <row r="501" spans="1:8" ht="12.75">
      <c r="A501" s="7" t="s">
        <v>26</v>
      </c>
      <c r="B501" s="7">
        <f>E501*$F$26</f>
        <v>185192.12442803907</v>
      </c>
      <c r="C501" s="7">
        <f>B501/E501</f>
        <v>1.521179</v>
      </c>
      <c r="D501" s="31">
        <f>C501*1000/(365*$F$29)</f>
        <v>0.5883966820034078</v>
      </c>
      <c r="E501" s="7">
        <f>D494/$F$29</f>
        <v>121742.49343965376</v>
      </c>
      <c r="F501" s="7">
        <f>H501*B501</f>
        <v>9782959.165035592</v>
      </c>
      <c r="G501" s="8">
        <f>F501/E501</f>
        <v>80.357801854</v>
      </c>
      <c r="H501" s="8">
        <f>$F$27</f>
        <v>52.826</v>
      </c>
    </row>
    <row r="502" spans="1:8" ht="12.75">
      <c r="A502" t="s">
        <v>27</v>
      </c>
      <c r="B502" s="33">
        <f>B501*$F$17</f>
        <v>4621.037131548714</v>
      </c>
      <c r="C502" s="33"/>
      <c r="D502" s="33"/>
      <c r="E502" s="33"/>
      <c r="F502" s="33"/>
      <c r="G502" s="32"/>
      <c r="H502" s="36"/>
    </row>
    <row r="503" spans="1:8" ht="12.75">
      <c r="A503" t="s">
        <v>28</v>
      </c>
      <c r="B503" s="20">
        <f>B501*$F$18</f>
        <v>36517.92459459977</v>
      </c>
      <c r="C503" s="20"/>
      <c r="D503" s="20"/>
      <c r="E503" s="20"/>
      <c r="F503" s="20"/>
      <c r="G503" s="25"/>
      <c r="H503" s="29"/>
    </row>
    <row r="504" spans="1:8" ht="12.75">
      <c r="A504" t="s">
        <v>29</v>
      </c>
      <c r="B504" s="23">
        <f>B501*$F$19</f>
        <v>144053.16270189057</v>
      </c>
      <c r="C504" s="23"/>
      <c r="D504" s="23"/>
      <c r="E504" s="23"/>
      <c r="F504" s="23"/>
      <c r="G504" s="26"/>
      <c r="H504" s="30"/>
    </row>
    <row r="505" ht="12.75">
      <c r="B505" s="42" t="s">
        <v>30</v>
      </c>
    </row>
    <row r="506" spans="1:8" ht="12.75">
      <c r="A506" s="7" t="s">
        <v>26</v>
      </c>
      <c r="B506" s="7">
        <f>E506*$F$24</f>
        <v>1647812.88212256</v>
      </c>
      <c r="C506" s="7">
        <f>B506/E506</f>
        <v>13.5352319109462</v>
      </c>
      <c r="D506" s="7">
        <f>C506*1000/(365*$F$29)</f>
        <v>5.235469031946528</v>
      </c>
      <c r="E506" s="7">
        <f>D494/$F$29</f>
        <v>121742.49343965376</v>
      </c>
      <c r="F506" s="7">
        <f>H506*B506</f>
        <v>6591251.52849024</v>
      </c>
      <c r="G506" s="8">
        <f>F506/E506</f>
        <v>54.1409276437848</v>
      </c>
      <c r="H506" s="8">
        <f>$F$28</f>
        <v>4</v>
      </c>
    </row>
    <row r="507" spans="1:8" ht="12.75">
      <c r="A507" t="s">
        <v>27</v>
      </c>
      <c r="B507" s="33">
        <f>B506*$D$17</f>
        <v>60915.97744345311</v>
      </c>
      <c r="C507" s="33"/>
      <c r="D507" s="33"/>
      <c r="E507" s="33"/>
      <c r="F507" s="33"/>
      <c r="G507" s="32"/>
      <c r="H507" s="36"/>
    </row>
    <row r="508" spans="1:8" ht="12.75">
      <c r="A508" t="s">
        <v>28</v>
      </c>
      <c r="B508" s="20">
        <f>B506*$D$18</f>
        <v>320927.24462207826</v>
      </c>
      <c r="C508" s="20"/>
      <c r="D508" s="20"/>
      <c r="E508" s="20"/>
      <c r="F508" s="20"/>
      <c r="G508" s="25"/>
      <c r="H508" s="29"/>
    </row>
    <row r="509" spans="1:8" ht="12.75">
      <c r="A509" t="s">
        <v>29</v>
      </c>
      <c r="B509" s="23">
        <f>B506*$D$19</f>
        <v>1265969.6600570288</v>
      </c>
      <c r="C509" s="23"/>
      <c r="D509" s="23"/>
      <c r="E509" s="23"/>
      <c r="F509" s="23"/>
      <c r="G509" s="26"/>
      <c r="H509" s="30"/>
    </row>
    <row r="510" ht="12.75">
      <c r="B510" s="42" t="s">
        <v>143</v>
      </c>
    </row>
    <row r="511" spans="1:7" ht="12.75">
      <c r="A511" s="7" t="s">
        <v>26</v>
      </c>
      <c r="B511" s="7">
        <f>E494</f>
        <v>19598447.76115635</v>
      </c>
      <c r="C511" s="7">
        <f>B511/E511</f>
        <v>160.9828023677785</v>
      </c>
      <c r="D511" s="7">
        <f>C511*1000/(365*$F$29)</f>
        <v>62.26863950449697</v>
      </c>
      <c r="E511" s="7">
        <f>D494/$F$29</f>
        <v>121742.49343965376</v>
      </c>
      <c r="F511" s="7">
        <f>F496+F501+F506</f>
        <v>19558631.872586854</v>
      </c>
      <c r="G511" s="8">
        <f>F511/E511</f>
        <v>160.6557523177544</v>
      </c>
    </row>
    <row r="512" spans="1:8" ht="12.75">
      <c r="A512" t="s">
        <v>27</v>
      </c>
      <c r="B512" s="33"/>
      <c r="C512" s="33"/>
      <c r="D512" s="33"/>
      <c r="E512" s="33"/>
      <c r="F512" s="33"/>
      <c r="G512" s="32"/>
      <c r="H512" s="36"/>
    </row>
    <row r="513" spans="1:8" ht="12.75">
      <c r="A513" t="s">
        <v>28</v>
      </c>
      <c r="B513" s="20"/>
      <c r="C513" s="20"/>
      <c r="D513" s="20"/>
      <c r="E513" s="20"/>
      <c r="F513" s="20"/>
      <c r="G513" s="25"/>
      <c r="H513" s="29"/>
    </row>
    <row r="514" spans="1:8" ht="12.75">
      <c r="A514" t="s">
        <v>29</v>
      </c>
      <c r="B514" s="23"/>
      <c r="C514" s="23"/>
      <c r="D514" s="23"/>
      <c r="E514" s="23"/>
      <c r="F514" s="23"/>
      <c r="G514" s="26"/>
      <c r="H514" s="30"/>
    </row>
    <row r="516" spans="1:8" ht="12.75">
      <c r="A516" s="41" t="s">
        <v>149</v>
      </c>
      <c r="H516" s="14">
        <v>2017</v>
      </c>
    </row>
    <row r="517" spans="1:8" ht="12.75">
      <c r="A517" s="10" t="s">
        <v>73</v>
      </c>
      <c r="B517" s="9" t="s">
        <v>144</v>
      </c>
      <c r="C517" s="9" t="s">
        <v>58</v>
      </c>
      <c r="D517" s="9" t="s">
        <v>303</v>
      </c>
      <c r="E517" s="9" t="s">
        <v>78</v>
      </c>
      <c r="F517" s="9" t="s">
        <v>486</v>
      </c>
      <c r="G517" s="9" t="s">
        <v>72</v>
      </c>
      <c r="H517" s="10">
        <f>H516-2009</f>
        <v>8</v>
      </c>
    </row>
    <row r="518" spans="1:8" ht="12.75">
      <c r="A518" s="9">
        <f>(A494*(1-F518))+(F518*($B$92*(1-($E$137*(1+$E$139)^$G518)-($E$141*(1+$E$143)^$G518))/((1-($E$129*(1+$E$131)^$G518)-$E$133*(1+$E$135)^$G518))))</f>
        <v>26589964.567418315</v>
      </c>
      <c r="B518" s="7">
        <f>E518-(B520+B525+B530)</f>
        <v>-7188537.405136179</v>
      </c>
      <c r="C518" s="9">
        <f>$E$122</f>
        <v>700061.4217466069</v>
      </c>
      <c r="D518" s="9">
        <f>(C518*(1+$E$119)^G518)*($E$126*(1+$E$125)^$G518)</f>
        <v>862302.0810330675</v>
      </c>
      <c r="E518" s="9">
        <f>(D518/$F$29)*$G$33</f>
        <v>19598447.76115635</v>
      </c>
      <c r="F518" s="16">
        <v>0.94</v>
      </c>
      <c r="G518" s="8">
        <f>H517-1</f>
        <v>7</v>
      </c>
      <c r="H518" s="14" t="s">
        <v>50</v>
      </c>
    </row>
    <row r="519" spans="2:8" ht="12.75">
      <c r="B519" s="109" t="s">
        <v>35</v>
      </c>
      <c r="C519" s="7" t="s">
        <v>74</v>
      </c>
      <c r="D519" s="7" t="s">
        <v>43</v>
      </c>
      <c r="E519" s="7" t="s">
        <v>66</v>
      </c>
      <c r="F519" s="7" t="s">
        <v>75</v>
      </c>
      <c r="G519" s="7" t="s">
        <v>76</v>
      </c>
      <c r="H519" s="13" t="s">
        <v>67</v>
      </c>
    </row>
    <row r="520" spans="1:8" ht="12.75">
      <c r="A520" s="7" t="s">
        <v>26</v>
      </c>
      <c r="B520" s="7">
        <f>A518</f>
        <v>26589964.567418315</v>
      </c>
      <c r="C520" s="7">
        <f>B520/E520</f>
        <v>218.411532540186</v>
      </c>
      <c r="D520" s="31">
        <f>C520*1000/(365*$F$29)</f>
        <v>84.4822476894072</v>
      </c>
      <c r="E520" s="7">
        <f>D518/$F$29</f>
        <v>121742.49343965376</v>
      </c>
      <c r="F520" s="7">
        <f>B520*H520</f>
        <v>6115691.850506213</v>
      </c>
      <c r="G520" s="7">
        <f>F520/E520</f>
        <v>50.23465248424278</v>
      </c>
      <c r="H520" s="13">
        <f>H$56</f>
        <v>0.23</v>
      </c>
    </row>
    <row r="521" spans="1:8" ht="12.75">
      <c r="A521" t="s">
        <v>27</v>
      </c>
      <c r="B521" s="33">
        <f>B520*B$17</f>
        <v>1596086.8232493105</v>
      </c>
      <c r="C521" s="33">
        <f>B521/E521</f>
        <v>218.411532540186</v>
      </c>
      <c r="D521" s="33">
        <f>C521*1000/(365*$F$29)</f>
        <v>84.4822476894072</v>
      </c>
      <c r="E521" s="33">
        <f>B$4*E520</f>
        <v>7307.70396913745</v>
      </c>
      <c r="F521" s="33">
        <f>B521*H521</f>
        <v>0</v>
      </c>
      <c r="G521" s="33">
        <f>F521/E521</f>
        <v>0</v>
      </c>
      <c r="H521" s="36">
        <f>H$58</f>
        <v>0</v>
      </c>
    </row>
    <row r="522" spans="1:8" ht="12.75">
      <c r="A522" t="s">
        <v>28</v>
      </c>
      <c r="B522" s="20">
        <f>B520*B$18</f>
        <v>8408758.553344999</v>
      </c>
      <c r="C522" s="20">
        <f>B522/E522</f>
        <v>218.411532540186</v>
      </c>
      <c r="D522" s="20">
        <f>C522*1000/(365*$F$29)</f>
        <v>84.4822476894072</v>
      </c>
      <c r="E522" s="20">
        <f>B$5*E520</f>
        <v>38499.60876858851</v>
      </c>
      <c r="F522" s="20">
        <f>B522*H522</f>
        <v>0</v>
      </c>
      <c r="G522" s="20">
        <f>F522/E522</f>
        <v>0</v>
      </c>
      <c r="H522" s="29">
        <f>H$59</f>
        <v>0</v>
      </c>
    </row>
    <row r="523" spans="1:8" ht="12.75">
      <c r="A523" t="s">
        <v>29</v>
      </c>
      <c r="B523" s="23">
        <f>B520*B$19</f>
        <v>16585119.190824004</v>
      </c>
      <c r="C523" s="23">
        <f>B523/E523</f>
        <v>218.411532540186</v>
      </c>
      <c r="D523" s="23">
        <f>C523*1000/(365*$F$29)</f>
        <v>84.4822476894072</v>
      </c>
      <c r="E523" s="23">
        <f>B$6*E520</f>
        <v>75935.18070192779</v>
      </c>
      <c r="F523" s="23">
        <f>B523*H523</f>
        <v>0</v>
      </c>
      <c r="G523" s="23">
        <f>F523/E523</f>
        <v>0</v>
      </c>
      <c r="H523" s="30">
        <f>H$60</f>
        <v>0</v>
      </c>
    </row>
    <row r="524" ht="12.75">
      <c r="B524" s="109" t="s">
        <v>135</v>
      </c>
    </row>
    <row r="525" spans="1:8" ht="12.75">
      <c r="A525" s="7" t="s">
        <v>26</v>
      </c>
      <c r="B525" s="7">
        <f>(F518*E525*$F$26*$E$145)+((1-F518)*B501)</f>
        <v>98151.82594686071</v>
      </c>
      <c r="C525" s="7">
        <f>B525/E525</f>
        <v>0.8062248700000001</v>
      </c>
      <c r="D525" s="31">
        <f>C525*1000/(365*$F$29)</f>
        <v>0.3118502414618061</v>
      </c>
      <c r="E525" s="7">
        <f>D518/$F$29</f>
        <v>121742.49343965376</v>
      </c>
      <c r="F525" s="7">
        <f>H$165*B525</f>
        <v>5184968.357468864</v>
      </c>
      <c r="G525" s="8">
        <f>F525/E525</f>
        <v>42.589634982620005</v>
      </c>
      <c r="H525" s="8">
        <f>$F$27</f>
        <v>52.826</v>
      </c>
    </row>
    <row r="526" spans="1:8" ht="12.75">
      <c r="A526" t="s">
        <v>27</v>
      </c>
      <c r="B526" s="33">
        <f>B525*$F$17</f>
        <v>2449.1496797208183</v>
      </c>
      <c r="C526" s="33"/>
      <c r="D526" s="33"/>
      <c r="E526" s="33"/>
      <c r="F526" s="33"/>
      <c r="G526" s="32"/>
      <c r="H526" s="36"/>
    </row>
    <row r="527" spans="1:8" ht="12.75">
      <c r="A527" t="s">
        <v>28</v>
      </c>
      <c r="B527" s="20">
        <f>B525*$F$18</f>
        <v>19354.50003513788</v>
      </c>
      <c r="C527" s="20"/>
      <c r="D527" s="20"/>
      <c r="E527" s="20"/>
      <c r="F527" s="20"/>
      <c r="G527" s="25"/>
      <c r="H527" s="29"/>
    </row>
    <row r="528" spans="1:8" ht="12.75">
      <c r="A528" t="s">
        <v>29</v>
      </c>
      <c r="B528" s="23">
        <f>B525*$F$19</f>
        <v>76348.17623200202</v>
      </c>
      <c r="C528" s="23"/>
      <c r="D528" s="23"/>
      <c r="E528" s="23"/>
      <c r="F528" s="23"/>
      <c r="G528" s="26"/>
      <c r="H528" s="30"/>
    </row>
    <row r="529" ht="12.75">
      <c r="B529" s="109" t="s">
        <v>30</v>
      </c>
    </row>
    <row r="530" spans="1:8" ht="12.75">
      <c r="A530" s="7" t="s">
        <v>26</v>
      </c>
      <c r="B530" s="7">
        <f>(F518*(IF(E518&gt;=(B520+B525),(E518-(B520+B525)),0)))+(1-F518)*B506</f>
        <v>98868.77292735368</v>
      </c>
      <c r="C530" s="7">
        <f>B530/E530</f>
        <v>0.8121139146567727</v>
      </c>
      <c r="D530" s="7">
        <f>C530*1000/(365*$F$29)</f>
        <v>0.314128141916792</v>
      </c>
      <c r="E530" s="7">
        <f>D518/$F$29</f>
        <v>121742.49343965376</v>
      </c>
      <c r="F530" s="7">
        <f>H$170*B530</f>
        <v>395475.09170941473</v>
      </c>
      <c r="G530" s="8">
        <f>F530/E530</f>
        <v>3.248455658627091</v>
      </c>
      <c r="H530" s="8">
        <f>$F$28</f>
        <v>4</v>
      </c>
    </row>
    <row r="531" spans="1:8" ht="12.75">
      <c r="A531" t="s">
        <v>27</v>
      </c>
      <c r="B531" s="33">
        <f>B530*$D$17</f>
        <v>3654.9586466071896</v>
      </c>
      <c r="C531" s="33"/>
      <c r="D531" s="33"/>
      <c r="E531" s="33"/>
      <c r="F531" s="33"/>
      <c r="G531" s="32"/>
      <c r="H531" s="36"/>
    </row>
    <row r="532" spans="1:8" ht="12.75">
      <c r="A532" t="s">
        <v>28</v>
      </c>
      <c r="B532" s="20">
        <f>B530*$D$18</f>
        <v>19255.634677324713</v>
      </c>
      <c r="C532" s="20"/>
      <c r="D532" s="20"/>
      <c r="E532" s="20"/>
      <c r="F532" s="20"/>
      <c r="G532" s="25"/>
      <c r="H532" s="29"/>
    </row>
    <row r="533" spans="1:8" ht="12.75">
      <c r="A533" t="s">
        <v>29</v>
      </c>
      <c r="B533" s="23">
        <f>B530*$D$19</f>
        <v>75958.17960342178</v>
      </c>
      <c r="C533" s="23"/>
      <c r="D533" s="23"/>
      <c r="E533" s="23"/>
      <c r="F533" s="23"/>
      <c r="G533" s="26"/>
      <c r="H533" s="30"/>
    </row>
    <row r="534" ht="12.75">
      <c r="B534" s="42" t="s">
        <v>143</v>
      </c>
    </row>
    <row r="535" spans="1:7" ht="12.75">
      <c r="A535" s="7" t="s">
        <v>26</v>
      </c>
      <c r="B535" s="7">
        <f>IF(E518&gt;=(B520+B525),E518,(B520+B525+B530))</f>
        <v>26786985.16629253</v>
      </c>
      <c r="C535" s="7">
        <f>B535/E535</f>
        <v>220.02987132484276</v>
      </c>
      <c r="D535" s="7">
        <f>C535*1000/(365*$F$29)</f>
        <v>85.1082260727858</v>
      </c>
      <c r="E535" s="7">
        <f>D518/$F$29</f>
        <v>121742.49343965376</v>
      </c>
      <c r="F535" s="7">
        <f>F520+F525+F530</f>
        <v>11696135.299684491</v>
      </c>
      <c r="G535" s="8">
        <f>F535/E535</f>
        <v>96.07274312548986</v>
      </c>
    </row>
    <row r="536" spans="1:8" ht="12.75">
      <c r="A536" t="s">
        <v>27</v>
      </c>
      <c r="B536" s="33"/>
      <c r="C536" s="33"/>
      <c r="D536" s="33"/>
      <c r="E536" s="33"/>
      <c r="F536" s="33"/>
      <c r="G536" s="32"/>
      <c r="H536" s="36"/>
    </row>
    <row r="537" spans="1:8" ht="12.75">
      <c r="A537" t="s">
        <v>28</v>
      </c>
      <c r="B537" s="20"/>
      <c r="C537" s="20"/>
      <c r="D537" s="20"/>
      <c r="E537" s="20"/>
      <c r="F537" s="20"/>
      <c r="G537" s="25"/>
      <c r="H537" s="29"/>
    </row>
    <row r="538" spans="1:8" ht="12.75">
      <c r="A538" t="s">
        <v>29</v>
      </c>
      <c r="B538" s="23"/>
      <c r="C538" s="23"/>
      <c r="D538" s="23"/>
      <c r="E538" s="23"/>
      <c r="F538" s="23"/>
      <c r="G538" s="26"/>
      <c r="H538" s="30"/>
    </row>
    <row r="540" spans="1:8" ht="12.75">
      <c r="A540" s="41" t="s">
        <v>149</v>
      </c>
      <c r="H540" s="10">
        <v>2018</v>
      </c>
    </row>
    <row r="541" spans="1:8" ht="12.75">
      <c r="A541" s="10" t="s">
        <v>73</v>
      </c>
      <c r="B541" s="9" t="s">
        <v>144</v>
      </c>
      <c r="C541" s="9" t="s">
        <v>58</v>
      </c>
      <c r="D541" s="9" t="s">
        <v>303</v>
      </c>
      <c r="E541" s="9" t="s">
        <v>78</v>
      </c>
      <c r="G541" s="9" t="s">
        <v>72</v>
      </c>
      <c r="H541" s="10">
        <f>H540-2009</f>
        <v>9</v>
      </c>
    </row>
    <row r="542" spans="1:8" ht="12.75">
      <c r="A542" s="9">
        <f>($B$92*(1-($E$129*(1+$E$131)^$F542)-$E$133*(1+$E$135)^($F542)))/((1-$E$129-$E$133))</f>
        <v>13800837.181885911</v>
      </c>
      <c r="B542" s="7">
        <f>E542-(B544+B549+B554)</f>
        <v>4551309.452812612</v>
      </c>
      <c r="C542" s="9">
        <f>$E$122</f>
        <v>700061.4217466069</v>
      </c>
      <c r="D542" s="9">
        <f>(C542*(1+$E$119)^F542)*($E$126*(1+$E$125)^$F542)</f>
        <v>890779.6137206787</v>
      </c>
      <c r="E542" s="9">
        <f>(D542/$F$29)*$G$33</f>
        <v>20245686.645325724</v>
      </c>
      <c r="F542" s="8">
        <f>H541-1</f>
        <v>8</v>
      </c>
      <c r="H542" s="14" t="s">
        <v>49</v>
      </c>
    </row>
    <row r="543" spans="2:8" ht="12.75">
      <c r="B543" s="42" t="s">
        <v>35</v>
      </c>
      <c r="C543" s="7" t="s">
        <v>74</v>
      </c>
      <c r="D543" s="7" t="s">
        <v>43</v>
      </c>
      <c r="E543" s="7" t="s">
        <v>66</v>
      </c>
      <c r="F543" s="7" t="s">
        <v>75</v>
      </c>
      <c r="G543" s="7" t="s">
        <v>76</v>
      </c>
      <c r="H543" s="13" t="s">
        <v>67</v>
      </c>
    </row>
    <row r="544" spans="1:8" ht="12.75">
      <c r="A544" s="7" t="s">
        <v>26</v>
      </c>
      <c r="B544" s="7">
        <f>A542</f>
        <v>13800837.181885911</v>
      </c>
      <c r="C544" s="7">
        <f>B544/E544</f>
        <v>109.73682856414105</v>
      </c>
      <c r="D544" s="31">
        <f>C544*1000/(365*$F$29)</f>
        <v>42.44654036159937</v>
      </c>
      <c r="E544" s="7">
        <f>D542/$F$29</f>
        <v>125763.04019775218</v>
      </c>
      <c r="F544" s="7">
        <f>B544*H544</f>
        <v>3174192.5518337595</v>
      </c>
      <c r="G544" s="7">
        <f>F544/E544</f>
        <v>25.23947056975244</v>
      </c>
      <c r="H544" s="13">
        <f>H$56</f>
        <v>0.23</v>
      </c>
    </row>
    <row r="545" spans="1:8" ht="12.75">
      <c r="A545" t="s">
        <v>27</v>
      </c>
      <c r="B545" s="33">
        <f>B544*B$17</f>
        <v>828407.8122769736</v>
      </c>
      <c r="C545" s="33">
        <f>B545/E545</f>
        <v>109.73682856414105</v>
      </c>
      <c r="D545" s="33">
        <f>C545*1000/(365*$F$29)</f>
        <v>42.44654036159937</v>
      </c>
      <c r="E545" s="33">
        <f>B$4*E544</f>
        <v>7549.040947477083</v>
      </c>
      <c r="F545" s="33">
        <f>B545*H545</f>
        <v>0</v>
      </c>
      <c r="G545" s="33">
        <f>F545/E545</f>
        <v>0</v>
      </c>
      <c r="H545" s="36">
        <f>H$58</f>
        <v>0</v>
      </c>
    </row>
    <row r="546" spans="1:8" ht="12.75">
      <c r="A546" t="s">
        <v>28</v>
      </c>
      <c r="B546" s="20">
        <f>B544*B$18</f>
        <v>4364349.843425618</v>
      </c>
      <c r="C546" s="20">
        <f>B546/E546</f>
        <v>109.73682856414106</v>
      </c>
      <c r="D546" s="20">
        <f>C546*1000/(365*$F$29)</f>
        <v>42.446540361599375</v>
      </c>
      <c r="E546" s="20">
        <f>B$5*E544</f>
        <v>39771.05863666052</v>
      </c>
      <c r="F546" s="20">
        <f>B546*H546</f>
        <v>0</v>
      </c>
      <c r="G546" s="20">
        <f>F546/E546</f>
        <v>0</v>
      </c>
      <c r="H546" s="29">
        <f>H$59</f>
        <v>0</v>
      </c>
    </row>
    <row r="547" spans="1:8" ht="12.75">
      <c r="A547" t="s">
        <v>29</v>
      </c>
      <c r="B547" s="23">
        <f>B544*B$19</f>
        <v>8608079.526183318</v>
      </c>
      <c r="C547" s="23">
        <f>B547/E547</f>
        <v>109.73682856414106</v>
      </c>
      <c r="D547" s="23">
        <f>C547*1000/(365*$F$29)</f>
        <v>42.446540361599375</v>
      </c>
      <c r="E547" s="23">
        <f>B$6*E544</f>
        <v>78442.94061361456</v>
      </c>
      <c r="F547" s="23">
        <f>B547*H547</f>
        <v>0</v>
      </c>
      <c r="G547" s="23">
        <f>F547/E547</f>
        <v>0</v>
      </c>
      <c r="H547" s="30">
        <f>H$60</f>
        <v>0</v>
      </c>
    </row>
    <row r="548" ht="12.75">
      <c r="B548" s="42" t="s">
        <v>135</v>
      </c>
    </row>
    <row r="549" spans="1:8" ht="12.75">
      <c r="A549" s="7" t="s">
        <v>26</v>
      </c>
      <c r="B549" s="7">
        <f>E549*$F$26</f>
        <v>191308.09572497648</v>
      </c>
      <c r="C549" s="7">
        <f>B549/E549</f>
        <v>1.521179</v>
      </c>
      <c r="D549" s="31">
        <f>C549*1000/(365*$F$29)</f>
        <v>0.5883966820034078</v>
      </c>
      <c r="E549" s="7">
        <f>D542/$F$29</f>
        <v>125763.04019775218</v>
      </c>
      <c r="F549" s="7">
        <f>H549*B549</f>
        <v>10106041.464767607</v>
      </c>
      <c r="G549" s="8">
        <f>F549/E549</f>
        <v>80.357801854</v>
      </c>
      <c r="H549" s="8">
        <f>$F$27</f>
        <v>52.826</v>
      </c>
    </row>
    <row r="550" spans="1:8" ht="12.75">
      <c r="A550" t="s">
        <v>27</v>
      </c>
      <c r="B550" s="33">
        <f>B549*$F$17</f>
        <v>4773.646917444959</v>
      </c>
      <c r="C550" s="33"/>
      <c r="D550" s="33"/>
      <c r="E550" s="33"/>
      <c r="F550" s="33"/>
      <c r="G550" s="32"/>
      <c r="H550" s="36"/>
    </row>
    <row r="551" spans="1:8" ht="12.75">
      <c r="A551" t="s">
        <v>28</v>
      </c>
      <c r="B551" s="20">
        <f>B549*$F$18</f>
        <v>37723.92932797644</v>
      </c>
      <c r="C551" s="20"/>
      <c r="D551" s="20"/>
      <c r="E551" s="20"/>
      <c r="F551" s="20"/>
      <c r="G551" s="25"/>
      <c r="H551" s="29"/>
    </row>
    <row r="552" spans="1:8" ht="12.75">
      <c r="A552" t="s">
        <v>29</v>
      </c>
      <c r="B552" s="23">
        <f>B549*$F$19</f>
        <v>148810.51947955508</v>
      </c>
      <c r="C552" s="23"/>
      <c r="D552" s="23"/>
      <c r="E552" s="23"/>
      <c r="F552" s="23"/>
      <c r="G552" s="26"/>
      <c r="H552" s="30"/>
    </row>
    <row r="553" ht="12.75">
      <c r="B553" s="42" t="s">
        <v>30</v>
      </c>
    </row>
    <row r="554" spans="1:8" ht="12.75">
      <c r="A554" s="7" t="s">
        <v>26</v>
      </c>
      <c r="B554" s="7">
        <f>E554*$F$24</f>
        <v>1702231.9149022251</v>
      </c>
      <c r="C554" s="7">
        <f>B554/E554</f>
        <v>13.5352319109462</v>
      </c>
      <c r="D554" s="7">
        <f>C554*1000/(365*$F$29)</f>
        <v>5.235469031946528</v>
      </c>
      <c r="E554" s="7">
        <f>D542/$F$29</f>
        <v>125763.04019775218</v>
      </c>
      <c r="F554" s="7">
        <f>H554*B554</f>
        <v>6808927.659608901</v>
      </c>
      <c r="G554" s="8">
        <f>F554/E554</f>
        <v>54.1409276437848</v>
      </c>
      <c r="H554" s="8">
        <f>$F$28</f>
        <v>4</v>
      </c>
    </row>
    <row r="555" spans="1:8" ht="12.75">
      <c r="A555" t="s">
        <v>27</v>
      </c>
      <c r="B555" s="33">
        <f>B554*$D$17</f>
        <v>62927.72805498526</v>
      </c>
      <c r="C555" s="33"/>
      <c r="D555" s="33"/>
      <c r="E555" s="33"/>
      <c r="F555" s="33"/>
      <c r="G555" s="32"/>
      <c r="H555" s="36"/>
    </row>
    <row r="556" spans="1:8" ht="12.75">
      <c r="A556" t="s">
        <v>28</v>
      </c>
      <c r="B556" s="20">
        <f>B554*$D$18</f>
        <v>331525.86928052874</v>
      </c>
      <c r="C556" s="20"/>
      <c r="D556" s="20"/>
      <c r="E556" s="20"/>
      <c r="F556" s="20"/>
      <c r="G556" s="25"/>
      <c r="H556" s="29"/>
    </row>
    <row r="557" spans="1:8" ht="12.75">
      <c r="A557" t="s">
        <v>29</v>
      </c>
      <c r="B557" s="23">
        <f>B554*$D$19</f>
        <v>1307778.3175667112</v>
      </c>
      <c r="C557" s="23"/>
      <c r="D557" s="23"/>
      <c r="E557" s="23"/>
      <c r="F557" s="23"/>
      <c r="G557" s="26"/>
      <c r="H557" s="30"/>
    </row>
    <row r="558" ht="12.75">
      <c r="B558" s="42" t="s">
        <v>143</v>
      </c>
    </row>
    <row r="559" spans="1:7" ht="12.75">
      <c r="A559" s="7" t="s">
        <v>26</v>
      </c>
      <c r="B559" s="7">
        <f>E542</f>
        <v>20245686.645325724</v>
      </c>
      <c r="C559" s="7">
        <f>B559/E559</f>
        <v>160.9828023677785</v>
      </c>
      <c r="D559" s="7">
        <f>C559*1000/(365*$F$29)</f>
        <v>62.26863950449697</v>
      </c>
      <c r="E559" s="7">
        <f>D542/$F$29</f>
        <v>125763.04019775218</v>
      </c>
      <c r="F559" s="7">
        <f>F544+F549+F554</f>
        <v>20089161.67621027</v>
      </c>
      <c r="G559" s="8">
        <f>F559/E559</f>
        <v>159.73820006753726</v>
      </c>
    </row>
    <row r="560" spans="1:8" ht="12.75">
      <c r="A560" t="s">
        <v>27</v>
      </c>
      <c r="B560" s="33"/>
      <c r="C560" s="33"/>
      <c r="D560" s="33"/>
      <c r="E560" s="33"/>
      <c r="F560" s="33"/>
      <c r="G560" s="32"/>
      <c r="H560" s="36"/>
    </row>
    <row r="561" spans="1:8" ht="12.75">
      <c r="A561" t="s">
        <v>28</v>
      </c>
      <c r="B561" s="20"/>
      <c r="C561" s="20"/>
      <c r="D561" s="20"/>
      <c r="E561" s="20"/>
      <c r="F561" s="20"/>
      <c r="G561" s="25"/>
      <c r="H561" s="29"/>
    </row>
    <row r="562" spans="1:8" ht="12.75">
      <c r="A562" t="s">
        <v>29</v>
      </c>
      <c r="B562" s="23"/>
      <c r="C562" s="23"/>
      <c r="D562" s="23"/>
      <c r="E562" s="23"/>
      <c r="F562" s="23"/>
      <c r="G562" s="26"/>
      <c r="H562" s="30"/>
    </row>
    <row r="564" spans="1:8" ht="12.75">
      <c r="A564" s="41" t="s">
        <v>149</v>
      </c>
      <c r="H564" s="14">
        <v>2018</v>
      </c>
    </row>
    <row r="565" spans="1:8" ht="12.75">
      <c r="A565" s="10" t="s">
        <v>73</v>
      </c>
      <c r="B565" s="9" t="s">
        <v>144</v>
      </c>
      <c r="C565" s="9" t="s">
        <v>58</v>
      </c>
      <c r="D565" s="9" t="s">
        <v>303</v>
      </c>
      <c r="E565" s="9" t="s">
        <v>78</v>
      </c>
      <c r="F565" s="9" t="s">
        <v>486</v>
      </c>
      <c r="G565" s="9" t="s">
        <v>72</v>
      </c>
      <c r="H565" s="10">
        <f>H564-2009</f>
        <v>9</v>
      </c>
    </row>
    <row r="566" spans="1:9" ht="12.75">
      <c r="A566" s="9">
        <f>(A542*(1-F566))+(F566*($B$92*(1-($E$137*(1+$E$139)^$G566)-($E$141*(1+$E$143)^$G566))/((1-($E$129*(1+$E$131)^$G566)-$E$133*(1+$E$135)^$G566))))</f>
        <v>26963072.046688054</v>
      </c>
      <c r="B566" s="7">
        <f>E566-(B568+B573+B578)</f>
        <v>-6884954.887735404</v>
      </c>
      <c r="C566" s="9">
        <f>$E$122</f>
        <v>700061.4217466069</v>
      </c>
      <c r="D566" s="9">
        <f>(C566*(1+$E$119)^G566)*($E$126*(1+$E$125)^$G566)</f>
        <v>890779.6137206787</v>
      </c>
      <c r="E566" s="9">
        <f>(D566/$F$29)*$G$33</f>
        <v>20245686.645325724</v>
      </c>
      <c r="F566" s="16">
        <v>0.96</v>
      </c>
      <c r="G566" s="8">
        <f>H565-1</f>
        <v>8</v>
      </c>
      <c r="H566" s="14" t="s">
        <v>50</v>
      </c>
      <c r="I566" s="93"/>
    </row>
    <row r="567" spans="2:8" ht="12.75">
      <c r="B567" s="109" t="s">
        <v>35</v>
      </c>
      <c r="C567" s="7" t="s">
        <v>74</v>
      </c>
      <c r="D567" s="7" t="s">
        <v>43</v>
      </c>
      <c r="E567" s="7" t="s">
        <v>66</v>
      </c>
      <c r="F567" s="7" t="s">
        <v>75</v>
      </c>
      <c r="G567" s="7" t="s">
        <v>76</v>
      </c>
      <c r="H567" s="13" t="s">
        <v>67</v>
      </c>
    </row>
    <row r="568" spans="1:8" ht="12.75">
      <c r="A568" s="7" t="s">
        <v>26</v>
      </c>
      <c r="B568" s="7">
        <f>A566</f>
        <v>26963072.046688054</v>
      </c>
      <c r="C568" s="7">
        <f>B568/E568</f>
        <v>214.39583524929748</v>
      </c>
      <c r="D568" s="31">
        <f>C568*1000/(365*$F$29)</f>
        <v>82.92896371566783</v>
      </c>
      <c r="E568" s="7">
        <f>D566/$F$29</f>
        <v>125763.04019775218</v>
      </c>
      <c r="F568" s="7">
        <f>B568*H568</f>
        <v>6201506.570738252</v>
      </c>
      <c r="G568" s="7">
        <f>F568/E568</f>
        <v>49.31104210733842</v>
      </c>
      <c r="H568" s="13">
        <f>H$56</f>
        <v>0.23</v>
      </c>
    </row>
    <row r="569" spans="1:8" ht="12.75">
      <c r="A569" t="s">
        <v>27</v>
      </c>
      <c r="B569" s="33">
        <f>B568*B$17</f>
        <v>1618482.9392654973</v>
      </c>
      <c r="C569" s="33">
        <f>B569/E569</f>
        <v>214.39583524929748</v>
      </c>
      <c r="D569" s="33">
        <f>C569*1000/(365*$F$29)</f>
        <v>82.92896371566783</v>
      </c>
      <c r="E569" s="33">
        <f>B$4*E568</f>
        <v>7549.040947477083</v>
      </c>
      <c r="F569" s="33">
        <f>B569*H569</f>
        <v>0</v>
      </c>
      <c r="G569" s="33">
        <f>F569/E569</f>
        <v>0</v>
      </c>
      <c r="H569" s="36">
        <f>H$58</f>
        <v>0</v>
      </c>
    </row>
    <row r="570" spans="1:8" ht="12.75">
      <c r="A570" t="s">
        <v>28</v>
      </c>
      <c r="B570" s="20">
        <f>B568*B$18</f>
        <v>8526749.33515562</v>
      </c>
      <c r="C570" s="20">
        <f>B570/E570</f>
        <v>214.3958352492975</v>
      </c>
      <c r="D570" s="20">
        <f>C570*1000/(365*$F$29)</f>
        <v>82.92896371566783</v>
      </c>
      <c r="E570" s="20">
        <f>B$5*E568</f>
        <v>39771.05863666052</v>
      </c>
      <c r="F570" s="20">
        <f>B570*H570</f>
        <v>0</v>
      </c>
      <c r="G570" s="20">
        <f>F570/E570</f>
        <v>0</v>
      </c>
      <c r="H570" s="29">
        <f>H$59</f>
        <v>0</v>
      </c>
    </row>
    <row r="571" spans="1:8" ht="12.75">
      <c r="A571" t="s">
        <v>29</v>
      </c>
      <c r="B571" s="23">
        <f>B568*B$19</f>
        <v>16817839.772266936</v>
      </c>
      <c r="C571" s="23">
        <f>B571/E571</f>
        <v>214.39583524929753</v>
      </c>
      <c r="D571" s="23">
        <f>C571*1000/(365*$F$29)</f>
        <v>82.92896371566785</v>
      </c>
      <c r="E571" s="23">
        <f>B$6*E568</f>
        <v>78442.94061361456</v>
      </c>
      <c r="F571" s="23">
        <f>B571*H571</f>
        <v>0</v>
      </c>
      <c r="G571" s="23">
        <f>F571/E571</f>
        <v>0</v>
      </c>
      <c r="H571" s="30">
        <f>H$60</f>
        <v>0</v>
      </c>
    </row>
    <row r="572" ht="12.75">
      <c r="B572" s="109" t="s">
        <v>135</v>
      </c>
    </row>
    <row r="573" spans="1:8" ht="12.75">
      <c r="A573" s="7" t="s">
        <v>26</v>
      </c>
      <c r="B573" s="7">
        <f>(F566*E573*$F$26*$E$145)+((1-F566)*B549)</f>
        <v>99480.20977698777</v>
      </c>
      <c r="C573" s="7">
        <f>B573/E573</f>
        <v>0.79101308</v>
      </c>
      <c r="D573" s="31">
        <f>C573*1000/(365*$F$29)</f>
        <v>0.30596627464177206</v>
      </c>
      <c r="E573" s="7">
        <f>D566/$F$29</f>
        <v>125763.04019775218</v>
      </c>
      <c r="F573" s="7">
        <f>H$165*B573</f>
        <v>5255141.5616791565</v>
      </c>
      <c r="G573" s="8">
        <f>F573/E573</f>
        <v>41.786056964080004</v>
      </c>
      <c r="H573" s="8">
        <f>$F$27</f>
        <v>52.826</v>
      </c>
    </row>
    <row r="574" spans="1:8" ht="12.75">
      <c r="A574" t="s">
        <v>27</v>
      </c>
      <c r="B574" s="33">
        <f>B573*$F$17</f>
        <v>2482.296397071379</v>
      </c>
      <c r="C574" s="33"/>
      <c r="D574" s="33"/>
      <c r="E574" s="33"/>
      <c r="F574" s="33"/>
      <c r="G574" s="32"/>
      <c r="H574" s="36"/>
    </row>
    <row r="575" spans="1:8" ht="12.75">
      <c r="A575" t="s">
        <v>28</v>
      </c>
      <c r="B575" s="20">
        <f>B573*$F$18</f>
        <v>19616.44325054775</v>
      </c>
      <c r="C575" s="20"/>
      <c r="D575" s="20"/>
      <c r="E575" s="20"/>
      <c r="F575" s="20"/>
      <c r="G575" s="25"/>
      <c r="H575" s="29"/>
    </row>
    <row r="576" spans="1:8" ht="12.75">
      <c r="A576" t="s">
        <v>29</v>
      </c>
      <c r="B576" s="23">
        <f>B573*$F$19</f>
        <v>77381.47012936864</v>
      </c>
      <c r="C576" s="23"/>
      <c r="D576" s="23"/>
      <c r="E576" s="23"/>
      <c r="F576" s="23"/>
      <c r="G576" s="26"/>
      <c r="H576" s="30"/>
    </row>
    <row r="577" ht="12.75">
      <c r="B577" s="109" t="s">
        <v>30</v>
      </c>
    </row>
    <row r="578" spans="1:8" ht="12.75">
      <c r="A578" s="7" t="s">
        <v>26</v>
      </c>
      <c r="B578" s="7">
        <f>(F566*(IF(E566&gt;=(B568+B573),(E566-(B568+B573)),0)))+(1-F566)*B554</f>
        <v>68089.27659608907</v>
      </c>
      <c r="C578" s="7">
        <f>B578/E578</f>
        <v>0.5414092764378485</v>
      </c>
      <c r="D578" s="7">
        <f>C578*1000/(365*$F$29)</f>
        <v>0.20941876127786135</v>
      </c>
      <c r="E578" s="7">
        <f>D566/$F$29</f>
        <v>125763.04019775218</v>
      </c>
      <c r="F578" s="7">
        <f>H$170*B578</f>
        <v>272357.1063843563</v>
      </c>
      <c r="G578" s="8">
        <f>F578/E578</f>
        <v>2.165637105751394</v>
      </c>
      <c r="H578" s="8">
        <f>$F$28</f>
        <v>4</v>
      </c>
    </row>
    <row r="579" spans="1:8" ht="12.75">
      <c r="A579" t="s">
        <v>27</v>
      </c>
      <c r="B579" s="33">
        <f>B578*$D$17</f>
        <v>2517.109122199413</v>
      </c>
      <c r="C579" s="33"/>
      <c r="D579" s="33"/>
      <c r="E579" s="33"/>
      <c r="F579" s="33"/>
      <c r="G579" s="32"/>
      <c r="H579" s="36"/>
    </row>
    <row r="580" spans="1:8" ht="12.75">
      <c r="A580" t="s">
        <v>28</v>
      </c>
      <c r="B580" s="20">
        <f>B578*$D$18</f>
        <v>13261.034771221162</v>
      </c>
      <c r="C580" s="20"/>
      <c r="D580" s="20"/>
      <c r="E580" s="20"/>
      <c r="F580" s="20"/>
      <c r="G580" s="25"/>
      <c r="H580" s="29"/>
    </row>
    <row r="581" spans="1:8" ht="12.75">
      <c r="A581" t="s">
        <v>29</v>
      </c>
      <c r="B581" s="23">
        <f>B578*$D$19</f>
        <v>52311.132702668496</v>
      </c>
      <c r="C581" s="23"/>
      <c r="D581" s="23"/>
      <c r="E581" s="23"/>
      <c r="F581" s="23"/>
      <c r="G581" s="26"/>
      <c r="H581" s="30"/>
    </row>
    <row r="582" ht="12.75">
      <c r="B582" s="42" t="s">
        <v>143</v>
      </c>
    </row>
    <row r="583" spans="1:7" ht="12.75">
      <c r="A583" s="7" t="s">
        <v>26</v>
      </c>
      <c r="B583" s="7">
        <f>IF(E566&gt;=(B568+B573),E566,(B568+B573+B578))</f>
        <v>27130641.533061128</v>
      </c>
      <c r="C583" s="7">
        <f>B583/E583</f>
        <v>215.7282576057353</v>
      </c>
      <c r="D583" s="7">
        <f>C583*1000/(365*$F$29)</f>
        <v>83.44434875158746</v>
      </c>
      <c r="E583" s="7">
        <f>D566/$F$29</f>
        <v>125763.04019775218</v>
      </c>
      <c r="F583" s="7">
        <f>F568+F573+F578</f>
        <v>11729005.238801764</v>
      </c>
      <c r="G583" s="8">
        <f>F583/E583</f>
        <v>93.26273617716981</v>
      </c>
    </row>
    <row r="584" spans="1:8" ht="12.75">
      <c r="A584" t="s">
        <v>27</v>
      </c>
      <c r="B584" s="33"/>
      <c r="C584" s="33"/>
      <c r="D584" s="33"/>
      <c r="E584" s="33"/>
      <c r="F584" s="33"/>
      <c r="G584" s="32"/>
      <c r="H584" s="36"/>
    </row>
    <row r="585" spans="1:8" ht="12.75">
      <c r="A585" t="s">
        <v>28</v>
      </c>
      <c r="B585" s="20"/>
      <c r="C585" s="20"/>
      <c r="D585" s="20"/>
      <c r="E585" s="20"/>
      <c r="F585" s="20"/>
      <c r="G585" s="25"/>
      <c r="H585" s="29"/>
    </row>
    <row r="586" spans="1:8" ht="12.75">
      <c r="A586" t="s">
        <v>29</v>
      </c>
      <c r="B586" s="23"/>
      <c r="C586" s="23"/>
      <c r="D586" s="23"/>
      <c r="E586" s="23"/>
      <c r="F586" s="23"/>
      <c r="G586" s="26"/>
      <c r="H586" s="30"/>
    </row>
    <row r="588" spans="1:8" ht="12.75">
      <c r="A588" s="41" t="s">
        <v>149</v>
      </c>
      <c r="H588" s="10">
        <v>2019</v>
      </c>
    </row>
    <row r="589" spans="1:8" ht="12.75">
      <c r="A589" s="10" t="s">
        <v>73</v>
      </c>
      <c r="B589" s="9" t="s">
        <v>144</v>
      </c>
      <c r="C589" s="9" t="s">
        <v>58</v>
      </c>
      <c r="D589" s="9" t="s">
        <v>303</v>
      </c>
      <c r="E589" s="9" t="s">
        <v>78</v>
      </c>
      <c r="G589" s="9" t="s">
        <v>72</v>
      </c>
      <c r="H589" s="10">
        <f>H588-2009</f>
        <v>10</v>
      </c>
    </row>
    <row r="590" spans="1:8" ht="12.75">
      <c r="A590" s="9">
        <f>($B$92*(1-($E$129*(1+$E$131)^$F590)-$E$133*(1+$E$135)^($F590)))/((1-$E$129-$E$133))</f>
        <v>13756178.39506944</v>
      </c>
      <c r="B590" s="7">
        <f>E590-(B592+B597+B602)</f>
        <v>5202048.019758258</v>
      </c>
      <c r="C590" s="9">
        <f>$E$122</f>
        <v>700061.4217466069</v>
      </c>
      <c r="D590" s="9">
        <f>(C590*(1+$E$119)^F590)*($E$126*(1+$E$125)^$F590)</f>
        <v>920197.6171386887</v>
      </c>
      <c r="E590" s="9">
        <f>(D590/$F$29)*$G$33</f>
        <v>20914300.59849474</v>
      </c>
      <c r="F590" s="8">
        <f>H589-1</f>
        <v>9</v>
      </c>
      <c r="H590" s="14" t="s">
        <v>49</v>
      </c>
    </row>
    <row r="591" spans="2:8" ht="12.75">
      <c r="B591" s="42" t="s">
        <v>35</v>
      </c>
      <c r="C591" s="7" t="s">
        <v>74</v>
      </c>
      <c r="D591" s="7" t="s">
        <v>43</v>
      </c>
      <c r="E591" s="7" t="s">
        <v>66</v>
      </c>
      <c r="F591" s="7" t="s">
        <v>75</v>
      </c>
      <c r="G591" s="7" t="s">
        <v>76</v>
      </c>
      <c r="H591" s="13" t="s">
        <v>67</v>
      </c>
    </row>
    <row r="592" spans="1:8" ht="12.75">
      <c r="A592" s="7" t="s">
        <v>26</v>
      </c>
      <c r="B592" s="7">
        <f>A590</f>
        <v>13756178.39506944</v>
      </c>
      <c r="C592" s="7">
        <f>B592/E592</f>
        <v>105.88487707156474</v>
      </c>
      <c r="D592" s="31">
        <f>C592*1000/(365*$F$29)</f>
        <v>40.9565937626324</v>
      </c>
      <c r="E592" s="7">
        <f>D590/$F$29</f>
        <v>129916.36554266393</v>
      </c>
      <c r="F592" s="7">
        <f>B592*H592</f>
        <v>3163921.0308659715</v>
      </c>
      <c r="G592" s="7">
        <f>F592/E592</f>
        <v>24.353521726459892</v>
      </c>
      <c r="H592" s="13">
        <f>H$56</f>
        <v>0.23</v>
      </c>
    </row>
    <row r="593" spans="1:8" ht="12.75">
      <c r="A593" t="s">
        <v>27</v>
      </c>
      <c r="B593" s="33">
        <f>B592*B$17</f>
        <v>825727.127953407</v>
      </c>
      <c r="C593" s="33">
        <f>B593/E593</f>
        <v>105.88487707156474</v>
      </c>
      <c r="D593" s="33">
        <f>C593*1000/(365*$F$29)</f>
        <v>40.9565937626324</v>
      </c>
      <c r="E593" s="33">
        <f>B$4*E592</f>
        <v>7798.34808133479</v>
      </c>
      <c r="F593" s="33">
        <f>B593*H593</f>
        <v>0</v>
      </c>
      <c r="G593" s="33">
        <f>F593/E593</f>
        <v>0</v>
      </c>
      <c r="H593" s="36">
        <f>H$58</f>
        <v>0</v>
      </c>
    </row>
    <row r="594" spans="1:8" ht="12.75">
      <c r="A594" t="s">
        <v>28</v>
      </c>
      <c r="B594" s="20">
        <f>B592*B$18</f>
        <v>4350227.0357523365</v>
      </c>
      <c r="C594" s="20">
        <f>B594/E594</f>
        <v>105.88487707156476</v>
      </c>
      <c r="D594" s="20">
        <f>C594*1000/(365*$F$29)</f>
        <v>40.95659376263241</v>
      </c>
      <c r="E594" s="20">
        <f>B$5*E592</f>
        <v>41084.49814615296</v>
      </c>
      <c r="F594" s="20">
        <f>B594*H594</f>
        <v>0</v>
      </c>
      <c r="G594" s="20">
        <f>F594/E594</f>
        <v>0</v>
      </c>
      <c r="H594" s="29">
        <f>H$59</f>
        <v>0</v>
      </c>
    </row>
    <row r="595" spans="1:8" ht="12.75">
      <c r="A595" t="s">
        <v>29</v>
      </c>
      <c r="B595" s="23">
        <f>B592*B$19</f>
        <v>8580224.231363695</v>
      </c>
      <c r="C595" s="23">
        <f>B595/E595</f>
        <v>105.88487707156474</v>
      </c>
      <c r="D595" s="23">
        <f>C595*1000/(365*$F$29)</f>
        <v>40.9565937626324</v>
      </c>
      <c r="E595" s="23">
        <f>B$6*E592</f>
        <v>81033.51931517616</v>
      </c>
      <c r="F595" s="23">
        <f>B595*H595</f>
        <v>0</v>
      </c>
      <c r="G595" s="23">
        <f>F595/E595</f>
        <v>0</v>
      </c>
      <c r="H595" s="30">
        <f>H$60</f>
        <v>0</v>
      </c>
    </row>
    <row r="596" ht="12.75">
      <c r="B596" s="42" t="s">
        <v>135</v>
      </c>
    </row>
    <row r="597" spans="1:8" ht="12.75">
      <c r="A597" s="7" t="s">
        <v>26</v>
      </c>
      <c r="B597" s="7">
        <f>E597*$F$26</f>
        <v>197626.04701982398</v>
      </c>
      <c r="C597" s="7">
        <f>B597/E597</f>
        <v>1.521179</v>
      </c>
      <c r="D597" s="31">
        <f>C597*1000/(365*$F$29)</f>
        <v>0.5883966820034078</v>
      </c>
      <c r="E597" s="7">
        <f>D590/$F$29</f>
        <v>129916.36554266393</v>
      </c>
      <c r="F597" s="7">
        <f>H597*B597</f>
        <v>10439793.559869222</v>
      </c>
      <c r="G597" s="8">
        <f>F597/E597</f>
        <v>80.357801854</v>
      </c>
      <c r="H597" s="8">
        <f>$F$27</f>
        <v>52.826</v>
      </c>
    </row>
    <row r="598" spans="1:8" ht="12.75">
      <c r="A598" t="s">
        <v>27</v>
      </c>
      <c r="B598" s="33">
        <f>B597*$F$17</f>
        <v>4931.296642663978</v>
      </c>
      <c r="C598" s="33"/>
      <c r="D598" s="33"/>
      <c r="E598" s="33"/>
      <c r="F598" s="33"/>
      <c r="G598" s="32"/>
      <c r="H598" s="36"/>
    </row>
    <row r="599" spans="1:8" ht="12.75">
      <c r="A599" t="s">
        <v>28</v>
      </c>
      <c r="B599" s="20">
        <f>B597*$F$18</f>
        <v>38969.76237670982</v>
      </c>
      <c r="C599" s="20"/>
      <c r="D599" s="20"/>
      <c r="E599" s="20"/>
      <c r="F599" s="20"/>
      <c r="G599" s="25"/>
      <c r="H599" s="29"/>
    </row>
    <row r="600" spans="1:8" ht="12.75">
      <c r="A600" t="s">
        <v>29</v>
      </c>
      <c r="B600" s="23">
        <f>B597*$F$19</f>
        <v>153724.9880004502</v>
      </c>
      <c r="C600" s="23"/>
      <c r="D600" s="23"/>
      <c r="E600" s="23"/>
      <c r="F600" s="23"/>
      <c r="G600" s="26"/>
      <c r="H600" s="30"/>
    </row>
    <row r="601" ht="12.75">
      <c r="B601" s="42" t="s">
        <v>30</v>
      </c>
    </row>
    <row r="602" spans="1:8" ht="12.75">
      <c r="A602" s="7" t="s">
        <v>26</v>
      </c>
      <c r="B602" s="7">
        <f>E602*$F$24</f>
        <v>1758448.136647216</v>
      </c>
      <c r="C602" s="7">
        <f>B602/E602</f>
        <v>13.5352319109462</v>
      </c>
      <c r="D602" s="7">
        <f>C602*1000/(365*$F$29)</f>
        <v>5.235469031946528</v>
      </c>
      <c r="E602" s="7">
        <f>D590/$F$29</f>
        <v>129916.36554266393</v>
      </c>
      <c r="F602" s="7">
        <f>H602*B602</f>
        <v>7033792.546588864</v>
      </c>
      <c r="G602" s="8">
        <f>F602/E602</f>
        <v>54.1409276437848</v>
      </c>
      <c r="H602" s="8">
        <f>$F$28</f>
        <v>4</v>
      </c>
    </row>
    <row r="603" spans="1:8" ht="12.75">
      <c r="A603" t="s">
        <v>27</v>
      </c>
      <c r="B603" s="33">
        <f>B602*$D$17</f>
        <v>65005.916745537885</v>
      </c>
      <c r="C603" s="33"/>
      <c r="D603" s="33"/>
      <c r="E603" s="33"/>
      <c r="F603" s="33"/>
      <c r="G603" s="32"/>
      <c r="H603" s="36"/>
    </row>
    <row r="604" spans="1:8" ht="12.75">
      <c r="A604" t="s">
        <v>28</v>
      </c>
      <c r="B604" s="20">
        <f>B602*$D$18</f>
        <v>342474.51359774306</v>
      </c>
      <c r="C604" s="20"/>
      <c r="D604" s="20"/>
      <c r="E604" s="20"/>
      <c r="F604" s="20"/>
      <c r="G604" s="25"/>
      <c r="H604" s="29"/>
    </row>
    <row r="605" spans="1:8" ht="12.75">
      <c r="A605" t="s">
        <v>29</v>
      </c>
      <c r="B605" s="23">
        <f>B602*$D$19</f>
        <v>1350967.7063039353</v>
      </c>
      <c r="C605" s="23"/>
      <c r="D605" s="23"/>
      <c r="E605" s="23"/>
      <c r="F605" s="23"/>
      <c r="G605" s="26"/>
      <c r="H605" s="30"/>
    </row>
    <row r="606" ht="12.75">
      <c r="B606" s="42" t="s">
        <v>143</v>
      </c>
    </row>
    <row r="607" spans="1:7" ht="12.75">
      <c r="A607" s="7" t="s">
        <v>26</v>
      </c>
      <c r="B607" s="7">
        <f>E590</f>
        <v>20914300.59849474</v>
      </c>
      <c r="C607" s="7">
        <f>B607/E607</f>
        <v>160.9828023677785</v>
      </c>
      <c r="D607" s="7">
        <f>C607*1000/(365*$F$29)</f>
        <v>62.26863950449697</v>
      </c>
      <c r="E607" s="7">
        <f>D590/$F$29</f>
        <v>129916.36554266393</v>
      </c>
      <c r="F607" s="7">
        <f>F592+F597+F602</f>
        <v>20637507.137324058</v>
      </c>
      <c r="G607" s="8">
        <f>F607/E607</f>
        <v>158.8522512242447</v>
      </c>
    </row>
    <row r="608" spans="1:8" ht="12.75">
      <c r="A608" t="s">
        <v>27</v>
      </c>
      <c r="B608" s="33"/>
      <c r="C608" s="33"/>
      <c r="D608" s="33"/>
      <c r="E608" s="33"/>
      <c r="F608" s="33"/>
      <c r="G608" s="32"/>
      <c r="H608" s="36"/>
    </row>
    <row r="609" spans="1:8" ht="12.75">
      <c r="A609" t="s">
        <v>28</v>
      </c>
      <c r="B609" s="20"/>
      <c r="C609" s="20"/>
      <c r="D609" s="20"/>
      <c r="E609" s="20"/>
      <c r="F609" s="20"/>
      <c r="G609" s="25"/>
      <c r="H609" s="29"/>
    </row>
    <row r="610" spans="1:8" ht="12.75">
      <c r="A610" t="s">
        <v>29</v>
      </c>
      <c r="B610" s="23"/>
      <c r="C610" s="23"/>
      <c r="D610" s="23"/>
      <c r="E610" s="23"/>
      <c r="F610" s="23"/>
      <c r="G610" s="26"/>
      <c r="H610" s="30"/>
    </row>
    <row r="612" spans="1:8" ht="12.75">
      <c r="A612" s="41" t="s">
        <v>149</v>
      </c>
      <c r="H612" s="14">
        <v>2019</v>
      </c>
    </row>
    <row r="613" spans="1:8" ht="12.75">
      <c r="A613" s="10" t="s">
        <v>73</v>
      </c>
      <c r="B613" s="9" t="s">
        <v>144</v>
      </c>
      <c r="C613" s="9" t="s">
        <v>58</v>
      </c>
      <c r="D613" s="9" t="s">
        <v>303</v>
      </c>
      <c r="E613" s="9" t="s">
        <v>78</v>
      </c>
      <c r="F613" s="9" t="s">
        <v>486</v>
      </c>
      <c r="G613" s="9" t="s">
        <v>72</v>
      </c>
      <c r="H613" s="10">
        <f>H612-2009</f>
        <v>10</v>
      </c>
    </row>
    <row r="614" spans="1:8" ht="12.75">
      <c r="A614" s="9">
        <f>(A590*(1-F614))+(F614*($B$92*(1-($E$137*(1+$E$139)^$G614)-($E$141*(1+$E$143)^$G614))/((1-($E$129*(1+$E$131)^$G614)-$E$133*(1+$E$135)^$G614))))</f>
        <v>27343208.650334667</v>
      </c>
      <c r="B614" s="7">
        <f>E614-(B616+B621+B626)</f>
        <v>-6564866.2985529825</v>
      </c>
      <c r="C614" s="9">
        <f>$E$122</f>
        <v>700061.4217466069</v>
      </c>
      <c r="D614" s="9">
        <f>(C614*(1+$E$119)^G614)*($E$126*(1+$E$125)^$G614)</f>
        <v>920197.6171386887</v>
      </c>
      <c r="E614" s="9">
        <f>(D614/$F$29)*$G$33</f>
        <v>20914300.59849474</v>
      </c>
      <c r="F614" s="16">
        <v>0.98</v>
      </c>
      <c r="G614" s="8">
        <f>H613-1</f>
        <v>9</v>
      </c>
      <c r="H614" s="14" t="s">
        <v>50</v>
      </c>
    </row>
    <row r="615" spans="2:8" ht="12.75">
      <c r="B615" s="109" t="s">
        <v>35</v>
      </c>
      <c r="C615" s="7" t="s">
        <v>74</v>
      </c>
      <c r="D615" s="7" t="s">
        <v>43</v>
      </c>
      <c r="E615" s="7" t="s">
        <v>66</v>
      </c>
      <c r="F615" s="7" t="s">
        <v>75</v>
      </c>
      <c r="G615" s="7" t="s">
        <v>76</v>
      </c>
      <c r="H615" s="13" t="s">
        <v>67</v>
      </c>
    </row>
    <row r="616" spans="1:8" ht="12.75">
      <c r="A616" s="7" t="s">
        <v>26</v>
      </c>
      <c r="B616" s="7">
        <f>A614</f>
        <v>27343208.650334667</v>
      </c>
      <c r="C616" s="7">
        <f>B616/E616</f>
        <v>210.46777698961478</v>
      </c>
      <c r="D616" s="31">
        <f>C616*1000/(365*$F$29)</f>
        <v>81.40957878679794</v>
      </c>
      <c r="E616" s="7">
        <f>D614/$F$29</f>
        <v>129916.36554266393</v>
      </c>
      <c r="F616" s="7">
        <f>B616*H616</f>
        <v>6288937.989576974</v>
      </c>
      <c r="G616" s="7">
        <f>F616/E616</f>
        <v>48.4075887076114</v>
      </c>
      <c r="H616" s="13">
        <f>H$56</f>
        <v>0.23</v>
      </c>
    </row>
    <row r="617" spans="1:8" ht="12.75">
      <c r="A617" t="s">
        <v>27</v>
      </c>
      <c r="B617" s="33">
        <f>B616*B$17</f>
        <v>1641300.984869761</v>
      </c>
      <c r="C617" s="33">
        <f>B617/E617</f>
        <v>210.4677769896148</v>
      </c>
      <c r="D617" s="33">
        <f>C617*1000/(365*$F$29)</f>
        <v>81.40957878679794</v>
      </c>
      <c r="E617" s="33">
        <f>B$4*E616</f>
        <v>7798.34808133479</v>
      </c>
      <c r="F617" s="33">
        <f>B617*H617</f>
        <v>0</v>
      </c>
      <c r="G617" s="33">
        <f>F617/E617</f>
        <v>0</v>
      </c>
      <c r="H617" s="36">
        <f>H$58</f>
        <v>0</v>
      </c>
    </row>
    <row r="618" spans="1:8" ht="12.75">
      <c r="A618" t="s">
        <v>28</v>
      </c>
      <c r="B618" s="20">
        <f>B616*B$18</f>
        <v>8646962.993554763</v>
      </c>
      <c r="C618" s="20">
        <f>B618/E618</f>
        <v>210.46777698961478</v>
      </c>
      <c r="D618" s="20">
        <f>C618*1000/(365*$F$29)</f>
        <v>81.40957878679794</v>
      </c>
      <c r="E618" s="20">
        <f>B$5*E616</f>
        <v>41084.49814615296</v>
      </c>
      <c r="F618" s="20">
        <f>B618*H618</f>
        <v>0</v>
      </c>
      <c r="G618" s="20">
        <f>F618/E618</f>
        <v>0</v>
      </c>
      <c r="H618" s="29">
        <f>H$59</f>
        <v>0</v>
      </c>
    </row>
    <row r="619" spans="1:8" ht="12.75">
      <c r="A619" t="s">
        <v>29</v>
      </c>
      <c r="B619" s="23">
        <f>B616*B$19</f>
        <v>17054944.67191014</v>
      </c>
      <c r="C619" s="23">
        <f>B619/E619</f>
        <v>210.4677769896148</v>
      </c>
      <c r="D619" s="23">
        <f>C619*1000/(365*$F$29)</f>
        <v>81.40957878679794</v>
      </c>
      <c r="E619" s="23">
        <f>B$6*E616</f>
        <v>81033.51931517616</v>
      </c>
      <c r="F619" s="23">
        <f>B619*H619</f>
        <v>0</v>
      </c>
      <c r="G619" s="23">
        <f>F619/E619</f>
        <v>0</v>
      </c>
      <c r="H619" s="30">
        <f>H$60</f>
        <v>0</v>
      </c>
    </row>
    <row r="620" ht="12.75">
      <c r="B620" s="109" t="s">
        <v>135</v>
      </c>
    </row>
    <row r="621" spans="1:8" ht="12.75">
      <c r="A621" s="7" t="s">
        <v>26</v>
      </c>
      <c r="B621" s="7">
        <f>(F614*E621*$F$26*$E$145)+((1-F614)*B597)</f>
        <v>100789.28398011024</v>
      </c>
      <c r="C621" s="7">
        <f>B621/E621</f>
        <v>0.7758012900000001</v>
      </c>
      <c r="D621" s="31">
        <f>C621*1000/(365*$F$29)</f>
        <v>0.300082307821738</v>
      </c>
      <c r="E621" s="7">
        <f>D614/$F$29</f>
        <v>129916.36554266393</v>
      </c>
      <c r="F621" s="7">
        <f>H$165*B621</f>
        <v>5324294.715533303</v>
      </c>
      <c r="G621" s="8">
        <f>F621/E621</f>
        <v>40.98247894554</v>
      </c>
      <c r="H621" s="8">
        <f>$F$27</f>
        <v>52.826</v>
      </c>
    </row>
    <row r="622" spans="1:8" ht="12.75">
      <c r="A622" t="s">
        <v>27</v>
      </c>
      <c r="B622" s="33">
        <f>B621*$F$17</f>
        <v>2514.9612877586287</v>
      </c>
      <c r="C622" s="33"/>
      <c r="D622" s="33"/>
      <c r="E622" s="33"/>
      <c r="F622" s="33"/>
      <c r="G622" s="32"/>
      <c r="H622" s="36"/>
    </row>
    <row r="623" spans="1:8" ht="12.75">
      <c r="A623" t="s">
        <v>28</v>
      </c>
      <c r="B623" s="20">
        <f>B621*$F$18</f>
        <v>19874.57881212201</v>
      </c>
      <c r="C623" s="20"/>
      <c r="D623" s="20"/>
      <c r="E623" s="20"/>
      <c r="F623" s="20"/>
      <c r="G623" s="25"/>
      <c r="H623" s="29"/>
    </row>
    <row r="624" spans="1:8" ht="12.75">
      <c r="A624" t="s">
        <v>29</v>
      </c>
      <c r="B624" s="23">
        <f>B621*$F$19</f>
        <v>78399.7438802296</v>
      </c>
      <c r="C624" s="23"/>
      <c r="D624" s="23"/>
      <c r="E624" s="23"/>
      <c r="F624" s="23"/>
      <c r="G624" s="26"/>
      <c r="H624" s="30"/>
    </row>
    <row r="625" ht="12.75">
      <c r="B625" s="109" t="s">
        <v>30</v>
      </c>
    </row>
    <row r="626" spans="1:8" ht="12.75">
      <c r="A626" s="7" t="s">
        <v>26</v>
      </c>
      <c r="B626" s="7">
        <f>(F614*(IF(E614&gt;=(B616+B621),(E614-(B616+B621)),0)))+(1-F614)*B602</f>
        <v>35168.962732944354</v>
      </c>
      <c r="C626" s="7">
        <f>B626/E626</f>
        <v>0.2707046382189242</v>
      </c>
      <c r="D626" s="7">
        <f>C626*1000/(365*$F$29)</f>
        <v>0.10470938063893065</v>
      </c>
      <c r="E626" s="7">
        <f>D614/$F$29</f>
        <v>129916.36554266393</v>
      </c>
      <c r="F626" s="7">
        <f>H$170*B626</f>
        <v>140675.85093177742</v>
      </c>
      <c r="G626" s="8">
        <f>F626/E626</f>
        <v>1.0828185528756968</v>
      </c>
      <c r="H626" s="8">
        <f>$F$28</f>
        <v>4</v>
      </c>
    </row>
    <row r="627" spans="1:8" ht="12.75">
      <c r="A627" t="s">
        <v>27</v>
      </c>
      <c r="B627" s="33">
        <f>B626*$D$17</f>
        <v>1300.118334910759</v>
      </c>
      <c r="C627" s="33"/>
      <c r="D627" s="33"/>
      <c r="E627" s="33"/>
      <c r="F627" s="33"/>
      <c r="G627" s="32"/>
      <c r="H627" s="36"/>
    </row>
    <row r="628" spans="1:8" ht="12.75">
      <c r="A628" t="s">
        <v>28</v>
      </c>
      <c r="B628" s="20">
        <f>B626*$D$18</f>
        <v>6849.490271954867</v>
      </c>
      <c r="C628" s="20"/>
      <c r="D628" s="20"/>
      <c r="E628" s="20"/>
      <c r="F628" s="20"/>
      <c r="G628" s="25"/>
      <c r="H628" s="29"/>
    </row>
    <row r="629" spans="1:8" ht="12.75">
      <c r="A629" t="s">
        <v>29</v>
      </c>
      <c r="B629" s="23">
        <f>B626*$D$19</f>
        <v>27019.35412607873</v>
      </c>
      <c r="C629" s="23"/>
      <c r="D629" s="23"/>
      <c r="E629" s="23"/>
      <c r="F629" s="23"/>
      <c r="G629" s="26"/>
      <c r="H629" s="30"/>
    </row>
    <row r="630" ht="12.75">
      <c r="B630" s="42" t="s">
        <v>143</v>
      </c>
    </row>
    <row r="631" spans="1:7" ht="12.75">
      <c r="A631" s="7" t="s">
        <v>26</v>
      </c>
      <c r="B631" s="7">
        <f>IF(E614&gt;=(B616+B621),E614,(B616+B621+B626))</f>
        <v>27479166.89704772</v>
      </c>
      <c r="C631" s="7">
        <f>B631/E631</f>
        <v>211.5142829178337</v>
      </c>
      <c r="D631" s="7">
        <f>C631*1000/(365*$F$29)</f>
        <v>81.8143704752586</v>
      </c>
      <c r="E631" s="7">
        <f>D614/$F$29</f>
        <v>129916.36554266393</v>
      </c>
      <c r="F631" s="7">
        <f>F616+F621+F626</f>
        <v>11753908.556042055</v>
      </c>
      <c r="G631" s="8">
        <f>F631/E631</f>
        <v>90.4728862060271</v>
      </c>
    </row>
    <row r="632" spans="1:8" ht="12.75">
      <c r="A632" t="s">
        <v>27</v>
      </c>
      <c r="B632" s="33"/>
      <c r="C632" s="33"/>
      <c r="D632" s="33"/>
      <c r="E632" s="33"/>
      <c r="F632" s="33"/>
      <c r="G632" s="32"/>
      <c r="H632" s="36"/>
    </row>
    <row r="633" spans="1:8" ht="12.75">
      <c r="A633" t="s">
        <v>28</v>
      </c>
      <c r="B633" s="20"/>
      <c r="C633" s="20"/>
      <c r="D633" s="20"/>
      <c r="E633" s="20"/>
      <c r="F633" s="20"/>
      <c r="G633" s="25"/>
      <c r="H633" s="29"/>
    </row>
    <row r="634" spans="1:8" ht="12.75">
      <c r="A634" t="s">
        <v>29</v>
      </c>
      <c r="B634" s="23"/>
      <c r="C634" s="23"/>
      <c r="D634" s="23"/>
      <c r="E634" s="23"/>
      <c r="F634" s="23"/>
      <c r="G634" s="26"/>
      <c r="H634" s="30"/>
    </row>
    <row r="636" spans="1:8" ht="12.75">
      <c r="A636" s="41" t="s">
        <v>149</v>
      </c>
      <c r="H636" s="10">
        <v>2020</v>
      </c>
    </row>
    <row r="637" spans="1:8" ht="12.75">
      <c r="A637" s="10" t="s">
        <v>73</v>
      </c>
      <c r="B637" s="9" t="s">
        <v>144</v>
      </c>
      <c r="C637" s="9" t="s">
        <v>58</v>
      </c>
      <c r="D637" s="9" t="s">
        <v>303</v>
      </c>
      <c r="E637" s="9" t="s">
        <v>78</v>
      </c>
      <c r="G637" s="9" t="s">
        <v>72</v>
      </c>
      <c r="H637" s="10">
        <f>H636-2009</f>
        <v>11</v>
      </c>
    </row>
    <row r="638" spans="1:8" ht="12.75">
      <c r="A638" s="9">
        <f>($B$92*(1-($E$129*(1+$E$131)^$F638)-$E$133*(1+$E$135)^($F638)))/((1-$E$129-$E$133))</f>
        <v>13711332.73009314</v>
      </c>
      <c r="B638" s="7">
        <f>E638-(B640+B645+B650)</f>
        <v>5872989.254144045</v>
      </c>
      <c r="C638" s="9">
        <f>$E$122</f>
        <v>700061.4217466069</v>
      </c>
      <c r="D638" s="9">
        <f>(C638*(1+$E$119)^F638)*($E$126*(1+$E$125)^$F638)</f>
        <v>950587.1503400168</v>
      </c>
      <c r="E638" s="9">
        <f>(D638/$F$29)*$G$33</f>
        <v>21604995.532477293</v>
      </c>
      <c r="F638" s="8">
        <f>H637-1</f>
        <v>10</v>
      </c>
      <c r="H638" s="14" t="s">
        <v>49</v>
      </c>
    </row>
    <row r="639" spans="2:8" ht="12.75">
      <c r="B639" s="42" t="s">
        <v>35</v>
      </c>
      <c r="C639" s="7" t="s">
        <v>74</v>
      </c>
      <c r="D639" s="7" t="s">
        <v>43</v>
      </c>
      <c r="E639" s="7" t="s">
        <v>66</v>
      </c>
      <c r="F639" s="7" t="s">
        <v>75</v>
      </c>
      <c r="G639" s="7" t="s">
        <v>76</v>
      </c>
      <c r="H639" s="13" t="s">
        <v>67</v>
      </c>
    </row>
    <row r="640" spans="1:8" ht="12.75">
      <c r="A640" s="7" t="s">
        <v>26</v>
      </c>
      <c r="B640" s="7">
        <f>A638</f>
        <v>13711332.73009314</v>
      </c>
      <c r="C640" s="7">
        <f>B640/E640</f>
        <v>102.16566644364136</v>
      </c>
      <c r="D640" s="31">
        <f>C640*1000/(365*$F$29)</f>
        <v>39.51799173542724</v>
      </c>
      <c r="E640" s="7">
        <f>D638/$F$29</f>
        <v>134206.85448821358</v>
      </c>
      <c r="F640" s="7">
        <f>B640*H640</f>
        <v>3153606.5279214224</v>
      </c>
      <c r="G640" s="7">
        <f>F640/E640</f>
        <v>23.498103282037512</v>
      </c>
      <c r="H640" s="13">
        <f>H$56</f>
        <v>0.23</v>
      </c>
    </row>
    <row r="641" spans="1:8" ht="12.75">
      <c r="A641" t="s">
        <v>27</v>
      </c>
      <c r="B641" s="33">
        <f>B640*B$17</f>
        <v>823035.226098215</v>
      </c>
      <c r="C641" s="33">
        <f>B641/E641</f>
        <v>102.16566644364136</v>
      </c>
      <c r="D641" s="33">
        <f>C641*1000/(365*$F$29)</f>
        <v>39.51799173542724</v>
      </c>
      <c r="E641" s="33">
        <f>B$4*E640</f>
        <v>8055.888585156285</v>
      </c>
      <c r="F641" s="33">
        <f>B641*H641</f>
        <v>0</v>
      </c>
      <c r="G641" s="33">
        <f>F641/E641</f>
        <v>0</v>
      </c>
      <c r="H641" s="36">
        <f>H$58</f>
        <v>0</v>
      </c>
    </row>
    <row r="642" spans="1:8" ht="12.75">
      <c r="A642" t="s">
        <v>28</v>
      </c>
      <c r="B642" s="20">
        <f>B640*B$18</f>
        <v>4336045.13009414</v>
      </c>
      <c r="C642" s="20">
        <f>B642/E642</f>
        <v>102.16566644364137</v>
      </c>
      <c r="D642" s="20">
        <f>C642*1000/(365*$F$29)</f>
        <v>39.51799173542724</v>
      </c>
      <c r="E642" s="20">
        <f>B$5*E640</f>
        <v>42441.314005288405</v>
      </c>
      <c r="F642" s="20">
        <f>B642*H642</f>
        <v>0</v>
      </c>
      <c r="G642" s="20">
        <f>F642/E642</f>
        <v>0</v>
      </c>
      <c r="H642" s="29">
        <f>H$59</f>
        <v>0</v>
      </c>
    </row>
    <row r="643" spans="1:8" ht="12.75">
      <c r="A643" t="s">
        <v>29</v>
      </c>
      <c r="B643" s="23">
        <f>B640*B$19</f>
        <v>8552252.373900784</v>
      </c>
      <c r="C643" s="23">
        <f>B643/E643</f>
        <v>102.16566644364136</v>
      </c>
      <c r="D643" s="23">
        <f>C643*1000/(365*$F$29)</f>
        <v>39.51799173542724</v>
      </c>
      <c r="E643" s="23">
        <f>B$6*E640</f>
        <v>83709.65189776887</v>
      </c>
      <c r="F643" s="23">
        <f>B643*H643</f>
        <v>0</v>
      </c>
      <c r="G643" s="23">
        <f>F643/E643</f>
        <v>0</v>
      </c>
      <c r="H643" s="30">
        <f>H$60</f>
        <v>0</v>
      </c>
    </row>
    <row r="644" ht="12.75">
      <c r="B644" s="42" t="s">
        <v>135</v>
      </c>
    </row>
    <row r="645" spans="1:8" ht="12.75">
      <c r="A645" s="7" t="s">
        <v>26</v>
      </c>
      <c r="B645" s="7">
        <f>E645*$F$26</f>
        <v>204152.64870352624</v>
      </c>
      <c r="C645" s="7">
        <f>B645/E645</f>
        <v>1.521179</v>
      </c>
      <c r="D645" s="31">
        <f>C645*1000/(365*$F$29)</f>
        <v>0.5883966820034078</v>
      </c>
      <c r="E645" s="7">
        <f>D638/$F$29</f>
        <v>134206.85448821358</v>
      </c>
      <c r="F645" s="7">
        <f>H645*B645</f>
        <v>10784567.820412477</v>
      </c>
      <c r="G645" s="8">
        <f>F645/E645</f>
        <v>80.357801854</v>
      </c>
      <c r="H645" s="8">
        <f>$F$27</f>
        <v>52.826</v>
      </c>
    </row>
    <row r="646" spans="1:8" ht="12.75">
      <c r="A646" t="s">
        <v>27</v>
      </c>
      <c r="B646" s="33">
        <f>B645*$F$17</f>
        <v>5094.152751239673</v>
      </c>
      <c r="C646" s="33"/>
      <c r="D646" s="33"/>
      <c r="E646" s="33"/>
      <c r="F646" s="33"/>
      <c r="G646" s="32"/>
      <c r="H646" s="36"/>
    </row>
    <row r="647" spans="1:8" ht="12.75">
      <c r="A647" t="s">
        <v>28</v>
      </c>
      <c r="B647" s="20">
        <f>B645*$F$18</f>
        <v>40256.739071213044</v>
      </c>
      <c r="C647" s="20"/>
      <c r="D647" s="20"/>
      <c r="E647" s="20"/>
      <c r="F647" s="20"/>
      <c r="G647" s="25"/>
      <c r="H647" s="29"/>
    </row>
    <row r="648" spans="1:8" ht="12.75">
      <c r="A648" t="s">
        <v>29</v>
      </c>
      <c r="B648" s="23">
        <f>B645*$F$19</f>
        <v>158801.75688107352</v>
      </c>
      <c r="C648" s="23"/>
      <c r="D648" s="23"/>
      <c r="E648" s="23"/>
      <c r="F648" s="23"/>
      <c r="G648" s="26"/>
      <c r="H648" s="30"/>
    </row>
    <row r="649" ht="12.75">
      <c r="B649" s="42" t="s">
        <v>30</v>
      </c>
    </row>
    <row r="650" spans="1:8" ht="12.75">
      <c r="A650" s="7" t="s">
        <v>26</v>
      </c>
      <c r="B650" s="7">
        <f>E650*$F$24</f>
        <v>1816520.8995365817</v>
      </c>
      <c r="C650" s="7">
        <f>B650/E650</f>
        <v>13.5352319109462</v>
      </c>
      <c r="D650" s="7">
        <f>C650*1000/(365*$F$29)</f>
        <v>5.235469031946528</v>
      </c>
      <c r="E650" s="7">
        <f>D638/$F$29</f>
        <v>134206.85448821358</v>
      </c>
      <c r="F650" s="7">
        <f>H650*B650</f>
        <v>7266083.598146327</v>
      </c>
      <c r="G650" s="8">
        <f>F650/E650</f>
        <v>54.1409276437848</v>
      </c>
      <c r="H650" s="8">
        <f>$F$28</f>
        <v>4</v>
      </c>
    </row>
    <row r="651" spans="1:8" ht="12.75">
      <c r="A651" t="s">
        <v>27</v>
      </c>
      <c r="B651" s="33">
        <f>B650*$D$17</f>
        <v>67152.73763316855</v>
      </c>
      <c r="C651" s="33"/>
      <c r="D651" s="33"/>
      <c r="E651" s="33"/>
      <c r="F651" s="33"/>
      <c r="G651" s="32"/>
      <c r="H651" s="36"/>
    </row>
    <row r="652" spans="1:8" ht="12.75">
      <c r="A652" t="s">
        <v>28</v>
      </c>
      <c r="B652" s="20">
        <f>B650*$D$18</f>
        <v>353784.7369755751</v>
      </c>
      <c r="C652" s="20"/>
      <c r="D652" s="20"/>
      <c r="E652" s="20"/>
      <c r="F652" s="20"/>
      <c r="G652" s="25"/>
      <c r="H652" s="29"/>
    </row>
    <row r="653" spans="1:8" ht="12.75">
      <c r="A653" t="s">
        <v>29</v>
      </c>
      <c r="B653" s="23">
        <f>B650*$D$19</f>
        <v>1395583.4249278381</v>
      </c>
      <c r="C653" s="23"/>
      <c r="D653" s="23"/>
      <c r="E653" s="23"/>
      <c r="F653" s="23"/>
      <c r="G653" s="26"/>
      <c r="H653" s="30"/>
    </row>
    <row r="654" ht="12.75">
      <c r="B654" s="42" t="s">
        <v>143</v>
      </c>
    </row>
    <row r="655" spans="1:7" ht="12.75">
      <c r="A655" s="7" t="s">
        <v>26</v>
      </c>
      <c r="B655" s="7">
        <f>E638</f>
        <v>21604995.532477293</v>
      </c>
      <c r="C655" s="7">
        <f>B655/E655</f>
        <v>160.9828023677785</v>
      </c>
      <c r="D655" s="7">
        <f>C655*1000/(365*$F$29)</f>
        <v>62.26863950449697</v>
      </c>
      <c r="E655" s="7">
        <f>D638/$F$29</f>
        <v>134206.85448821358</v>
      </c>
      <c r="F655" s="7">
        <f>F640+F645+F650</f>
        <v>21204257.946480226</v>
      </c>
      <c r="G655" s="8">
        <f>F655/E655</f>
        <v>157.9968327798223</v>
      </c>
    </row>
    <row r="656" spans="1:8" ht="12.75">
      <c r="A656" t="s">
        <v>27</v>
      </c>
      <c r="B656" s="33"/>
      <c r="C656" s="33"/>
      <c r="D656" s="33"/>
      <c r="E656" s="33"/>
      <c r="F656" s="33"/>
      <c r="G656" s="32"/>
      <c r="H656" s="36"/>
    </row>
    <row r="657" spans="1:8" ht="12.75">
      <c r="A657" t="s">
        <v>28</v>
      </c>
      <c r="B657" s="20"/>
      <c r="C657" s="20"/>
      <c r="D657" s="20"/>
      <c r="E657" s="20"/>
      <c r="F657" s="20"/>
      <c r="G657" s="25"/>
      <c r="H657" s="29"/>
    </row>
    <row r="658" spans="1:8" ht="12.75">
      <c r="A658" t="s">
        <v>29</v>
      </c>
      <c r="B658" s="23"/>
      <c r="C658" s="23"/>
      <c r="D658" s="23"/>
      <c r="E658" s="23"/>
      <c r="F658" s="23"/>
      <c r="G658" s="26"/>
      <c r="H658" s="30"/>
    </row>
    <row r="660" spans="1:8" ht="12.75">
      <c r="A660" s="41" t="s">
        <v>149</v>
      </c>
      <c r="H660" s="14">
        <v>2020</v>
      </c>
    </row>
    <row r="661" spans="1:8" ht="12.75">
      <c r="A661" s="10" t="s">
        <v>73</v>
      </c>
      <c r="B661" s="9" t="s">
        <v>144</v>
      </c>
      <c r="C661" s="9" t="s">
        <v>58</v>
      </c>
      <c r="D661" s="9" t="s">
        <v>303</v>
      </c>
      <c r="E661" s="9" t="s">
        <v>78</v>
      </c>
      <c r="F661" s="9" t="s">
        <v>486</v>
      </c>
      <c r="G661" s="9" t="s">
        <v>72</v>
      </c>
      <c r="H661" s="10">
        <f>H660-2009</f>
        <v>11</v>
      </c>
    </row>
    <row r="662" spans="1:8" ht="12.75">
      <c r="A662" s="9">
        <f>(A638*(1-F662))+(F662*($B$92*(1-($E$137*(1+$E$139)^$G662)-($E$141*(1+$E$143)^$G662))/((1-($E$129*(1+$E$131)^$G662)-$E$133*(1+$E$135)^$G662))))</f>
        <v>27730457.747347962</v>
      </c>
      <c r="B662" s="7">
        <f>E662-(B664+B669+B674)</f>
        <v>-6227538.53922243</v>
      </c>
      <c r="C662" s="9">
        <f>$E$122</f>
        <v>700061.4217466069</v>
      </c>
      <c r="D662" s="9">
        <f>(C662*(1+$E$119)^G662)*($E$126*(1+$E$125)^$G662)</f>
        <v>950587.1503400168</v>
      </c>
      <c r="E662" s="9">
        <f>(D662/$F$29)*$G$33</f>
        <v>21604995.532477293</v>
      </c>
      <c r="F662" s="16">
        <v>1</v>
      </c>
      <c r="G662" s="8">
        <f>H661-1</f>
        <v>10</v>
      </c>
      <c r="H662" s="14" t="s">
        <v>50</v>
      </c>
    </row>
    <row r="663" spans="2:8" ht="12.75">
      <c r="B663" s="109" t="s">
        <v>35</v>
      </c>
      <c r="C663" s="7" t="s">
        <v>74</v>
      </c>
      <c r="D663" s="7" t="s">
        <v>43</v>
      </c>
      <c r="E663" s="7" t="s">
        <v>66</v>
      </c>
      <c r="F663" s="7" t="s">
        <v>75</v>
      </c>
      <c r="G663" s="7" t="s">
        <v>76</v>
      </c>
      <c r="H663" s="13" t="s">
        <v>67</v>
      </c>
    </row>
    <row r="664" spans="1:8" ht="12.75">
      <c r="A664" s="7" t="s">
        <v>26</v>
      </c>
      <c r="B664" s="7">
        <f>A662</f>
        <v>27730457.747347962</v>
      </c>
      <c r="C664" s="7">
        <f>B664/E664</f>
        <v>206.62474992872535</v>
      </c>
      <c r="D664" s="31">
        <f>C664*1000/(365*$F$29)</f>
        <v>79.92308418525752</v>
      </c>
      <c r="E664" s="7">
        <f>D662/$F$29</f>
        <v>134206.85448821358</v>
      </c>
      <c r="F664" s="7">
        <f>B664*H664</f>
        <v>6378005.281890032</v>
      </c>
      <c r="G664" s="7">
        <f>F664/E664</f>
        <v>47.52369248360684</v>
      </c>
      <c r="H664" s="13">
        <f>H$56</f>
        <v>0.23</v>
      </c>
    </row>
    <row r="665" spans="1:8" ht="12.75">
      <c r="A665" t="s">
        <v>27</v>
      </c>
      <c r="B665" s="33">
        <f>B664*B$17</f>
        <v>1664545.9643615906</v>
      </c>
      <c r="C665" s="33">
        <f>B665/E665</f>
        <v>206.62474992872535</v>
      </c>
      <c r="D665" s="33">
        <f>C665*1000/(365*$F$29)</f>
        <v>79.92308418525752</v>
      </c>
      <c r="E665" s="33">
        <f>B$4*E664</f>
        <v>8055.888585156285</v>
      </c>
      <c r="F665" s="33">
        <f>B665*H665</f>
        <v>0</v>
      </c>
      <c r="G665" s="33">
        <f>F665/E665</f>
        <v>0</v>
      </c>
      <c r="H665" s="36">
        <f>H$58</f>
        <v>0</v>
      </c>
    </row>
    <row r="666" spans="1:8" ht="12.75">
      <c r="A666" t="s">
        <v>28</v>
      </c>
      <c r="B666" s="20">
        <f>B664*B$18</f>
        <v>8769425.892989226</v>
      </c>
      <c r="C666" s="20">
        <f>B666/E666</f>
        <v>206.62474992872535</v>
      </c>
      <c r="D666" s="20">
        <f>C666*1000/(365*$F$29)</f>
        <v>79.92308418525752</v>
      </c>
      <c r="E666" s="20">
        <f>B$5*E664</f>
        <v>42441.314005288405</v>
      </c>
      <c r="F666" s="20">
        <f>B666*H666</f>
        <v>0</v>
      </c>
      <c r="G666" s="20">
        <f>F666/E666</f>
        <v>0</v>
      </c>
      <c r="H666" s="29">
        <f>H$59</f>
        <v>0</v>
      </c>
    </row>
    <row r="667" spans="1:8" ht="12.75">
      <c r="A667" t="s">
        <v>29</v>
      </c>
      <c r="B667" s="23">
        <f>B664*B$19</f>
        <v>17296485.889997143</v>
      </c>
      <c r="C667" s="23">
        <f>B667/E667</f>
        <v>206.62474992872538</v>
      </c>
      <c r="D667" s="23">
        <f>C667*1000/(365*$F$29)</f>
        <v>79.92308418525754</v>
      </c>
      <c r="E667" s="23">
        <f>B$6*E664</f>
        <v>83709.65189776887</v>
      </c>
      <c r="F667" s="23">
        <f>B667*H667</f>
        <v>0</v>
      </c>
      <c r="G667" s="23">
        <f>F667/E667</f>
        <v>0</v>
      </c>
      <c r="H667" s="30">
        <f>H$60</f>
        <v>0</v>
      </c>
    </row>
    <row r="668" ht="12.75">
      <c r="B668" s="109" t="s">
        <v>135</v>
      </c>
    </row>
    <row r="669" spans="1:8" ht="12.75">
      <c r="A669" s="7" t="s">
        <v>26</v>
      </c>
      <c r="B669" s="7">
        <f>(F662*E669*$F$26*$E$145)+((1-F662)*B645)</f>
        <v>102076.32435176312</v>
      </c>
      <c r="C669" s="7">
        <f>B669/E669</f>
        <v>0.7605895</v>
      </c>
      <c r="D669" s="31">
        <f>C669*1000/(365*$F$29)</f>
        <v>0.2941983410017039</v>
      </c>
      <c r="E669" s="7">
        <f>D662/$F$29</f>
        <v>134206.85448821358</v>
      </c>
      <c r="F669" s="7">
        <f>H$165*B669</f>
        <v>5392283.910206239</v>
      </c>
      <c r="G669" s="8">
        <f>F669/E669</f>
        <v>40.178900927</v>
      </c>
      <c r="H669" s="8">
        <f>$F$27</f>
        <v>52.826</v>
      </c>
    </row>
    <row r="670" spans="1:8" ht="12.75">
      <c r="A670" t="s">
        <v>27</v>
      </c>
      <c r="B670" s="33">
        <f>B669*$F$17</f>
        <v>2547.0763756198367</v>
      </c>
      <c r="C670" s="33"/>
      <c r="D670" s="33"/>
      <c r="E670" s="33"/>
      <c r="F670" s="33"/>
      <c r="G670" s="32"/>
      <c r="H670" s="36"/>
    </row>
    <row r="671" spans="1:8" ht="12.75">
      <c r="A671" t="s">
        <v>28</v>
      </c>
      <c r="B671" s="20">
        <f>B669*$F$18</f>
        <v>20128.369535606522</v>
      </c>
      <c r="C671" s="20"/>
      <c r="D671" s="20"/>
      <c r="E671" s="20"/>
      <c r="F671" s="20"/>
      <c r="G671" s="25"/>
      <c r="H671" s="29"/>
    </row>
    <row r="672" spans="1:8" ht="12.75">
      <c r="A672" t="s">
        <v>29</v>
      </c>
      <c r="B672" s="23">
        <f>B669*$F$19</f>
        <v>79400.87844053676</v>
      </c>
      <c r="C672" s="23"/>
      <c r="D672" s="23"/>
      <c r="E672" s="23"/>
      <c r="F672" s="23"/>
      <c r="G672" s="26"/>
      <c r="H672" s="30"/>
    </row>
    <row r="673" ht="12.75">
      <c r="B673" s="109" t="s">
        <v>30</v>
      </c>
    </row>
    <row r="674" spans="1:8" ht="12.75">
      <c r="A674" s="7" t="s">
        <v>26</v>
      </c>
      <c r="B674" s="7">
        <f>(F662*(IF(E662&gt;=(B664+B669),(E662-(B664+B669)),0)))+(1-F662)*B650</f>
        <v>0</v>
      </c>
      <c r="C674" s="7">
        <f>B674/E674</f>
        <v>0</v>
      </c>
      <c r="D674" s="7">
        <f>C674*1000/(365*$F$29)</f>
        <v>0</v>
      </c>
      <c r="E674" s="7">
        <f>D662/$F$29</f>
        <v>134206.85448821358</v>
      </c>
      <c r="F674" s="7">
        <f>H$170*B674</f>
        <v>0</v>
      </c>
      <c r="G674" s="8">
        <f>F674/E674</f>
        <v>0</v>
      </c>
      <c r="H674" s="8">
        <f>$F$28</f>
        <v>4</v>
      </c>
    </row>
    <row r="675" spans="1:8" ht="12.75">
      <c r="A675" t="s">
        <v>27</v>
      </c>
      <c r="B675" s="33">
        <f>B674*$D$17</f>
        <v>0</v>
      </c>
      <c r="C675" s="33"/>
      <c r="D675" s="33"/>
      <c r="E675" s="33"/>
      <c r="F675" s="33"/>
      <c r="G675" s="32"/>
      <c r="H675" s="36"/>
    </row>
    <row r="676" spans="1:8" ht="12.75">
      <c r="A676" t="s">
        <v>28</v>
      </c>
      <c r="B676" s="20">
        <f>B674*$D$18</f>
        <v>0</v>
      </c>
      <c r="C676" s="20"/>
      <c r="D676" s="20"/>
      <c r="E676" s="20"/>
      <c r="F676" s="20"/>
      <c r="G676" s="25"/>
      <c r="H676" s="29"/>
    </row>
    <row r="677" spans="1:8" ht="12.75">
      <c r="A677" t="s">
        <v>29</v>
      </c>
      <c r="B677" s="23">
        <f>B674*$D$19</f>
        <v>0</v>
      </c>
      <c r="C677" s="23"/>
      <c r="D677" s="23"/>
      <c r="E677" s="23"/>
      <c r="F677" s="23"/>
      <c r="G677" s="26"/>
      <c r="H677" s="30"/>
    </row>
    <row r="678" ht="12.75">
      <c r="B678" s="42" t="s">
        <v>143</v>
      </c>
    </row>
    <row r="679" spans="1:7" ht="12.75">
      <c r="A679" s="7" t="s">
        <v>26</v>
      </c>
      <c r="B679" s="7">
        <f>IF(E662&gt;=(B664+B669),E662,(B664+B669+B674))</f>
        <v>27832534.071699724</v>
      </c>
      <c r="C679" s="7">
        <f>B679/E679</f>
        <v>207.38533942872533</v>
      </c>
      <c r="D679" s="7">
        <f>C679*1000/(365*$F$29)</f>
        <v>80.21728252625923</v>
      </c>
      <c r="E679" s="7">
        <f>D662/$F$29</f>
        <v>134206.85448821358</v>
      </c>
      <c r="F679" s="7">
        <f>F664+F669+F674</f>
        <v>11770289.19209627</v>
      </c>
      <c r="G679" s="8">
        <f>F679/E679</f>
        <v>87.70259341060684</v>
      </c>
    </row>
    <row r="680" spans="1:8" ht="12.75">
      <c r="A680" t="s">
        <v>27</v>
      </c>
      <c r="B680" s="33"/>
      <c r="C680" s="33"/>
      <c r="D680" s="33"/>
      <c r="E680" s="33"/>
      <c r="F680" s="33"/>
      <c r="G680" s="32"/>
      <c r="H680" s="36"/>
    </row>
    <row r="681" spans="1:8" ht="12.75">
      <c r="A681" t="s">
        <v>28</v>
      </c>
      <c r="B681" s="20"/>
      <c r="C681" s="20"/>
      <c r="D681" s="20"/>
      <c r="E681" s="20"/>
      <c r="F681" s="20"/>
      <c r="G681" s="25"/>
      <c r="H681" s="29"/>
    </row>
    <row r="682" spans="1:8" ht="12.75">
      <c r="A682" t="s">
        <v>29</v>
      </c>
      <c r="B682" s="23"/>
      <c r="C682" s="23"/>
      <c r="D682" s="23"/>
      <c r="E682" s="23"/>
      <c r="F682" s="23"/>
      <c r="G682" s="26"/>
      <c r="H682" s="30"/>
    </row>
    <row r="684" spans="1:8" ht="12.75">
      <c r="A684" s="41" t="s">
        <v>149</v>
      </c>
      <c r="H684" s="10">
        <v>2021</v>
      </c>
    </row>
    <row r="685" spans="1:8" ht="12.75">
      <c r="A685" s="10" t="s">
        <v>73</v>
      </c>
      <c r="B685" s="9" t="s">
        <v>144</v>
      </c>
      <c r="C685" s="9" t="s">
        <v>58</v>
      </c>
      <c r="D685" s="9" t="s">
        <v>303</v>
      </c>
      <c r="E685" s="9" t="s">
        <v>78</v>
      </c>
      <c r="G685" s="9" t="s">
        <v>72</v>
      </c>
      <c r="H685" s="10">
        <f>H684-2009</f>
        <v>12</v>
      </c>
    </row>
    <row r="686" spans="1:8" ht="12.75">
      <c r="A686" s="9">
        <f>($B$92*(1-($E$129*(1+$E$131)^$F686)-$E$133*(1+$E$135)^($F686)))/((1-$E$129-$E$133))</f>
        <v>13666299.801534466</v>
      </c>
      <c r="B686" s="7">
        <f>E686-(B688+B693+B698)</f>
        <v>6564794.562983474</v>
      </c>
      <c r="C686" s="9">
        <f>$E$122</f>
        <v>700061.4217466069</v>
      </c>
      <c r="D686" s="9">
        <f>(C686*(1+$E$119)^F686)*($E$126*(1+$E$125)^$F686)</f>
        <v>981980.2981030365</v>
      </c>
      <c r="E686" s="9">
        <f>(D686/$F$29)*$G$33</f>
        <v>22318500.671830203</v>
      </c>
      <c r="F686" s="8">
        <f>H685-1</f>
        <v>11</v>
      </c>
      <c r="H686" s="14" t="s">
        <v>49</v>
      </c>
    </row>
    <row r="687" spans="2:8" ht="12.75">
      <c r="B687" s="42" t="s">
        <v>35</v>
      </c>
      <c r="C687" s="7" t="s">
        <v>74</v>
      </c>
      <c r="D687" s="7" t="s">
        <v>43</v>
      </c>
      <c r="E687" s="7" t="s">
        <v>66</v>
      </c>
      <c r="F687" s="7" t="s">
        <v>75</v>
      </c>
      <c r="G687" s="7" t="s">
        <v>76</v>
      </c>
      <c r="H687" s="13" t="s">
        <v>67</v>
      </c>
    </row>
    <row r="688" spans="1:8" ht="12.75">
      <c r="A688" s="7" t="s">
        <v>26</v>
      </c>
      <c r="B688" s="7">
        <f>A686</f>
        <v>13666299.801534466</v>
      </c>
      <c r="C688" s="7">
        <f>B688/E688</f>
        <v>98.5746879863692</v>
      </c>
      <c r="D688" s="31">
        <f>C688*1000/(365*$F$29)</f>
        <v>38.12899030337706</v>
      </c>
      <c r="E688" s="7">
        <f>D686/$F$29</f>
        <v>138639.0368633399</v>
      </c>
      <c r="F688" s="7">
        <f>B688*H688</f>
        <v>3143248.9543529274</v>
      </c>
      <c r="G688" s="7">
        <f>F688/E688</f>
        <v>22.672178236864916</v>
      </c>
      <c r="H688" s="13">
        <f>H$56</f>
        <v>0.23</v>
      </c>
    </row>
    <row r="689" spans="1:8" ht="12.75">
      <c r="A689" t="s">
        <v>27</v>
      </c>
      <c r="B689" s="33">
        <f>B688*B$17</f>
        <v>820332.0835760583</v>
      </c>
      <c r="C689" s="33">
        <f>B689/E689</f>
        <v>98.5746879863692</v>
      </c>
      <c r="D689" s="33">
        <f>C689*1000/(365*$F$29)</f>
        <v>38.12899030337706</v>
      </c>
      <c r="E689" s="33">
        <f>B$4*E688</f>
        <v>8321.934366046311</v>
      </c>
      <c r="F689" s="33">
        <f>B689*H689</f>
        <v>0</v>
      </c>
      <c r="G689" s="33">
        <f>F689/E689</f>
        <v>0</v>
      </c>
      <c r="H689" s="36">
        <f>H$58</f>
        <v>0</v>
      </c>
    </row>
    <row r="690" spans="1:8" ht="12.75">
      <c r="A690" t="s">
        <v>28</v>
      </c>
      <c r="B690" s="20">
        <f>B688*B$18</f>
        <v>4321804.004565755</v>
      </c>
      <c r="C690" s="20">
        <f>B690/E690</f>
        <v>98.57468798636921</v>
      </c>
      <c r="D690" s="20">
        <f>C690*1000/(365*$F$29)</f>
        <v>38.128990303377066</v>
      </c>
      <c r="E690" s="20">
        <f>B$5*E688</f>
        <v>43842.93871833882</v>
      </c>
      <c r="F690" s="20">
        <f>B690*H690</f>
        <v>0</v>
      </c>
      <c r="G690" s="20">
        <f>F690/E690</f>
        <v>0</v>
      </c>
      <c r="H690" s="29">
        <f>H$59</f>
        <v>0</v>
      </c>
    </row>
    <row r="691" spans="1:8" ht="12.75">
      <c r="A691" t="s">
        <v>29</v>
      </c>
      <c r="B691" s="23">
        <f>B688*B$19</f>
        <v>8524163.713392653</v>
      </c>
      <c r="C691" s="23">
        <f>B691/E691</f>
        <v>98.5746879863692</v>
      </c>
      <c r="D691" s="23">
        <f>C691*1000/(365*$F$29)</f>
        <v>38.12899030337706</v>
      </c>
      <c r="E691" s="23">
        <f>B$6*E688</f>
        <v>86474.16377895474</v>
      </c>
      <c r="F691" s="23">
        <f>B691*H691</f>
        <v>0</v>
      </c>
      <c r="G691" s="23">
        <f>F691/E691</f>
        <v>0</v>
      </c>
      <c r="H691" s="30">
        <f>H$60</f>
        <v>0</v>
      </c>
    </row>
    <row r="692" ht="12.75">
      <c r="B692" s="42" t="s">
        <v>135</v>
      </c>
    </row>
    <row r="693" spans="1:8" ht="12.75">
      <c r="A693" s="7" t="s">
        <v>26</v>
      </c>
      <c r="B693" s="7">
        <f>E693*$F$26</f>
        <v>210894.79145673852</v>
      </c>
      <c r="C693" s="7">
        <f>B693/E693</f>
        <v>1.521179</v>
      </c>
      <c r="D693" s="31">
        <f>C693*1000/(365*$F$29)</f>
        <v>0.5883966820034078</v>
      </c>
      <c r="E693" s="7">
        <f>D686/$F$29</f>
        <v>138639.0368633399</v>
      </c>
      <c r="F693" s="7">
        <f>H693*B693</f>
        <v>11140728.253493669</v>
      </c>
      <c r="G693" s="8">
        <f>F693/E693</f>
        <v>80.357801854</v>
      </c>
      <c r="H693" s="8">
        <f>$F$27</f>
        <v>52.826</v>
      </c>
    </row>
    <row r="694" spans="1:8" ht="12.75">
      <c r="A694" t="s">
        <v>27</v>
      </c>
      <c r="B694" s="33">
        <f>B693*$F$17</f>
        <v>5262.387184021411</v>
      </c>
      <c r="C694" s="33"/>
      <c r="D694" s="33"/>
      <c r="E694" s="33"/>
      <c r="F694" s="33"/>
      <c r="G694" s="32"/>
      <c r="H694" s="36"/>
    </row>
    <row r="695" spans="1:8" ht="12.75">
      <c r="A695" t="s">
        <v>28</v>
      </c>
      <c r="B695" s="20">
        <f>B693*$F$18</f>
        <v>41586.21818069593</v>
      </c>
      <c r="C695" s="20"/>
      <c r="D695" s="20"/>
      <c r="E695" s="20"/>
      <c r="F695" s="20"/>
      <c r="G695" s="25"/>
      <c r="H695" s="29"/>
    </row>
    <row r="696" spans="1:8" ht="12.75">
      <c r="A696" t="s">
        <v>29</v>
      </c>
      <c r="B696" s="23">
        <f>B693*$F$19</f>
        <v>164046.18609202118</v>
      </c>
      <c r="C696" s="23"/>
      <c r="D696" s="23"/>
      <c r="E696" s="23"/>
      <c r="F696" s="23"/>
      <c r="G696" s="26"/>
      <c r="H696" s="30"/>
    </row>
    <row r="697" ht="12.75">
      <c r="B697" s="42" t="s">
        <v>30</v>
      </c>
    </row>
    <row r="698" spans="1:8" ht="12.75">
      <c r="A698" s="7" t="s">
        <v>26</v>
      </c>
      <c r="B698" s="7">
        <f>E698*$F$24</f>
        <v>1876511.5158555247</v>
      </c>
      <c r="C698" s="7">
        <f>B698/E698</f>
        <v>13.5352319109462</v>
      </c>
      <c r="D698" s="7">
        <f>C698*1000/(365*$F$29)</f>
        <v>5.235469031946528</v>
      </c>
      <c r="E698" s="7">
        <f>D686/$F$29</f>
        <v>138639.0368633399</v>
      </c>
      <c r="F698" s="7">
        <f>H698*B698</f>
        <v>7506046.063422099</v>
      </c>
      <c r="G698" s="8">
        <f>F698/E698</f>
        <v>54.1409276437848</v>
      </c>
      <c r="H698" s="8">
        <f>$F$28</f>
        <v>4</v>
      </c>
    </row>
    <row r="699" spans="1:8" ht="12.75">
      <c r="A699" t="s">
        <v>27</v>
      </c>
      <c r="B699" s="33">
        <f>B698*$D$17</f>
        <v>69370.45729669997</v>
      </c>
      <c r="C699" s="33"/>
      <c r="D699" s="33"/>
      <c r="E699" s="33"/>
      <c r="F699" s="33"/>
      <c r="G699" s="32"/>
      <c r="H699" s="36"/>
    </row>
    <row r="700" spans="1:8" ht="12.75">
      <c r="A700" t="s">
        <v>28</v>
      </c>
      <c r="B700" s="20">
        <f>B698*$D$18</f>
        <v>365468.48056521086</v>
      </c>
      <c r="C700" s="20"/>
      <c r="D700" s="20"/>
      <c r="E700" s="20"/>
      <c r="F700" s="20"/>
      <c r="G700" s="25"/>
      <c r="H700" s="29"/>
    </row>
    <row r="701" spans="1:8" ht="12.75">
      <c r="A701" t="s">
        <v>29</v>
      </c>
      <c r="B701" s="23">
        <f>B698*$D$19</f>
        <v>1441672.577993614</v>
      </c>
      <c r="C701" s="23"/>
      <c r="D701" s="23"/>
      <c r="E701" s="23"/>
      <c r="F701" s="23"/>
      <c r="G701" s="26"/>
      <c r="H701" s="30"/>
    </row>
    <row r="702" ht="12.75">
      <c r="B702" s="42" t="s">
        <v>143</v>
      </c>
    </row>
    <row r="703" spans="1:7" ht="12.75">
      <c r="A703" s="7" t="s">
        <v>26</v>
      </c>
      <c r="B703" s="7">
        <f>E686</f>
        <v>22318500.671830203</v>
      </c>
      <c r="C703" s="7">
        <f>B703/E703</f>
        <v>160.9828023677785</v>
      </c>
      <c r="D703" s="7">
        <f>C703*1000/(365*$F$29)</f>
        <v>62.26863950449697</v>
      </c>
      <c r="E703" s="7">
        <f>D686/$F$29</f>
        <v>138639.0368633399</v>
      </c>
      <c r="F703" s="7">
        <f>F688+F693+F698</f>
        <v>21790023.271268696</v>
      </c>
      <c r="G703" s="8">
        <f>F703/E703</f>
        <v>157.17090773464972</v>
      </c>
    </row>
    <row r="704" spans="1:8" ht="12.75">
      <c r="A704" t="s">
        <v>27</v>
      </c>
      <c r="B704" s="33"/>
      <c r="C704" s="33"/>
      <c r="D704" s="33"/>
      <c r="E704" s="33"/>
      <c r="F704" s="33"/>
      <c r="G704" s="32"/>
      <c r="H704" s="36"/>
    </row>
    <row r="705" spans="1:8" ht="12.75">
      <c r="A705" t="s">
        <v>28</v>
      </c>
      <c r="B705" s="20"/>
      <c r="C705" s="20"/>
      <c r="D705" s="20"/>
      <c r="E705" s="20"/>
      <c r="F705" s="20"/>
      <c r="G705" s="25"/>
      <c r="H705" s="29"/>
    </row>
    <row r="706" spans="1:8" ht="12.75">
      <c r="A706" t="s">
        <v>29</v>
      </c>
      <c r="B706" s="23"/>
      <c r="C706" s="23"/>
      <c r="D706" s="23"/>
      <c r="E706" s="23"/>
      <c r="F706" s="23"/>
      <c r="G706" s="26"/>
      <c r="H706" s="30"/>
    </row>
    <row r="708" spans="1:8" ht="12.75">
      <c r="A708" s="41" t="s">
        <v>149</v>
      </c>
      <c r="H708" s="14">
        <v>2021</v>
      </c>
    </row>
    <row r="709" spans="1:8" ht="12.75">
      <c r="A709" s="10" t="s">
        <v>73</v>
      </c>
      <c r="B709" s="9" t="s">
        <v>144</v>
      </c>
      <c r="C709" s="9" t="s">
        <v>58</v>
      </c>
      <c r="D709" s="9" t="s">
        <v>303</v>
      </c>
      <c r="E709" s="9" t="s">
        <v>78</v>
      </c>
      <c r="G709" s="9" t="s">
        <v>72</v>
      </c>
      <c r="H709" s="10">
        <f>H708-2009</f>
        <v>12</v>
      </c>
    </row>
    <row r="710" spans="1:8" ht="12.75">
      <c r="A710" s="9">
        <f>$B$92*(1-($E$137*(1+$E$139)^$F710)-($E$141*(1+$E$143)^$F710))/((1-($E$129*(1+$E$131)^$F710)-$E$133*(1+$E$135)^$F710))</f>
        <v>27841402.194166843</v>
      </c>
      <c r="B710" s="7">
        <f>E710-(B712+B717+B722)</f>
        <v>-5628348.918065008</v>
      </c>
      <c r="C710" s="9">
        <f>$E$122</f>
        <v>700061.4217466069</v>
      </c>
      <c r="D710" s="9">
        <f>(C710*(1+$E$119)^F710)*($E$126*(1+$E$125)^$F710)</f>
        <v>981980.2981030365</v>
      </c>
      <c r="E710" s="9">
        <f>(D710/$F$29)*$G$33</f>
        <v>22318500.671830203</v>
      </c>
      <c r="F710" s="8">
        <f>H709-1</f>
        <v>11</v>
      </c>
      <c r="H710" s="14" t="s">
        <v>50</v>
      </c>
    </row>
    <row r="711" spans="2:8" ht="12.75">
      <c r="B711" s="42" t="s">
        <v>35</v>
      </c>
      <c r="C711" s="7" t="s">
        <v>74</v>
      </c>
      <c r="D711" s="7" t="s">
        <v>43</v>
      </c>
      <c r="E711" s="7" t="s">
        <v>66</v>
      </c>
      <c r="F711" s="7" t="s">
        <v>75</v>
      </c>
      <c r="G711" s="7" t="s">
        <v>76</v>
      </c>
      <c r="H711" s="13" t="s">
        <v>67</v>
      </c>
    </row>
    <row r="712" spans="1:8" ht="12.75">
      <c r="A712" s="7" t="s">
        <v>26</v>
      </c>
      <c r="B712" s="7">
        <f>A710</f>
        <v>27841402.194166843</v>
      </c>
      <c r="C712" s="7">
        <f>B712/E712</f>
        <v>200.81935668386703</v>
      </c>
      <c r="D712" s="31">
        <f>C712*1000/(365*$F$29)</f>
        <v>77.6775403518233</v>
      </c>
      <c r="E712" s="7">
        <f>D710/$F$29</f>
        <v>138639.0368633399</v>
      </c>
      <c r="F712" s="7">
        <f>B712*H712</f>
        <v>6403522.504658374</v>
      </c>
      <c r="G712" s="7">
        <f>F712/E712</f>
        <v>46.188452037289416</v>
      </c>
      <c r="H712" s="13">
        <f>H$56</f>
        <v>0.23</v>
      </c>
    </row>
    <row r="713" spans="1:8" ht="12.75">
      <c r="A713" t="s">
        <v>27</v>
      </c>
      <c r="B713" s="33">
        <f>B712*B$17</f>
        <v>1671205.5057547851</v>
      </c>
      <c r="C713" s="33">
        <f>B713/E713</f>
        <v>200.81935668386706</v>
      </c>
      <c r="D713" s="33">
        <f>C713*1000/(365*$F$29)</f>
        <v>77.67754035182331</v>
      </c>
      <c r="E713" s="33">
        <f>B$4*E712</f>
        <v>8321.934366046311</v>
      </c>
      <c r="F713" s="33">
        <f>B713*H713</f>
        <v>0</v>
      </c>
      <c r="G713" s="33">
        <f>F713/E713</f>
        <v>0</v>
      </c>
      <c r="H713" s="36">
        <f>H$58</f>
        <v>0</v>
      </c>
    </row>
    <row r="714" spans="1:8" ht="12.75">
      <c r="A714" t="s">
        <v>28</v>
      </c>
      <c r="B714" s="20">
        <f>B712*B$18</f>
        <v>8804510.748547008</v>
      </c>
      <c r="C714" s="20">
        <f>B714/E714</f>
        <v>200.81935668386706</v>
      </c>
      <c r="D714" s="20">
        <f>C714*1000/(365*$F$29)</f>
        <v>77.67754035182331</v>
      </c>
      <c r="E714" s="20">
        <f>B$5*E712</f>
        <v>43842.93871833882</v>
      </c>
      <c r="F714" s="20">
        <f>B714*H714</f>
        <v>0</v>
      </c>
      <c r="G714" s="20">
        <f>F714/E714</f>
        <v>0</v>
      </c>
      <c r="H714" s="29">
        <f>H$59</f>
        <v>0</v>
      </c>
    </row>
    <row r="715" spans="1:8" ht="12.75">
      <c r="A715" t="s">
        <v>29</v>
      </c>
      <c r="B715" s="23">
        <f>B712*B$19</f>
        <v>17365685.939865045</v>
      </c>
      <c r="C715" s="23">
        <f>B715/E715</f>
        <v>200.81935668386703</v>
      </c>
      <c r="D715" s="23">
        <f>C715*1000/(365*$F$29)</f>
        <v>77.6775403518233</v>
      </c>
      <c r="E715" s="23">
        <f>B$6*E712</f>
        <v>86474.16377895474</v>
      </c>
      <c r="F715" s="23">
        <f>B715*H715</f>
        <v>0</v>
      </c>
      <c r="G715" s="23">
        <f>F715/E715</f>
        <v>0</v>
      </c>
      <c r="H715" s="30">
        <f>H$60</f>
        <v>0</v>
      </c>
    </row>
    <row r="716" ht="12.75">
      <c r="B716" s="42" t="s">
        <v>135</v>
      </c>
    </row>
    <row r="717" spans="1:8" ht="12.75">
      <c r="A717" s="7" t="s">
        <v>26</v>
      </c>
      <c r="B717" s="7">
        <f>E717*$F$26*$E$145</f>
        <v>105447.39572836926</v>
      </c>
      <c r="C717" s="7">
        <f>B717/E717</f>
        <v>0.7605895</v>
      </c>
      <c r="D717" s="31">
        <f>C717*1000/(365*$F$29)</f>
        <v>0.2941983410017039</v>
      </c>
      <c r="E717" s="7">
        <f>D710/$F$29</f>
        <v>138639.0368633399</v>
      </c>
      <c r="F717" s="7">
        <f>H$165*B717</f>
        <v>5570364.126746834</v>
      </c>
      <c r="G717" s="8">
        <f>F717/E717</f>
        <v>40.178900927</v>
      </c>
      <c r="H717" s="8">
        <f>$F$27</f>
        <v>52.826</v>
      </c>
    </row>
    <row r="718" spans="1:8" ht="12.75">
      <c r="A718" t="s">
        <v>27</v>
      </c>
      <c r="B718" s="33">
        <f>B717*$F$17</f>
        <v>2631.1935920107053</v>
      </c>
      <c r="C718" s="33"/>
      <c r="D718" s="33"/>
      <c r="E718" s="33"/>
      <c r="F718" s="33"/>
      <c r="G718" s="32"/>
      <c r="H718" s="36"/>
    </row>
    <row r="719" spans="1:8" ht="12.75">
      <c r="A719" t="s">
        <v>28</v>
      </c>
      <c r="B719" s="20">
        <f>B717*$F$18</f>
        <v>20793.109090347964</v>
      </c>
      <c r="C719" s="20"/>
      <c r="D719" s="20"/>
      <c r="E719" s="20"/>
      <c r="F719" s="20"/>
      <c r="G719" s="25"/>
      <c r="H719" s="29"/>
    </row>
    <row r="720" spans="1:8" ht="12.75">
      <c r="A720" t="s">
        <v>29</v>
      </c>
      <c r="B720" s="23">
        <f>B717*$F$19</f>
        <v>82023.09304601059</v>
      </c>
      <c r="C720" s="23"/>
      <c r="D720" s="23"/>
      <c r="E720" s="23"/>
      <c r="F720" s="23"/>
      <c r="G720" s="26"/>
      <c r="H720" s="30"/>
    </row>
    <row r="721" ht="12.75">
      <c r="B721" s="42" t="s">
        <v>30</v>
      </c>
    </row>
    <row r="722" spans="1:8" ht="12.75">
      <c r="A722" s="7" t="s">
        <v>26</v>
      </c>
      <c r="B722" s="7">
        <f>IF(E710&gt;=(B712+B717),(E710-(B712+B717)),0)</f>
        <v>0</v>
      </c>
      <c r="C722" s="7">
        <f>B722/E722</f>
        <v>0</v>
      </c>
      <c r="D722" s="7">
        <f>C722*1000/(365*$F$29)</f>
        <v>0</v>
      </c>
      <c r="E722" s="7">
        <f>D710/$F$29</f>
        <v>138639.0368633399</v>
      </c>
      <c r="F722" s="7">
        <f>H$170*B722</f>
        <v>0</v>
      </c>
      <c r="G722" s="8">
        <f>F722/E722</f>
        <v>0</v>
      </c>
      <c r="H722" s="8">
        <f>$F$28</f>
        <v>4</v>
      </c>
    </row>
    <row r="723" spans="1:8" ht="12.75">
      <c r="A723" t="s">
        <v>27</v>
      </c>
      <c r="B723" s="33">
        <f>B722*$D$17</f>
        <v>0</v>
      </c>
      <c r="C723" s="33"/>
      <c r="D723" s="33"/>
      <c r="E723" s="33"/>
      <c r="F723" s="33"/>
      <c r="G723" s="32"/>
      <c r="H723" s="36"/>
    </row>
    <row r="724" spans="1:8" ht="12.75">
      <c r="A724" t="s">
        <v>28</v>
      </c>
      <c r="B724" s="20">
        <f>B722*$D$18</f>
        <v>0</v>
      </c>
      <c r="C724" s="20"/>
      <c r="D724" s="20"/>
      <c r="E724" s="20"/>
      <c r="F724" s="20"/>
      <c r="G724" s="25"/>
      <c r="H724" s="29"/>
    </row>
    <row r="725" spans="1:8" ht="12.75">
      <c r="A725" t="s">
        <v>29</v>
      </c>
      <c r="B725" s="23">
        <f>B722*$D$19</f>
        <v>0</v>
      </c>
      <c r="C725" s="23"/>
      <c r="D725" s="23"/>
      <c r="E725" s="23"/>
      <c r="F725" s="23"/>
      <c r="G725" s="26"/>
      <c r="H725" s="30"/>
    </row>
    <row r="726" ht="12.75">
      <c r="B726" s="42" t="s">
        <v>143</v>
      </c>
    </row>
    <row r="727" spans="1:7" ht="12.75">
      <c r="A727" s="7" t="s">
        <v>26</v>
      </c>
      <c r="B727" s="7">
        <f>IF(E710&gt;=(B712+B717),E710,(B712+B717+B722))</f>
        <v>27946849.58989521</v>
      </c>
      <c r="C727" s="7">
        <f>B727/E727</f>
        <v>201.579946183867</v>
      </c>
      <c r="D727" s="7">
        <f>C727*1000/(365*$F$29)</f>
        <v>77.971738692825</v>
      </c>
      <c r="E727" s="7">
        <f>D710/$F$29</f>
        <v>138639.0368633399</v>
      </c>
      <c r="F727" s="7">
        <f>F712+F717+F722</f>
        <v>11973886.631405208</v>
      </c>
      <c r="G727" s="8">
        <f>F727/E727</f>
        <v>86.36735296428942</v>
      </c>
    </row>
    <row r="728" spans="1:8" ht="12.75">
      <c r="A728" t="s">
        <v>27</v>
      </c>
      <c r="B728" s="33"/>
      <c r="C728" s="33"/>
      <c r="D728" s="33"/>
      <c r="E728" s="33"/>
      <c r="F728" s="33"/>
      <c r="G728" s="32"/>
      <c r="H728" s="36"/>
    </row>
    <row r="729" spans="1:8" ht="12.75">
      <c r="A729" t="s">
        <v>28</v>
      </c>
      <c r="B729" s="20"/>
      <c r="C729" s="20"/>
      <c r="D729" s="20"/>
      <c r="E729" s="20"/>
      <c r="F729" s="20"/>
      <c r="G729" s="25"/>
      <c r="H729" s="29"/>
    </row>
    <row r="730" spans="1:8" ht="12.75">
      <c r="A730" t="s">
        <v>29</v>
      </c>
      <c r="B730" s="23"/>
      <c r="C730" s="23"/>
      <c r="D730" s="23"/>
      <c r="E730" s="23"/>
      <c r="F730" s="23"/>
      <c r="G730" s="26"/>
      <c r="H730" s="30"/>
    </row>
    <row r="732" spans="1:8" ht="12.75">
      <c r="A732" s="41" t="s">
        <v>149</v>
      </c>
      <c r="H732" s="10">
        <v>2022</v>
      </c>
    </row>
    <row r="733" spans="1:8" ht="12.75">
      <c r="A733" s="10" t="s">
        <v>73</v>
      </c>
      <c r="B733" s="9" t="s">
        <v>144</v>
      </c>
      <c r="C733" s="9" t="s">
        <v>58</v>
      </c>
      <c r="D733" s="9" t="s">
        <v>303</v>
      </c>
      <c r="E733" s="9" t="s">
        <v>78</v>
      </c>
      <c r="G733" s="9" t="s">
        <v>72</v>
      </c>
      <c r="H733" s="10">
        <f>H732-2009</f>
        <v>13</v>
      </c>
    </row>
    <row r="734" spans="1:8" ht="12.75">
      <c r="A734" s="9">
        <f>($B$92*(1-($E$129*(1+$E$131)^$F734)-$E$133*(1+$E$135)^($F734)))/((1-$E$129-$E$133))</f>
        <v>13621079.222180892</v>
      </c>
      <c r="B734" s="7">
        <f>E734-(B736+B741+B746)</f>
        <v>7278147.18532305</v>
      </c>
      <c r="C734" s="9">
        <f>$E$122</f>
        <v>700061.4217466069</v>
      </c>
      <c r="D734" s="9">
        <f>(C734*(1+$E$119)^F734)*($E$126*(1+$E$125)^$F734)</f>
        <v>1014410.2048061688</v>
      </c>
      <c r="E734" s="9">
        <f>(D734/$F$29)*$G$33</f>
        <v>23055569.32375677</v>
      </c>
      <c r="F734" s="8">
        <f>H733-1</f>
        <v>12</v>
      </c>
      <c r="H734" s="14" t="s">
        <v>49</v>
      </c>
    </row>
    <row r="735" spans="2:8" ht="12.75">
      <c r="B735" s="42" t="s">
        <v>35</v>
      </c>
      <c r="C735" s="7" t="s">
        <v>74</v>
      </c>
      <c r="D735" s="7" t="s">
        <v>43</v>
      </c>
      <c r="E735" s="7" t="s">
        <v>66</v>
      </c>
      <c r="F735" s="7" t="s">
        <v>75</v>
      </c>
      <c r="G735" s="7" t="s">
        <v>76</v>
      </c>
      <c r="H735" s="13" t="s">
        <v>67</v>
      </c>
    </row>
    <row r="736" spans="1:8" ht="12.75">
      <c r="A736" s="7" t="s">
        <v>26</v>
      </c>
      <c r="B736" s="7">
        <f>A734</f>
        <v>13621079.222180892</v>
      </c>
      <c r="C736" s="7">
        <f>B736/E736</f>
        <v>95.10758436143894</v>
      </c>
      <c r="D736" s="31">
        <f>C736*1000/(365*$F$29)</f>
        <v>36.787904034719034</v>
      </c>
      <c r="E736" s="7">
        <f>D734/$F$29</f>
        <v>143217.59209461653</v>
      </c>
      <c r="F736" s="7">
        <f>B736*H736</f>
        <v>3132848.2211016053</v>
      </c>
      <c r="G736" s="7">
        <f>F736/E736</f>
        <v>21.874744403130958</v>
      </c>
      <c r="H736" s="13">
        <f>H$56</f>
        <v>0.23</v>
      </c>
    </row>
    <row r="737" spans="1:8" ht="12.75">
      <c r="A737" t="s">
        <v>27</v>
      </c>
      <c r="B737" s="33">
        <f>B736*B$17</f>
        <v>817617.6771441528</v>
      </c>
      <c r="C737" s="33">
        <f>B737/E737</f>
        <v>95.10758436143894</v>
      </c>
      <c r="D737" s="33">
        <f>C737*1000/(365*$F$29)</f>
        <v>36.787904034719034</v>
      </c>
      <c r="E737" s="33">
        <f>B$4*E736</f>
        <v>8596.7663108438</v>
      </c>
      <c r="F737" s="33">
        <f>B737*H737</f>
        <v>0</v>
      </c>
      <c r="G737" s="33">
        <f>F737/E737</f>
        <v>0</v>
      </c>
      <c r="H737" s="36">
        <f>H$58</f>
        <v>0</v>
      </c>
    </row>
    <row r="738" spans="1:8" ht="12.75">
      <c r="A738" t="s">
        <v>28</v>
      </c>
      <c r="B738" s="20">
        <f>B736*B$18</f>
        <v>4307503.536715846</v>
      </c>
      <c r="C738" s="20">
        <f>B738/E738</f>
        <v>95.10758436143894</v>
      </c>
      <c r="D738" s="20">
        <f>C738*1000/(365*$F$29)</f>
        <v>36.787904034719034</v>
      </c>
      <c r="E738" s="20">
        <f>B$5*E736</f>
        <v>45290.85209804055</v>
      </c>
      <c r="F738" s="20">
        <f>B738*H738</f>
        <v>0</v>
      </c>
      <c r="G738" s="20">
        <f>F738/E738</f>
        <v>0</v>
      </c>
      <c r="H738" s="29">
        <f>H$59</f>
        <v>0</v>
      </c>
    </row>
    <row r="739" spans="1:8" ht="12.75">
      <c r="A739" t="s">
        <v>29</v>
      </c>
      <c r="B739" s="23">
        <f>B736*B$19</f>
        <v>8495958.008320892</v>
      </c>
      <c r="C739" s="23">
        <f>B739/E739</f>
        <v>95.10758436143895</v>
      </c>
      <c r="D739" s="23">
        <f>C739*1000/(365*$F$29)</f>
        <v>36.78790403471904</v>
      </c>
      <c r="E739" s="23">
        <f>B$6*E736</f>
        <v>89329.97368573215</v>
      </c>
      <c r="F739" s="23">
        <f>B739*H739</f>
        <v>0</v>
      </c>
      <c r="G739" s="23">
        <f>F739/E739</f>
        <v>0</v>
      </c>
      <c r="H739" s="30">
        <f>H$60</f>
        <v>0</v>
      </c>
    </row>
    <row r="740" ht="12.75">
      <c r="B740" s="42" t="s">
        <v>135</v>
      </c>
    </row>
    <row r="741" spans="1:8" ht="12.75">
      <c r="A741" s="7" t="s">
        <v>26</v>
      </c>
      <c r="B741" s="7">
        <f>E741*$F$26</f>
        <v>217859.59352489669</v>
      </c>
      <c r="C741" s="7">
        <f>B741/E741</f>
        <v>1.521179</v>
      </c>
      <c r="D741" s="31">
        <f>C741*1000/(365*$F$29)</f>
        <v>0.5883966820034078</v>
      </c>
      <c r="E741" s="7">
        <f>D734/$F$29</f>
        <v>143217.59209461653</v>
      </c>
      <c r="F741" s="7">
        <f>H741*B741</f>
        <v>11508650.887546193</v>
      </c>
      <c r="G741" s="8">
        <f>F741/E741</f>
        <v>80.357801854</v>
      </c>
      <c r="H741" s="8">
        <f>$F$27</f>
        <v>52.826</v>
      </c>
    </row>
    <row r="742" spans="1:8" ht="12.75">
      <c r="A742" t="s">
        <v>27</v>
      </c>
      <c r="B742" s="33">
        <f>B741*$F$17</f>
        <v>5436.177560206399</v>
      </c>
      <c r="C742" s="33"/>
      <c r="D742" s="33"/>
      <c r="E742" s="33"/>
      <c r="F742" s="33"/>
      <c r="G742" s="32"/>
      <c r="H742" s="36"/>
    </row>
    <row r="743" spans="1:8" ht="12.75">
      <c r="A743" t="s">
        <v>28</v>
      </c>
      <c r="B743" s="20">
        <f>B741*$F$18</f>
        <v>42959.6033477317</v>
      </c>
      <c r="C743" s="20"/>
      <c r="D743" s="20"/>
      <c r="E743" s="20"/>
      <c r="F743" s="20"/>
      <c r="G743" s="25"/>
      <c r="H743" s="29"/>
    </row>
    <row r="744" spans="1:8" ht="12.75">
      <c r="A744" t="s">
        <v>29</v>
      </c>
      <c r="B744" s="23">
        <f>B741*$F$19</f>
        <v>169463.81261695857</v>
      </c>
      <c r="C744" s="23"/>
      <c r="D744" s="23"/>
      <c r="E744" s="23"/>
      <c r="F744" s="23"/>
      <c r="G744" s="26"/>
      <c r="H744" s="30"/>
    </row>
    <row r="745" ht="12.75">
      <c r="B745" s="42" t="s">
        <v>30</v>
      </c>
    </row>
    <row r="746" spans="1:8" ht="12.75">
      <c r="A746" s="7" t="s">
        <v>26</v>
      </c>
      <c r="B746" s="7">
        <f>E746*$F$24</f>
        <v>1938483.3227279298</v>
      </c>
      <c r="C746" s="7">
        <f>B746/E746</f>
        <v>13.5352319109462</v>
      </c>
      <c r="D746" s="7">
        <f>C746*1000/(365*$F$29)</f>
        <v>5.235469031946528</v>
      </c>
      <c r="E746" s="7">
        <f>D734/$F$29</f>
        <v>143217.59209461653</v>
      </c>
      <c r="F746" s="7">
        <f>H746*B746</f>
        <v>7753933.290911719</v>
      </c>
      <c r="G746" s="8">
        <f>F746/E746</f>
        <v>54.1409276437848</v>
      </c>
      <c r="H746" s="8">
        <f>$F$28</f>
        <v>4</v>
      </c>
    </row>
    <row r="747" spans="1:8" ht="12.75">
      <c r="A747" t="s">
        <v>27</v>
      </c>
      <c r="B747" s="33">
        <f>B746*$D$17</f>
        <v>71661.4171687376</v>
      </c>
      <c r="C747" s="33"/>
      <c r="D747" s="33"/>
      <c r="E747" s="33"/>
      <c r="F747" s="33"/>
      <c r="G747" s="32"/>
      <c r="H747" s="36"/>
    </row>
    <row r="748" spans="1:8" ht="12.75">
      <c r="A748" t="s">
        <v>28</v>
      </c>
      <c r="B748" s="20">
        <f>B746*$D$18</f>
        <v>377538.07987444435</v>
      </c>
      <c r="C748" s="20"/>
      <c r="D748" s="20"/>
      <c r="E748" s="20"/>
      <c r="F748" s="20"/>
      <c r="G748" s="25"/>
      <c r="H748" s="29"/>
    </row>
    <row r="749" spans="1:8" ht="12.75">
      <c r="A749" t="s">
        <v>29</v>
      </c>
      <c r="B749" s="23">
        <f>B746*$D$19</f>
        <v>1489283.825684748</v>
      </c>
      <c r="C749" s="23"/>
      <c r="D749" s="23"/>
      <c r="E749" s="23"/>
      <c r="F749" s="23"/>
      <c r="G749" s="26"/>
      <c r="H749" s="30"/>
    </row>
    <row r="750" ht="12.75">
      <c r="B750" s="42" t="s">
        <v>143</v>
      </c>
    </row>
    <row r="751" spans="1:7" ht="12.75">
      <c r="A751" s="7" t="s">
        <v>26</v>
      </c>
      <c r="B751" s="7">
        <f>E734</f>
        <v>23055569.32375677</v>
      </c>
      <c r="C751" s="7">
        <f>B751/E751</f>
        <v>160.9828023677785</v>
      </c>
      <c r="D751" s="7">
        <f>C751*1000/(365*$F$29)</f>
        <v>62.26863950449697</v>
      </c>
      <c r="E751" s="7">
        <f>D734/$F$29</f>
        <v>143217.59209461653</v>
      </c>
      <c r="F751" s="7">
        <f>F736+F741+F746</f>
        <v>22395432.399559516</v>
      </c>
      <c r="G751" s="8">
        <f>F751/E751</f>
        <v>156.37347390091577</v>
      </c>
    </row>
    <row r="752" spans="1:8" ht="12.75">
      <c r="A752" t="s">
        <v>27</v>
      </c>
      <c r="B752" s="33"/>
      <c r="C752" s="33"/>
      <c r="D752" s="33"/>
      <c r="E752" s="33"/>
      <c r="F752" s="33"/>
      <c r="G752" s="32"/>
      <c r="H752" s="36"/>
    </row>
    <row r="753" spans="1:8" ht="12.75">
      <c r="A753" t="s">
        <v>28</v>
      </c>
      <c r="B753" s="20"/>
      <c r="C753" s="20"/>
      <c r="D753" s="20"/>
      <c r="E753" s="20"/>
      <c r="F753" s="20"/>
      <c r="G753" s="25"/>
      <c r="H753" s="29"/>
    </row>
    <row r="754" spans="1:8" ht="12.75">
      <c r="A754" t="s">
        <v>29</v>
      </c>
      <c r="B754" s="23"/>
      <c r="C754" s="23"/>
      <c r="D754" s="23"/>
      <c r="E754" s="23"/>
      <c r="F754" s="23"/>
      <c r="G754" s="26"/>
      <c r="H754" s="30"/>
    </row>
    <row r="756" spans="1:8" ht="12.75">
      <c r="A756" s="41" t="s">
        <v>149</v>
      </c>
      <c r="H756" s="14">
        <v>2022</v>
      </c>
    </row>
    <row r="757" spans="1:8" ht="12.75">
      <c r="A757" s="10" t="s">
        <v>73</v>
      </c>
      <c r="B757" s="9" t="s">
        <v>144</v>
      </c>
      <c r="C757" s="9" t="s">
        <v>58</v>
      </c>
      <c r="D757" s="9" t="s">
        <v>303</v>
      </c>
      <c r="E757" s="9" t="s">
        <v>78</v>
      </c>
      <c r="G757" s="9" t="s">
        <v>72</v>
      </c>
      <c r="H757" s="10">
        <f>H756-2009</f>
        <v>13</v>
      </c>
    </row>
    <row r="758" spans="1:8" ht="12.75">
      <c r="A758" s="9">
        <f>$B$92*(1-($E$137*(1+$E$139)^$F758)-($E$141*(1+$E$143)^$F758))/((1-($E$129*(1+$E$131)^$F758)-$E$133*(1+$E$135)^$F758))</f>
        <v>27953344.018812515</v>
      </c>
      <c r="B758" s="7">
        <f>E758-(B760+B765+B770)</f>
        <v>-5006704.491818193</v>
      </c>
      <c r="C758" s="9">
        <f>$E$122</f>
        <v>700061.4217466069</v>
      </c>
      <c r="D758" s="9">
        <f>(C758*(1+$E$119)^F758)*($E$126*(1+$E$125)^$F758)</f>
        <v>1014410.2048061688</v>
      </c>
      <c r="E758" s="9">
        <f>(D758/$F$29)*$G$33</f>
        <v>23055569.32375677</v>
      </c>
      <c r="F758" s="8">
        <f>H757-1</f>
        <v>12</v>
      </c>
      <c r="H758" s="14" t="s">
        <v>50</v>
      </c>
    </row>
    <row r="759" spans="2:8" ht="12.75">
      <c r="B759" s="42" t="s">
        <v>35</v>
      </c>
      <c r="C759" s="7" t="s">
        <v>74</v>
      </c>
      <c r="D759" s="7" t="s">
        <v>43</v>
      </c>
      <c r="E759" s="7" t="s">
        <v>66</v>
      </c>
      <c r="F759" s="7" t="s">
        <v>75</v>
      </c>
      <c r="G759" s="7" t="s">
        <v>76</v>
      </c>
      <c r="H759" s="13" t="s">
        <v>67</v>
      </c>
    </row>
    <row r="760" spans="1:8" ht="12.75">
      <c r="A760" s="7" t="s">
        <v>26</v>
      </c>
      <c r="B760" s="7">
        <f>A758</f>
        <v>27953344.018812515</v>
      </c>
      <c r="C760" s="7">
        <f>B760/E760</f>
        <v>195.1809383888061</v>
      </c>
      <c r="D760" s="31">
        <f>C760*1000/(365*$F$29)</f>
        <v>75.49658293881592</v>
      </c>
      <c r="E760" s="7">
        <f>D758/$F$29</f>
        <v>143217.59209461653</v>
      </c>
      <c r="F760" s="7">
        <f>B760*H760</f>
        <v>6429269.124326879</v>
      </c>
      <c r="G760" s="7">
        <f>F760/E760</f>
        <v>44.89161582942541</v>
      </c>
      <c r="H760" s="13">
        <f>H$56</f>
        <v>0.23</v>
      </c>
    </row>
    <row r="761" spans="1:8" ht="12.75">
      <c r="A761" t="s">
        <v>27</v>
      </c>
      <c r="B761" s="33">
        <f>B760*B$17</f>
        <v>1677924.9156597676</v>
      </c>
      <c r="C761" s="33">
        <f>B761/E761</f>
        <v>195.1809383888061</v>
      </c>
      <c r="D761" s="33">
        <f>C761*1000/(365*$F$29)</f>
        <v>75.49658293881592</v>
      </c>
      <c r="E761" s="33">
        <f>B$4*E760</f>
        <v>8596.7663108438</v>
      </c>
      <c r="F761" s="33">
        <f>B761*H761</f>
        <v>0</v>
      </c>
      <c r="G761" s="33">
        <f>F761/E761</f>
        <v>0</v>
      </c>
      <c r="H761" s="36">
        <f>H$58</f>
        <v>0</v>
      </c>
    </row>
    <row r="762" spans="1:8" ht="12.75">
      <c r="A762" t="s">
        <v>28</v>
      </c>
      <c r="B762" s="20">
        <f>B760*B$18</f>
        <v>8839911.012924183</v>
      </c>
      <c r="C762" s="20">
        <f>B762/E762</f>
        <v>195.1809383888061</v>
      </c>
      <c r="D762" s="20">
        <f>C762*1000/(365*$F$29)</f>
        <v>75.49658293881592</v>
      </c>
      <c r="E762" s="20">
        <f>B$5*E760</f>
        <v>45290.85209804055</v>
      </c>
      <c r="F762" s="20">
        <f>B762*H762</f>
        <v>0</v>
      </c>
      <c r="G762" s="20">
        <f>F762/E762</f>
        <v>0</v>
      </c>
      <c r="H762" s="29">
        <f>H$59</f>
        <v>0</v>
      </c>
    </row>
    <row r="763" spans="1:8" ht="12.75">
      <c r="A763" t="s">
        <v>29</v>
      </c>
      <c r="B763" s="23">
        <f>B760*B$19</f>
        <v>17435508.09022856</v>
      </c>
      <c r="C763" s="23">
        <f>B763/E763</f>
        <v>195.18093838880614</v>
      </c>
      <c r="D763" s="23">
        <f>C763*1000/(365*$F$29)</f>
        <v>75.49658293881593</v>
      </c>
      <c r="E763" s="23">
        <f>B$6*E760</f>
        <v>89329.97368573215</v>
      </c>
      <c r="F763" s="23">
        <f>B763*H763</f>
        <v>0</v>
      </c>
      <c r="G763" s="23">
        <f>F763/E763</f>
        <v>0</v>
      </c>
      <c r="H763" s="30">
        <f>H$60</f>
        <v>0</v>
      </c>
    </row>
    <row r="764" ht="12.75">
      <c r="B764" s="42" t="s">
        <v>135</v>
      </c>
    </row>
    <row r="765" spans="1:8" ht="12.75">
      <c r="A765" s="7" t="s">
        <v>26</v>
      </c>
      <c r="B765" s="7">
        <f>E765*$F$26*$E$145</f>
        <v>108929.79676244834</v>
      </c>
      <c r="C765" s="7">
        <f>B765/E765</f>
        <v>0.7605895</v>
      </c>
      <c r="D765" s="31">
        <f>C765*1000/(365*$F$29)</f>
        <v>0.2941983410017039</v>
      </c>
      <c r="E765" s="7">
        <f>D758/$F$29</f>
        <v>143217.59209461653</v>
      </c>
      <c r="F765" s="7">
        <f>H$165*B765</f>
        <v>5754325.443773096</v>
      </c>
      <c r="G765" s="8">
        <f>F765/E765</f>
        <v>40.178900927</v>
      </c>
      <c r="H765" s="8">
        <f>$F$27</f>
        <v>52.826</v>
      </c>
    </row>
    <row r="766" spans="1:8" ht="12.75">
      <c r="A766" t="s">
        <v>27</v>
      </c>
      <c r="B766" s="33">
        <f>B765*$F$17</f>
        <v>2718.0887801031995</v>
      </c>
      <c r="C766" s="33"/>
      <c r="D766" s="33"/>
      <c r="E766" s="33"/>
      <c r="F766" s="33"/>
      <c r="G766" s="32"/>
      <c r="H766" s="36"/>
    </row>
    <row r="767" spans="1:8" ht="12.75">
      <c r="A767" t="s">
        <v>28</v>
      </c>
      <c r="B767" s="20">
        <f>B765*$F$18</f>
        <v>21479.80167386585</v>
      </c>
      <c r="C767" s="20"/>
      <c r="D767" s="20"/>
      <c r="E767" s="20"/>
      <c r="F767" s="20"/>
      <c r="G767" s="25"/>
      <c r="H767" s="29"/>
    </row>
    <row r="768" spans="1:8" ht="12.75">
      <c r="A768" t="s">
        <v>29</v>
      </c>
      <c r="B768" s="23">
        <f>B765*$F$19</f>
        <v>84731.90630847929</v>
      </c>
      <c r="C768" s="23"/>
      <c r="D768" s="23"/>
      <c r="E768" s="23"/>
      <c r="F768" s="23"/>
      <c r="G768" s="26"/>
      <c r="H768" s="30"/>
    </row>
    <row r="769" ht="12.75">
      <c r="B769" s="42" t="s">
        <v>30</v>
      </c>
    </row>
    <row r="770" spans="1:8" ht="12.75">
      <c r="A770" s="7" t="s">
        <v>26</v>
      </c>
      <c r="B770" s="7">
        <f>IF(E758&gt;=(B760+B765),(E758-(B760+B765)),0)</f>
        <v>0</v>
      </c>
      <c r="C770" s="7">
        <f>B770/E770</f>
        <v>0</v>
      </c>
      <c r="D770" s="7">
        <f>C770*1000/(365*$F$29)</f>
        <v>0</v>
      </c>
      <c r="E770" s="7">
        <f>D758/$F$29</f>
        <v>143217.59209461653</v>
      </c>
      <c r="F770" s="7">
        <f>H$170*B770</f>
        <v>0</v>
      </c>
      <c r="G770" s="8">
        <f>F770/E770</f>
        <v>0</v>
      </c>
      <c r="H770" s="8">
        <f>$F$28</f>
        <v>4</v>
      </c>
    </row>
    <row r="771" spans="1:8" ht="12.75">
      <c r="A771" t="s">
        <v>27</v>
      </c>
      <c r="B771" s="33">
        <f>B770*$D$17</f>
        <v>0</v>
      </c>
      <c r="C771" s="33"/>
      <c r="D771" s="33"/>
      <c r="E771" s="33"/>
      <c r="F771" s="33"/>
      <c r="G771" s="32"/>
      <c r="H771" s="36"/>
    </row>
    <row r="772" spans="1:8" ht="12.75">
      <c r="A772" t="s">
        <v>28</v>
      </c>
      <c r="B772" s="20">
        <f>B770*$D$18</f>
        <v>0</v>
      </c>
      <c r="C772" s="20"/>
      <c r="D772" s="20"/>
      <c r="E772" s="20"/>
      <c r="F772" s="20"/>
      <c r="G772" s="25"/>
      <c r="H772" s="29"/>
    </row>
    <row r="773" spans="1:8" ht="12.75">
      <c r="A773" t="s">
        <v>29</v>
      </c>
      <c r="B773" s="23">
        <f>B770*$D$19</f>
        <v>0</v>
      </c>
      <c r="C773" s="23"/>
      <c r="D773" s="23"/>
      <c r="E773" s="23"/>
      <c r="F773" s="23"/>
      <c r="G773" s="26"/>
      <c r="H773" s="30"/>
    </row>
    <row r="774" ht="12.75">
      <c r="B774" s="42" t="s">
        <v>143</v>
      </c>
    </row>
    <row r="775" spans="1:7" ht="12.75">
      <c r="A775" s="7" t="s">
        <v>26</v>
      </c>
      <c r="B775" s="7">
        <f>IF(E758&gt;=(B760+B765),E758,(B760+B765+B770))</f>
        <v>28062273.815574963</v>
      </c>
      <c r="C775" s="7">
        <f>B775/E775</f>
        <v>195.94152788880612</v>
      </c>
      <c r="D775" s="7">
        <f>C775*1000/(365*$F$29)</f>
        <v>75.79078127981764</v>
      </c>
      <c r="E775" s="7">
        <f>D758/$F$29</f>
        <v>143217.59209461653</v>
      </c>
      <c r="F775" s="7">
        <f>F760+F765+F770</f>
        <v>12183594.568099976</v>
      </c>
      <c r="G775" s="8">
        <f>F775/E775</f>
        <v>85.07051675642542</v>
      </c>
    </row>
    <row r="776" spans="1:8" ht="12.75">
      <c r="A776" t="s">
        <v>27</v>
      </c>
      <c r="B776" s="33"/>
      <c r="C776" s="33"/>
      <c r="D776" s="33"/>
      <c r="E776" s="33"/>
      <c r="F776" s="33"/>
      <c r="G776" s="32"/>
      <c r="H776" s="36"/>
    </row>
    <row r="777" spans="1:8" ht="12.75">
      <c r="A777" t="s">
        <v>28</v>
      </c>
      <c r="B777" s="20"/>
      <c r="C777" s="20"/>
      <c r="D777" s="20"/>
      <c r="E777" s="20"/>
      <c r="F777" s="20"/>
      <c r="G777" s="25"/>
      <c r="H777" s="29"/>
    </row>
    <row r="778" spans="1:8" ht="12.75">
      <c r="A778" t="s">
        <v>29</v>
      </c>
      <c r="B778" s="23"/>
      <c r="C778" s="23"/>
      <c r="D778" s="23"/>
      <c r="E778" s="23"/>
      <c r="F778" s="23"/>
      <c r="G778" s="26"/>
      <c r="H778" s="30"/>
    </row>
    <row r="780" spans="1:8" ht="12.75">
      <c r="A780" s="41" t="s">
        <v>149</v>
      </c>
      <c r="H780" s="10">
        <v>2023</v>
      </c>
    </row>
    <row r="781" spans="1:8" ht="12.75">
      <c r="A781" s="10" t="s">
        <v>73</v>
      </c>
      <c r="B781" s="9" t="s">
        <v>144</v>
      </c>
      <c r="C781" s="9" t="s">
        <v>58</v>
      </c>
      <c r="D781" s="9" t="s">
        <v>303</v>
      </c>
      <c r="E781" s="9" t="s">
        <v>78</v>
      </c>
      <c r="G781" s="9" t="s">
        <v>72</v>
      </c>
      <c r="H781" s="10">
        <f>H780-2009</f>
        <v>14</v>
      </c>
    </row>
    <row r="782" spans="1:8" ht="12.75">
      <c r="A782" s="9">
        <f>($B$92*(1-($E$129*(1+$E$131)^$F782)-$E$133*(1+$E$135)^($F782)))/((1-$E$129-$E$133))</f>
        <v>13575670.603026658</v>
      </c>
      <c r="B782" s="7">
        <f>E782-(B784+B789+B794)</f>
        <v>8013752.913189407</v>
      </c>
      <c r="C782" s="9">
        <f>$E$122</f>
        <v>700061.4217466069</v>
      </c>
      <c r="D782" s="9">
        <f>(C782*(1+$E$119)^F782)*($E$126*(1+$E$125)^$F782)</f>
        <v>1047911.1094211789</v>
      </c>
      <c r="E782" s="9">
        <f>(D782/$F$29)*$G$33</f>
        <v>23816979.67343628</v>
      </c>
      <c r="F782" s="8">
        <f>H781-1</f>
        <v>13</v>
      </c>
      <c r="H782" s="14" t="s">
        <v>49</v>
      </c>
    </row>
    <row r="783" spans="2:8" ht="12.75">
      <c r="B783" s="42" t="s">
        <v>35</v>
      </c>
      <c r="C783" s="7" t="s">
        <v>74</v>
      </c>
      <c r="D783" s="7" t="s">
        <v>43</v>
      </c>
      <c r="E783" s="7" t="s">
        <v>66</v>
      </c>
      <c r="F783" s="7" t="s">
        <v>75</v>
      </c>
      <c r="G783" s="7" t="s">
        <v>76</v>
      </c>
      <c r="H783" s="13" t="s">
        <v>67</v>
      </c>
    </row>
    <row r="784" spans="1:8" ht="12.75">
      <c r="A784" s="7" t="s">
        <v>26</v>
      </c>
      <c r="B784" s="7">
        <f>A782</f>
        <v>13575670.603026658</v>
      </c>
      <c r="C784" s="7">
        <f>B784/E784</f>
        <v>91.76014455496184</v>
      </c>
      <c r="D784" s="31">
        <f>C784*1000/(365*$F$29)</f>
        <v>35.493104096422975</v>
      </c>
      <c r="E784" s="7">
        <f>D782/$F$29</f>
        <v>147947.35414671453</v>
      </c>
      <c r="F784" s="7">
        <f>B784*H784</f>
        <v>3122404.2386961314</v>
      </c>
      <c r="G784" s="7">
        <f>F784/E784</f>
        <v>21.104833247641224</v>
      </c>
      <c r="H784" s="13">
        <f>H$56</f>
        <v>0.23</v>
      </c>
    </row>
    <row r="785" spans="1:8" ht="12.75">
      <c r="A785" t="s">
        <v>27</v>
      </c>
      <c r="B785" s="33">
        <f>B784*B$17</f>
        <v>814891.9834520736</v>
      </c>
      <c r="C785" s="33">
        <f>B785/E785</f>
        <v>91.76014455496184</v>
      </c>
      <c r="D785" s="33">
        <f>C785*1000/(365*$F$29)</f>
        <v>35.493104096422975</v>
      </c>
      <c r="E785" s="33">
        <f>B$4*E784</f>
        <v>8880.674582677619</v>
      </c>
      <c r="F785" s="33">
        <f>B785*H785</f>
        <v>0</v>
      </c>
      <c r="G785" s="33">
        <f>F785/E785</f>
        <v>0</v>
      </c>
      <c r="H785" s="36">
        <f>H$58</f>
        <v>0</v>
      </c>
    </row>
    <row r="786" spans="1:8" ht="12.75">
      <c r="A786" t="s">
        <v>28</v>
      </c>
      <c r="B786" s="20">
        <f>B784*B$18</f>
        <v>4293143.60352599</v>
      </c>
      <c r="C786" s="20">
        <f>B786/E786</f>
        <v>91.76014455496183</v>
      </c>
      <c r="D786" s="20">
        <f>C786*1000/(365*$F$29)</f>
        <v>35.49310409642297</v>
      </c>
      <c r="E786" s="20">
        <f>B$5*E784</f>
        <v>46786.58282795657</v>
      </c>
      <c r="F786" s="20">
        <f>B786*H786</f>
        <v>0</v>
      </c>
      <c r="G786" s="20">
        <f>F786/E786</f>
        <v>0</v>
      </c>
      <c r="H786" s="29">
        <f>H$59</f>
        <v>0</v>
      </c>
    </row>
    <row r="787" spans="1:8" ht="12.75">
      <c r="A787" t="s">
        <v>29</v>
      </c>
      <c r="B787" s="23">
        <f>B784*B$19</f>
        <v>8467635.016048593</v>
      </c>
      <c r="C787" s="23">
        <f>B787/E787</f>
        <v>91.76014455496185</v>
      </c>
      <c r="D787" s="23">
        <f>C787*1000/(365*$F$29)</f>
        <v>35.49310409642298</v>
      </c>
      <c r="E787" s="23">
        <f>B$6*E784</f>
        <v>92280.09673608032</v>
      </c>
      <c r="F787" s="23">
        <f>B787*H787</f>
        <v>0</v>
      </c>
      <c r="G787" s="23">
        <f>F787/E787</f>
        <v>0</v>
      </c>
      <c r="H787" s="30">
        <f>H$60</f>
        <v>0</v>
      </c>
    </row>
    <row r="788" ht="12.75">
      <c r="B788" s="42" t="s">
        <v>135</v>
      </c>
    </row>
    <row r="789" spans="1:8" ht="12.75">
      <c r="A789" s="7" t="s">
        <v>26</v>
      </c>
      <c r="B789" s="7">
        <f>E789*$F$26</f>
        <v>225054.40823354505</v>
      </c>
      <c r="C789" s="7">
        <f>B789/E789</f>
        <v>1.521179</v>
      </c>
      <c r="D789" s="31">
        <f>C789*1000/(365*$F$29)</f>
        <v>0.5883966820034078</v>
      </c>
      <c r="E789" s="7">
        <f>D782/$F$29</f>
        <v>147947.35414671453</v>
      </c>
      <c r="F789" s="7">
        <f>H789*B789</f>
        <v>11888724.16934525</v>
      </c>
      <c r="G789" s="8">
        <f>F789/E789</f>
        <v>80.357801854</v>
      </c>
      <c r="H789" s="8">
        <f>$F$27</f>
        <v>52.826</v>
      </c>
    </row>
    <row r="790" spans="1:8" ht="12.75">
      <c r="A790" t="s">
        <v>27</v>
      </c>
      <c r="B790" s="33">
        <f>B789*$F$17</f>
        <v>5615.7073648671585</v>
      </c>
      <c r="C790" s="33"/>
      <c r="D790" s="33"/>
      <c r="E790" s="33"/>
      <c r="F790" s="33"/>
      <c r="G790" s="32"/>
      <c r="H790" s="36"/>
    </row>
    <row r="791" spans="1:8" ht="12.75">
      <c r="A791" t="s">
        <v>28</v>
      </c>
      <c r="B791" s="20">
        <f>B789*$F$18</f>
        <v>44378.3445702</v>
      </c>
      <c r="C791" s="20"/>
      <c r="D791" s="20"/>
      <c r="E791" s="20"/>
      <c r="F791" s="20"/>
      <c r="G791" s="25"/>
      <c r="H791" s="29"/>
    </row>
    <row r="792" spans="1:8" ht="12.75">
      <c r="A792" t="s">
        <v>29</v>
      </c>
      <c r="B792" s="23">
        <f>B789*$F$19</f>
        <v>175060.35629847788</v>
      </c>
      <c r="C792" s="23"/>
      <c r="D792" s="23"/>
      <c r="E792" s="23"/>
      <c r="F792" s="23"/>
      <c r="G792" s="26"/>
      <c r="H792" s="30"/>
    </row>
    <row r="793" ht="12.75">
      <c r="B793" s="42" t="s">
        <v>30</v>
      </c>
    </row>
    <row r="794" spans="1:8" ht="12.75">
      <c r="A794" s="7" t="s">
        <v>26</v>
      </c>
      <c r="B794" s="7">
        <f>E794*$F$24</f>
        <v>2002501.7489866691</v>
      </c>
      <c r="C794" s="7">
        <f>B794/E794</f>
        <v>13.5352319109462</v>
      </c>
      <c r="D794" s="7">
        <f>C794*1000/(365*$F$29)</f>
        <v>5.235469031946528</v>
      </c>
      <c r="E794" s="7">
        <f>D782/$F$29</f>
        <v>147947.35414671453</v>
      </c>
      <c r="F794" s="7">
        <f>H794*B794</f>
        <v>8010006.9959466765</v>
      </c>
      <c r="G794" s="8">
        <f>F794/E794</f>
        <v>54.1409276437848</v>
      </c>
      <c r="H794" s="8">
        <f>$F$28</f>
        <v>4</v>
      </c>
    </row>
    <row r="795" spans="1:8" ht="12.75">
      <c r="A795" t="s">
        <v>27</v>
      </c>
      <c r="B795" s="33">
        <f>B794*$D$17</f>
        <v>74028.03600771612</v>
      </c>
      <c r="C795" s="33"/>
      <c r="D795" s="33"/>
      <c r="E795" s="33"/>
      <c r="F795" s="33"/>
      <c r="G795" s="32"/>
      <c r="H795" s="36"/>
    </row>
    <row r="796" spans="1:8" ht="12.75">
      <c r="A796" t="s">
        <v>28</v>
      </c>
      <c r="B796" s="20">
        <f>B794*$D$18</f>
        <v>390006.2777913064</v>
      </c>
      <c r="C796" s="20"/>
      <c r="D796" s="20"/>
      <c r="E796" s="20"/>
      <c r="F796" s="20"/>
      <c r="G796" s="25"/>
      <c r="H796" s="29"/>
    </row>
    <row r="797" spans="1:8" ht="12.75">
      <c r="A797" t="s">
        <v>29</v>
      </c>
      <c r="B797" s="23">
        <f>B794*$D$19</f>
        <v>1538467.4351876467</v>
      </c>
      <c r="C797" s="23"/>
      <c r="D797" s="23"/>
      <c r="E797" s="23"/>
      <c r="F797" s="23"/>
      <c r="G797" s="26"/>
      <c r="H797" s="30"/>
    </row>
    <row r="798" ht="12.75">
      <c r="B798" s="42" t="s">
        <v>143</v>
      </c>
    </row>
    <row r="799" spans="1:7" ht="12.75">
      <c r="A799" s="7" t="s">
        <v>26</v>
      </c>
      <c r="B799" s="7">
        <f>E782</f>
        <v>23816979.67343628</v>
      </c>
      <c r="C799" s="7">
        <f>B799/E799</f>
        <v>160.9828023677785</v>
      </c>
      <c r="D799" s="7">
        <f>C799*1000/(365*$F$29)</f>
        <v>62.26863950449697</v>
      </c>
      <c r="E799" s="7">
        <f>D782/$F$29</f>
        <v>147947.35414671453</v>
      </c>
      <c r="F799" s="7">
        <f>F784+F789+F794</f>
        <v>23021135.40398806</v>
      </c>
      <c r="G799" s="8">
        <f>F799/E799</f>
        <v>155.60356274542602</v>
      </c>
    </row>
    <row r="800" spans="1:8" ht="12.75">
      <c r="A800" t="s">
        <v>27</v>
      </c>
      <c r="B800" s="33"/>
      <c r="C800" s="33"/>
      <c r="D800" s="33"/>
      <c r="E800" s="33"/>
      <c r="F800" s="33"/>
      <c r="G800" s="32"/>
      <c r="H800" s="36"/>
    </row>
    <row r="801" spans="1:8" ht="12.75">
      <c r="A801" t="s">
        <v>28</v>
      </c>
      <c r="B801" s="20"/>
      <c r="C801" s="20"/>
      <c r="D801" s="20"/>
      <c r="E801" s="20"/>
      <c r="F801" s="20"/>
      <c r="G801" s="25"/>
      <c r="H801" s="29"/>
    </row>
    <row r="802" spans="1:8" ht="12.75">
      <c r="A802" t="s">
        <v>29</v>
      </c>
      <c r="B802" s="23"/>
      <c r="C802" s="23"/>
      <c r="D802" s="23"/>
      <c r="E802" s="23"/>
      <c r="F802" s="23"/>
      <c r="G802" s="26"/>
      <c r="H802" s="30"/>
    </row>
    <row r="804" spans="1:8" ht="12.75">
      <c r="A804" s="41" t="s">
        <v>149</v>
      </c>
      <c r="H804" s="14">
        <v>2023</v>
      </c>
    </row>
    <row r="805" spans="1:8" ht="12.75">
      <c r="A805" s="10" t="s">
        <v>73</v>
      </c>
      <c r="B805" s="9" t="s">
        <v>144</v>
      </c>
      <c r="C805" s="9" t="s">
        <v>58</v>
      </c>
      <c r="D805" s="9" t="s">
        <v>303</v>
      </c>
      <c r="E805" s="9" t="s">
        <v>78</v>
      </c>
      <c r="G805" s="9" t="s">
        <v>72</v>
      </c>
      <c r="H805" s="10">
        <f>H804-2009</f>
        <v>14</v>
      </c>
    </row>
    <row r="806" spans="1:8" ht="12.75">
      <c r="A806" s="9">
        <f>$B$92*(1-($E$137*(1+$E$139)^$F806)-($E$141*(1+$E$143)^$F806))/((1-($E$129*(1+$E$131)^$F806)-$E$133*(1+$E$135)^$F806))</f>
        <v>28066299.222364396</v>
      </c>
      <c r="B806" s="7">
        <f>E806-(B808+B813+B818)</f>
        <v>-4361846.753044888</v>
      </c>
      <c r="C806" s="9">
        <f>$E$122</f>
        <v>700061.4217466069</v>
      </c>
      <c r="D806" s="9">
        <f>(C806*(1+$E$119)^F806)*($E$126*(1+$E$125)^$F806)</f>
        <v>1047911.1094211789</v>
      </c>
      <c r="E806" s="9">
        <f>(D806/$F$29)*$G$33</f>
        <v>23816979.67343628</v>
      </c>
      <c r="F806" s="8">
        <f>H805-1</f>
        <v>13</v>
      </c>
      <c r="H806" s="14" t="s">
        <v>50</v>
      </c>
    </row>
    <row r="807" spans="2:8" ht="12.75">
      <c r="B807" s="42" t="s">
        <v>35</v>
      </c>
      <c r="C807" s="7" t="s">
        <v>74</v>
      </c>
      <c r="D807" s="7" t="s">
        <v>43</v>
      </c>
      <c r="E807" s="7" t="s">
        <v>66</v>
      </c>
      <c r="F807" s="7" t="s">
        <v>75</v>
      </c>
      <c r="G807" s="7" t="s">
        <v>76</v>
      </c>
      <c r="H807" s="13" t="s">
        <v>67</v>
      </c>
    </row>
    <row r="808" spans="1:8" ht="12.75">
      <c r="A808" s="7" t="s">
        <v>26</v>
      </c>
      <c r="B808" s="7">
        <f>A806</f>
        <v>28066299.222364396</v>
      </c>
      <c r="C808" s="7">
        <f>B808/E808</f>
        <v>189.70463773574463</v>
      </c>
      <c r="D808" s="31">
        <f>C808*1000/(365*$F$29)</f>
        <v>73.3783331247477</v>
      </c>
      <c r="E808" s="7">
        <f>D806/$F$29</f>
        <v>147947.35414671453</v>
      </c>
      <c r="F808" s="7">
        <f>B808*H808</f>
        <v>6455248.821143812</v>
      </c>
      <c r="G808" s="7">
        <f>F808/E808</f>
        <v>43.63206667922127</v>
      </c>
      <c r="H808" s="13">
        <f>H$56</f>
        <v>0.23</v>
      </c>
    </row>
    <row r="809" spans="1:8" ht="12.75">
      <c r="A809" t="s">
        <v>27</v>
      </c>
      <c r="B809" s="33">
        <f>B808*B$17</f>
        <v>1684705.1545558928</v>
      </c>
      <c r="C809" s="33">
        <f>B809/E809</f>
        <v>189.70463773574463</v>
      </c>
      <c r="D809" s="33">
        <f>C809*1000/(365*$F$29)</f>
        <v>73.3783331247477</v>
      </c>
      <c r="E809" s="33">
        <f>B$4*E808</f>
        <v>8880.674582677619</v>
      </c>
      <c r="F809" s="33">
        <f>B809*H809</f>
        <v>0</v>
      </c>
      <c r="G809" s="33">
        <f>F809/E809</f>
        <v>0</v>
      </c>
      <c r="H809" s="36">
        <f>H$58</f>
        <v>0</v>
      </c>
    </row>
    <row r="810" spans="1:8" ht="12.75">
      <c r="A810" t="s">
        <v>28</v>
      </c>
      <c r="B810" s="20">
        <f>B808*B$18</f>
        <v>8875631.746270912</v>
      </c>
      <c r="C810" s="20">
        <f>B810/E810</f>
        <v>189.70463773574463</v>
      </c>
      <c r="D810" s="20">
        <f>C810*1000/(365*$F$29)</f>
        <v>73.3783331247477</v>
      </c>
      <c r="E810" s="20">
        <f>B$5*E808</f>
        <v>46786.58282795657</v>
      </c>
      <c r="F810" s="20">
        <f>B810*H810</f>
        <v>0</v>
      </c>
      <c r="G810" s="20">
        <f>F810/E810</f>
        <v>0</v>
      </c>
      <c r="H810" s="29">
        <f>H$59</f>
        <v>0</v>
      </c>
    </row>
    <row r="811" spans="1:8" ht="12.75">
      <c r="A811" t="s">
        <v>29</v>
      </c>
      <c r="B811" s="23">
        <f>B808*B$19</f>
        <v>17505962.321537588</v>
      </c>
      <c r="C811" s="23">
        <f>B811/E811</f>
        <v>189.70463773574463</v>
      </c>
      <c r="D811" s="23">
        <f>C811*1000/(365*$F$29)</f>
        <v>73.3783331247477</v>
      </c>
      <c r="E811" s="23">
        <f>B$6*E808</f>
        <v>92280.09673608032</v>
      </c>
      <c r="F811" s="23">
        <f>B811*H811</f>
        <v>0</v>
      </c>
      <c r="G811" s="23">
        <f>F811/E811</f>
        <v>0</v>
      </c>
      <c r="H811" s="30">
        <f>H$60</f>
        <v>0</v>
      </c>
    </row>
    <row r="812" ht="12.75">
      <c r="B812" s="42" t="s">
        <v>135</v>
      </c>
    </row>
    <row r="813" spans="1:8" ht="12.75">
      <c r="A813" s="7" t="s">
        <v>26</v>
      </c>
      <c r="B813" s="7">
        <f>E813*$F$26*$E$145</f>
        <v>112527.20411677253</v>
      </c>
      <c r="C813" s="7">
        <f>B813/E813</f>
        <v>0.7605895</v>
      </c>
      <c r="D813" s="31">
        <f>C813*1000/(365*$F$29)</f>
        <v>0.2941983410017039</v>
      </c>
      <c r="E813" s="7">
        <f>D806/$F$29</f>
        <v>147947.35414671453</v>
      </c>
      <c r="F813" s="7">
        <f>H$165*B813</f>
        <v>5944362.084672625</v>
      </c>
      <c r="G813" s="8">
        <f>F813/E813</f>
        <v>40.178900927</v>
      </c>
      <c r="H813" s="8">
        <f>$F$27</f>
        <v>52.826</v>
      </c>
    </row>
    <row r="814" spans="1:8" ht="12.75">
      <c r="A814" t="s">
        <v>27</v>
      </c>
      <c r="B814" s="33">
        <f>B813*$F$17</f>
        <v>2807.8536824335793</v>
      </c>
      <c r="C814" s="33"/>
      <c r="D814" s="33"/>
      <c r="E814" s="33"/>
      <c r="F814" s="33"/>
      <c r="G814" s="32"/>
      <c r="H814" s="36"/>
    </row>
    <row r="815" spans="1:8" ht="12.75">
      <c r="A815" t="s">
        <v>28</v>
      </c>
      <c r="B815" s="20">
        <f>B813*$F$18</f>
        <v>22189.1722851</v>
      </c>
      <c r="C815" s="20"/>
      <c r="D815" s="20"/>
      <c r="E815" s="20"/>
      <c r="F815" s="20"/>
      <c r="G815" s="25"/>
      <c r="H815" s="29"/>
    </row>
    <row r="816" spans="1:8" ht="12.75">
      <c r="A816" t="s">
        <v>29</v>
      </c>
      <c r="B816" s="23">
        <f>B813*$F$19</f>
        <v>87530.17814923894</v>
      </c>
      <c r="C816" s="23"/>
      <c r="D816" s="23"/>
      <c r="E816" s="23"/>
      <c r="F816" s="23"/>
      <c r="G816" s="26"/>
      <c r="H816" s="30"/>
    </row>
    <row r="817" ht="12.75">
      <c r="B817" s="42" t="s">
        <v>30</v>
      </c>
    </row>
    <row r="818" spans="1:8" ht="12.75">
      <c r="A818" s="7" t="s">
        <v>26</v>
      </c>
      <c r="B818" s="7">
        <f>IF(E806&gt;=(B808+B813),(E806-(B808+B813)),0)</f>
        <v>0</v>
      </c>
      <c r="C818" s="7">
        <f>B818/E818</f>
        <v>0</v>
      </c>
      <c r="D818" s="7">
        <f>C818*1000/(365*$F$29)</f>
        <v>0</v>
      </c>
      <c r="E818" s="7">
        <f>D806/$F$29</f>
        <v>147947.35414671453</v>
      </c>
      <c r="F818" s="7">
        <f>H$170*B818</f>
        <v>0</v>
      </c>
      <c r="G818" s="8">
        <f>F818/E818</f>
        <v>0</v>
      </c>
      <c r="H818" s="8">
        <f>$F$28</f>
        <v>4</v>
      </c>
    </row>
    <row r="819" spans="1:8" ht="12.75">
      <c r="A819" t="s">
        <v>27</v>
      </c>
      <c r="B819" s="33">
        <f>B818*$D$17</f>
        <v>0</v>
      </c>
      <c r="C819" s="33"/>
      <c r="D819" s="33"/>
      <c r="E819" s="33"/>
      <c r="F819" s="33"/>
      <c r="G819" s="32"/>
      <c r="H819" s="36"/>
    </row>
    <row r="820" spans="1:8" ht="12.75">
      <c r="A820" t="s">
        <v>28</v>
      </c>
      <c r="B820" s="20">
        <f>B818*$D$18</f>
        <v>0</v>
      </c>
      <c r="C820" s="20"/>
      <c r="D820" s="20"/>
      <c r="E820" s="20"/>
      <c r="F820" s="20"/>
      <c r="G820" s="25"/>
      <c r="H820" s="29"/>
    </row>
    <row r="821" spans="1:8" ht="12.75">
      <c r="A821" t="s">
        <v>29</v>
      </c>
      <c r="B821" s="23">
        <f>B818*$D$19</f>
        <v>0</v>
      </c>
      <c r="C821" s="23"/>
      <c r="D821" s="23"/>
      <c r="E821" s="23"/>
      <c r="F821" s="23"/>
      <c r="G821" s="26"/>
      <c r="H821" s="30"/>
    </row>
    <row r="822" ht="12.75">
      <c r="B822" s="42" t="s">
        <v>143</v>
      </c>
    </row>
    <row r="823" spans="1:7" ht="12.75">
      <c r="A823" s="7" t="s">
        <v>26</v>
      </c>
      <c r="B823" s="7">
        <f>IF(E806&gt;=(B808+B813),E806,(B808+B813+B818))</f>
        <v>28178826.42648117</v>
      </c>
      <c r="C823" s="7">
        <f>B823/E823</f>
        <v>190.46522723574463</v>
      </c>
      <c r="D823" s="7">
        <f>C823*1000/(365*$F$29)</f>
        <v>73.67253146574942</v>
      </c>
      <c r="E823" s="7">
        <f>D806/$F$29</f>
        <v>147947.35414671453</v>
      </c>
      <c r="F823" s="7">
        <f>F808+F813+F818</f>
        <v>12399610.905816436</v>
      </c>
      <c r="G823" s="8">
        <f>F823/E823</f>
        <v>83.81096760622125</v>
      </c>
    </row>
    <row r="824" spans="1:8" ht="12.75">
      <c r="A824" t="s">
        <v>27</v>
      </c>
      <c r="B824" s="33"/>
      <c r="C824" s="33"/>
      <c r="D824" s="33"/>
      <c r="E824" s="33"/>
      <c r="F824" s="33"/>
      <c r="G824" s="32"/>
      <c r="H824" s="36"/>
    </row>
    <row r="825" spans="1:8" ht="12.75">
      <c r="A825" t="s">
        <v>28</v>
      </c>
      <c r="B825" s="20"/>
      <c r="C825" s="20"/>
      <c r="D825" s="20"/>
      <c r="E825" s="20"/>
      <c r="F825" s="20"/>
      <c r="G825" s="25"/>
      <c r="H825" s="29"/>
    </row>
    <row r="826" spans="1:8" ht="12.75">
      <c r="A826" t="s">
        <v>29</v>
      </c>
      <c r="B826" s="23"/>
      <c r="C826" s="23"/>
      <c r="D826" s="23"/>
      <c r="E826" s="23"/>
      <c r="F826" s="23"/>
      <c r="G826" s="26"/>
      <c r="H826" s="30"/>
    </row>
    <row r="828" spans="1:8" ht="12.75">
      <c r="A828" s="41" t="s">
        <v>149</v>
      </c>
      <c r="H828" s="10">
        <v>2024</v>
      </c>
    </row>
    <row r="829" spans="1:8" ht="12.75">
      <c r="A829" s="10" t="s">
        <v>73</v>
      </c>
      <c r="B829" s="9" t="s">
        <v>144</v>
      </c>
      <c r="C829" s="9" t="s">
        <v>58</v>
      </c>
      <c r="D829" s="9" t="s">
        <v>303</v>
      </c>
      <c r="E829" s="9" t="s">
        <v>78</v>
      </c>
      <c r="G829" s="9" t="s">
        <v>72</v>
      </c>
      <c r="H829" s="10">
        <f>H828-2009</f>
        <v>15</v>
      </c>
    </row>
    <row r="830" spans="1:8" ht="12.75">
      <c r="A830" s="9">
        <f>($B$92*(1-($E$129*(1+$E$131)^$F830)-$E$133*(1+$E$135)^($F830)))/((1-$E$129-$E$133))</f>
        <v>13530073.553269504</v>
      </c>
      <c r="B830" s="7">
        <f>E830-(B832+B837+B842)</f>
        <v>8772340.836345766</v>
      </c>
      <c r="C830" s="9">
        <f>$E$122</f>
        <v>700061.4217466069</v>
      </c>
      <c r="D830" s="9">
        <f>(C830*(1+$E$119)^F830)*($E$126*(1+$E$125)^$F830)</f>
        <v>1082518.3816621325</v>
      </c>
      <c r="E830" s="9">
        <f>(D830/$F$29)*$G$33</f>
        <v>24603535.60561944</v>
      </c>
      <c r="F830" s="8">
        <f>H829-1</f>
        <v>14</v>
      </c>
      <c r="H830" s="14" t="s">
        <v>49</v>
      </c>
    </row>
    <row r="831" spans="2:8" ht="12.75">
      <c r="B831" s="42" t="s">
        <v>35</v>
      </c>
      <c r="C831" s="7" t="s">
        <v>74</v>
      </c>
      <c r="D831" s="7" t="s">
        <v>43</v>
      </c>
      <c r="E831" s="7" t="s">
        <v>66</v>
      </c>
      <c r="F831" s="7" t="s">
        <v>75</v>
      </c>
      <c r="G831" s="7" t="s">
        <v>76</v>
      </c>
      <c r="H831" s="13" t="s">
        <v>67</v>
      </c>
    </row>
    <row r="832" spans="1:8" ht="12.75">
      <c r="A832" s="7" t="s">
        <v>26</v>
      </c>
      <c r="B832" s="7">
        <f>A830</f>
        <v>13530073.553269504</v>
      </c>
      <c r="C832" s="7">
        <f>B832/E832</f>
        <v>88.52829901203353</v>
      </c>
      <c r="D832" s="31">
        <f>C832*1000/(365*$F$29)</f>
        <v>34.24301637222581</v>
      </c>
      <c r="E832" s="7">
        <f>D830/$F$29</f>
        <v>152833.31662602464</v>
      </c>
      <c r="F832" s="7">
        <f>B832*H832</f>
        <v>3111916.917251986</v>
      </c>
      <c r="G832" s="7">
        <f>F832/E832</f>
        <v>20.36150877276771</v>
      </c>
      <c r="H832" s="13">
        <f>H$56</f>
        <v>0.23</v>
      </c>
    </row>
    <row r="833" spans="1:8" ht="12.75">
      <c r="A833" t="s">
        <v>27</v>
      </c>
      <c r="B833" s="33">
        <f>B832*B$17</f>
        <v>812154.9790415596</v>
      </c>
      <c r="C833" s="33">
        <f>B833/E833</f>
        <v>88.52829901203354</v>
      </c>
      <c r="D833" s="33">
        <f>C833*1000/(365*$F$29)</f>
        <v>34.24301637222582</v>
      </c>
      <c r="E833" s="33">
        <f>B$4*E832</f>
        <v>9173.958927316162</v>
      </c>
      <c r="F833" s="33">
        <f>B833*H833</f>
        <v>0</v>
      </c>
      <c r="G833" s="33">
        <f>F833/E833</f>
        <v>0</v>
      </c>
      <c r="H833" s="36">
        <f>H$58</f>
        <v>0</v>
      </c>
    </row>
    <row r="834" spans="1:8" ht="12.75">
      <c r="A834" t="s">
        <v>28</v>
      </c>
      <c r="B834" s="20">
        <f>B832*B$18</f>
        <v>4278724.081409643</v>
      </c>
      <c r="C834" s="20">
        <f>B834/E834</f>
        <v>88.52829901203353</v>
      </c>
      <c r="D834" s="20">
        <f>C834*1000/(365*$F$29)</f>
        <v>34.24301637222581</v>
      </c>
      <c r="E834" s="20">
        <f>B$5*E832</f>
        <v>48331.71007643604</v>
      </c>
      <c r="F834" s="20">
        <f>B834*H834</f>
        <v>0</v>
      </c>
      <c r="G834" s="20">
        <f>F834/E834</f>
        <v>0</v>
      </c>
      <c r="H834" s="29">
        <f>H$59</f>
        <v>0</v>
      </c>
    </row>
    <row r="835" spans="1:8" ht="12.75">
      <c r="A835" t="s">
        <v>29</v>
      </c>
      <c r="B835" s="23">
        <f>B832*B$19</f>
        <v>8439194.4928183</v>
      </c>
      <c r="C835" s="23">
        <f>B835/E835</f>
        <v>88.52829901203353</v>
      </c>
      <c r="D835" s="23">
        <f>C835*1000/(365*$F$29)</f>
        <v>34.24301637222581</v>
      </c>
      <c r="E835" s="23">
        <f>B$6*E832</f>
        <v>95327.64762227242</v>
      </c>
      <c r="F835" s="23">
        <f>B835*H835</f>
        <v>0</v>
      </c>
      <c r="G835" s="23">
        <f>F835/E835</f>
        <v>0</v>
      </c>
      <c r="H835" s="30">
        <f>H$60</f>
        <v>0</v>
      </c>
    </row>
    <row r="836" ht="12.75">
      <c r="B836" s="42" t="s">
        <v>135</v>
      </c>
    </row>
    <row r="837" spans="1:8" ht="12.75">
      <c r="A837" s="7" t="s">
        <v>26</v>
      </c>
      <c r="B837" s="7">
        <f>E837*$F$26</f>
        <v>232486.83175185954</v>
      </c>
      <c r="C837" s="7">
        <f>B837/E837</f>
        <v>1.521179</v>
      </c>
      <c r="D837" s="31">
        <f>C837*1000/(365*$F$29)</f>
        <v>0.5883966820034078</v>
      </c>
      <c r="E837" s="7">
        <f>D830/$F$29</f>
        <v>152833.31662602464</v>
      </c>
      <c r="F837" s="7">
        <f>H837*B837</f>
        <v>12281349.374123732</v>
      </c>
      <c r="G837" s="8">
        <f>F837/E837</f>
        <v>80.357801854</v>
      </c>
      <c r="H837" s="8">
        <f>$F$27</f>
        <v>52.826</v>
      </c>
    </row>
    <row r="838" spans="1:8" ht="12.75">
      <c r="A838" t="s">
        <v>27</v>
      </c>
      <c r="B838" s="33">
        <f>B837*$F$17</f>
        <v>5801.166142672113</v>
      </c>
      <c r="C838" s="33"/>
      <c r="D838" s="33"/>
      <c r="E838" s="33"/>
      <c r="F838" s="33"/>
      <c r="G838" s="32"/>
      <c r="H838" s="36"/>
    </row>
    <row r="839" spans="1:8" ht="12.75">
      <c r="A839" t="s">
        <v>28</v>
      </c>
      <c r="B839" s="20">
        <f>B837*$F$18</f>
        <v>45843.9397321714</v>
      </c>
      <c r="C839" s="20"/>
      <c r="D839" s="20"/>
      <c r="E839" s="20"/>
      <c r="F839" s="20"/>
      <c r="G839" s="25"/>
      <c r="H839" s="29"/>
    </row>
    <row r="840" spans="1:8" ht="12.75">
      <c r="A840" t="s">
        <v>29</v>
      </c>
      <c r="B840" s="23">
        <f>B837*$F$19</f>
        <v>180841.72587701603</v>
      </c>
      <c r="C840" s="23"/>
      <c r="D840" s="23"/>
      <c r="E840" s="23"/>
      <c r="F840" s="23"/>
      <c r="G840" s="26"/>
      <c r="H840" s="30"/>
    </row>
    <row r="841" ht="12.75">
      <c r="B841" s="42" t="s">
        <v>30</v>
      </c>
    </row>
    <row r="842" spans="1:8" ht="12.75">
      <c r="A842" s="7" t="s">
        <v>26</v>
      </c>
      <c r="B842" s="7">
        <f>E842*$F$24</f>
        <v>2068634.384252313</v>
      </c>
      <c r="C842" s="7">
        <f>B842/E842</f>
        <v>13.5352319109462</v>
      </c>
      <c r="D842" s="7">
        <f>C842*1000/(365*$F$29)</f>
        <v>5.235469031946528</v>
      </c>
      <c r="E842" s="7">
        <f>D830/$F$29</f>
        <v>152833.31662602464</v>
      </c>
      <c r="F842" s="7">
        <f>H842*B842</f>
        <v>8274537.537009252</v>
      </c>
      <c r="G842" s="8">
        <f>F842/E842</f>
        <v>54.1409276437848</v>
      </c>
      <c r="H842" s="8">
        <f>$F$28</f>
        <v>4</v>
      </c>
    </row>
    <row r="843" spans="1:8" ht="12.75">
      <c r="A843" t="s">
        <v>27</v>
      </c>
      <c r="B843" s="33">
        <f>B842*$D$17</f>
        <v>76472.81245158569</v>
      </c>
      <c r="C843" s="33"/>
      <c r="D843" s="33"/>
      <c r="E843" s="33"/>
      <c r="F843" s="33"/>
      <c r="G843" s="32"/>
      <c r="H843" s="36"/>
    </row>
    <row r="844" spans="1:8" ht="12.75">
      <c r="A844" t="s">
        <v>28</v>
      </c>
      <c r="B844" s="20">
        <f>B842*$D$18</f>
        <v>402886.2380378008</v>
      </c>
      <c r="C844" s="20"/>
      <c r="D844" s="20"/>
      <c r="E844" s="20"/>
      <c r="F844" s="20"/>
      <c r="G844" s="25"/>
      <c r="H844" s="29"/>
    </row>
    <row r="845" spans="1:8" ht="12.75">
      <c r="A845" t="s">
        <v>29</v>
      </c>
      <c r="B845" s="23">
        <f>B842*$D$19</f>
        <v>1589275.3337629267</v>
      </c>
      <c r="C845" s="23"/>
      <c r="D845" s="23"/>
      <c r="E845" s="23"/>
      <c r="F845" s="23"/>
      <c r="G845" s="26"/>
      <c r="H845" s="30"/>
    </row>
    <row r="846" ht="12.75">
      <c r="B846" s="42" t="s">
        <v>143</v>
      </c>
    </row>
    <row r="847" spans="1:7" ht="12.75">
      <c r="A847" s="7" t="s">
        <v>26</v>
      </c>
      <c r="B847" s="7">
        <f>E830</f>
        <v>24603535.60561944</v>
      </c>
      <c r="C847" s="7">
        <f>B847/E847</f>
        <v>160.9828023677785</v>
      </c>
      <c r="D847" s="7">
        <f>C847*1000/(365*$F$29)</f>
        <v>62.26863950449697</v>
      </c>
      <c r="E847" s="7">
        <f>D830/$F$29</f>
        <v>152833.31662602464</v>
      </c>
      <c r="F847" s="7">
        <f>F832+F837+F842</f>
        <v>23667803.82838497</v>
      </c>
      <c r="G847" s="8">
        <f>F847/E847</f>
        <v>154.86023827055251</v>
      </c>
    </row>
    <row r="848" spans="1:8" ht="12.75">
      <c r="A848" t="s">
        <v>27</v>
      </c>
      <c r="B848" s="33"/>
      <c r="C848" s="33"/>
      <c r="D848" s="33"/>
      <c r="E848" s="33"/>
      <c r="F848" s="33"/>
      <c r="G848" s="32"/>
      <c r="H848" s="36"/>
    </row>
    <row r="849" spans="1:8" ht="12.75">
      <c r="A849" t="s">
        <v>28</v>
      </c>
      <c r="B849" s="20"/>
      <c r="C849" s="20"/>
      <c r="D849" s="20"/>
      <c r="E849" s="20"/>
      <c r="F849" s="20"/>
      <c r="G849" s="25"/>
      <c r="H849" s="29"/>
    </row>
    <row r="850" spans="1:8" ht="12.75">
      <c r="A850" t="s">
        <v>29</v>
      </c>
      <c r="B850" s="23"/>
      <c r="C850" s="23"/>
      <c r="D850" s="23"/>
      <c r="E850" s="23"/>
      <c r="F850" s="23"/>
      <c r="G850" s="26"/>
      <c r="H850" s="30"/>
    </row>
    <row r="852" spans="1:8" ht="12.75">
      <c r="A852" s="41" t="s">
        <v>149</v>
      </c>
      <c r="H852" s="14">
        <v>2024</v>
      </c>
    </row>
    <row r="853" spans="1:8" ht="12.75">
      <c r="A853" s="10" t="s">
        <v>73</v>
      </c>
      <c r="B853" s="9" t="s">
        <v>144</v>
      </c>
      <c r="C853" s="9" t="s">
        <v>58</v>
      </c>
      <c r="D853" s="9" t="s">
        <v>303</v>
      </c>
      <c r="E853" s="9" t="s">
        <v>78</v>
      </c>
      <c r="G853" s="9" t="s">
        <v>72</v>
      </c>
      <c r="H853" s="10">
        <f>H852-2009</f>
        <v>15</v>
      </c>
    </row>
    <row r="854" spans="1:9" ht="12.75">
      <c r="A854" s="9">
        <f>$B$92*(1-($E$137*(1+$E$139)^$F854)-($E$141*(1+$E$143)^$F854))/((1-($E$129*(1+$E$131)^$F854)-$E$133*(1+$E$135)^$F854))</f>
        <v>28180284.118400868</v>
      </c>
      <c r="B854" s="7">
        <f>E854-(B856+B861+B866)</f>
        <v>-3692991.9286573566</v>
      </c>
      <c r="C854" s="9">
        <f>$E$122</f>
        <v>700061.4217466069</v>
      </c>
      <c r="D854" s="9">
        <f>(C854*(1+$E$119)^F854)*($E$126*(1+$E$125)^$F854)</f>
        <v>1082518.3816621325</v>
      </c>
      <c r="E854" s="9">
        <f>(D854/$F$29)*$G$33</f>
        <v>24603535.60561944</v>
      </c>
      <c r="F854" s="8">
        <f>H853-1</f>
        <v>14</v>
      </c>
      <c r="H854" s="14" t="s">
        <v>50</v>
      </c>
      <c r="I854" s="93"/>
    </row>
    <row r="855" spans="2:8" ht="12.75">
      <c r="B855" s="42" t="s">
        <v>35</v>
      </c>
      <c r="C855" s="7" t="s">
        <v>74</v>
      </c>
      <c r="D855" s="7" t="s">
        <v>43</v>
      </c>
      <c r="E855" s="7" t="s">
        <v>66</v>
      </c>
      <c r="F855" s="7" t="s">
        <v>75</v>
      </c>
      <c r="G855" s="7" t="s">
        <v>76</v>
      </c>
      <c r="H855" s="13" t="s">
        <v>67</v>
      </c>
    </row>
    <row r="856" spans="1:8" ht="12.75">
      <c r="A856" s="7" t="s">
        <v>26</v>
      </c>
      <c r="B856" s="7">
        <f>A854</f>
        <v>28180284.118400868</v>
      </c>
      <c r="C856" s="7">
        <f>B856/E856</f>
        <v>184.38573957899894</v>
      </c>
      <c r="D856" s="31">
        <f>C856*1000/(365*$F$29)</f>
        <v>71.32096707687089</v>
      </c>
      <c r="E856" s="7">
        <f>D854/$F$29</f>
        <v>152833.31662602464</v>
      </c>
      <c r="F856" s="7">
        <f>B856*H856</f>
        <v>6481465.3472322</v>
      </c>
      <c r="G856" s="7">
        <f>F856/E856</f>
        <v>42.40872010316976</v>
      </c>
      <c r="H856" s="13">
        <f>H$56</f>
        <v>0.23</v>
      </c>
    </row>
    <row r="857" spans="1:8" ht="12.75">
      <c r="A857" t="s">
        <v>27</v>
      </c>
      <c r="B857" s="33">
        <f>B856*B$17</f>
        <v>1691547.2016805504</v>
      </c>
      <c r="C857" s="33">
        <f>B857/E857</f>
        <v>184.38573957899894</v>
      </c>
      <c r="D857" s="33">
        <f>C857*1000/(365*$F$29)</f>
        <v>71.32096707687089</v>
      </c>
      <c r="E857" s="33">
        <f>B$4*E856</f>
        <v>9173.958927316162</v>
      </c>
      <c r="F857" s="33">
        <f>B857*H857</f>
        <v>0</v>
      </c>
      <c r="G857" s="33">
        <f>F857/E857</f>
        <v>0</v>
      </c>
      <c r="H857" s="36">
        <f>H$58</f>
        <v>0</v>
      </c>
    </row>
    <row r="858" spans="1:8" ht="12.75">
      <c r="A858" t="s">
        <v>28</v>
      </c>
      <c r="B858" s="20">
        <f>B856*B$18</f>
        <v>8911678.107561413</v>
      </c>
      <c r="C858" s="20">
        <f>B858/E858</f>
        <v>184.38573957899894</v>
      </c>
      <c r="D858" s="20">
        <f>C858*1000/(365*$F$29)</f>
        <v>71.32096707687089</v>
      </c>
      <c r="E858" s="20">
        <f>B$5*E856</f>
        <v>48331.71007643604</v>
      </c>
      <c r="F858" s="20">
        <f>B858*H858</f>
        <v>0</v>
      </c>
      <c r="G858" s="20">
        <f>F858/E858</f>
        <v>0</v>
      </c>
      <c r="H858" s="29">
        <f>H$59</f>
        <v>0</v>
      </c>
    </row>
    <row r="859" spans="1:8" ht="12.75">
      <c r="A859" t="s">
        <v>29</v>
      </c>
      <c r="B859" s="23">
        <f>B856*B$19</f>
        <v>17577058.8091589</v>
      </c>
      <c r="C859" s="23">
        <f>B859/E859</f>
        <v>184.38573957899894</v>
      </c>
      <c r="D859" s="23">
        <f>C859*1000/(365*$F$29)</f>
        <v>71.32096707687089</v>
      </c>
      <c r="E859" s="23">
        <f>B$6*E856</f>
        <v>95327.64762227242</v>
      </c>
      <c r="F859" s="23">
        <f>B859*H859</f>
        <v>0</v>
      </c>
      <c r="G859" s="23">
        <f>F859/E859</f>
        <v>0</v>
      </c>
      <c r="H859" s="30">
        <f>H$60</f>
        <v>0</v>
      </c>
    </row>
    <row r="860" ht="12.75">
      <c r="B860" s="42" t="s">
        <v>135</v>
      </c>
    </row>
    <row r="861" spans="1:8" ht="12.75">
      <c r="A861" s="7" t="s">
        <v>26</v>
      </c>
      <c r="B861" s="7">
        <f>E861*$F$26*$E$145</f>
        <v>116243.41587592977</v>
      </c>
      <c r="C861" s="7">
        <f>B861/E861</f>
        <v>0.7605895</v>
      </c>
      <c r="D861" s="31">
        <f>C861*1000/(365*$F$29)</f>
        <v>0.2941983410017039</v>
      </c>
      <c r="E861" s="7">
        <f>D854/$F$29</f>
        <v>152833.31662602464</v>
      </c>
      <c r="F861" s="7">
        <f>H$165*B861</f>
        <v>6140674.687061866</v>
      </c>
      <c r="G861" s="8">
        <f>F861/E861</f>
        <v>40.178900927</v>
      </c>
      <c r="H861" s="8">
        <f>$F$27</f>
        <v>52.826</v>
      </c>
    </row>
    <row r="862" spans="1:8" ht="12.75">
      <c r="A862" t="s">
        <v>27</v>
      </c>
      <c r="B862" s="33">
        <f>B861*$F$17</f>
        <v>2900.5830713360565</v>
      </c>
      <c r="C862" s="33"/>
      <c r="D862" s="33"/>
      <c r="E862" s="33"/>
      <c r="F862" s="33"/>
      <c r="G862" s="32"/>
      <c r="H862" s="36"/>
    </row>
    <row r="863" spans="1:8" ht="12.75">
      <c r="A863" t="s">
        <v>28</v>
      </c>
      <c r="B863" s="20">
        <f>B861*$F$18</f>
        <v>22921.9698660857</v>
      </c>
      <c r="C863" s="20"/>
      <c r="D863" s="20"/>
      <c r="E863" s="20"/>
      <c r="F863" s="20"/>
      <c r="G863" s="25"/>
      <c r="H863" s="29"/>
    </row>
    <row r="864" spans="1:8" ht="12.75">
      <c r="A864" t="s">
        <v>29</v>
      </c>
      <c r="B864" s="23">
        <f>B861*$F$19</f>
        <v>90420.86293850801</v>
      </c>
      <c r="C864" s="23"/>
      <c r="D864" s="23"/>
      <c r="E864" s="23"/>
      <c r="F864" s="23"/>
      <c r="G864" s="26"/>
      <c r="H864" s="30"/>
    </row>
    <row r="865" ht="12.75">
      <c r="B865" s="42" t="s">
        <v>30</v>
      </c>
    </row>
    <row r="866" spans="1:8" ht="12.75">
      <c r="A866" s="7" t="s">
        <v>26</v>
      </c>
      <c r="B866" s="7">
        <f>IF(E854&gt;=(B856+B861),(E854-(B856+B861)),0)</f>
        <v>0</v>
      </c>
      <c r="C866" s="7">
        <f>B866/E866</f>
        <v>0</v>
      </c>
      <c r="D866" s="7">
        <f>C866*1000/(365*$F$29)</f>
        <v>0</v>
      </c>
      <c r="E866" s="7">
        <f>D854/$F$29</f>
        <v>152833.31662602464</v>
      </c>
      <c r="F866" s="7">
        <f>H$170*B866</f>
        <v>0</v>
      </c>
      <c r="G866" s="8">
        <f>F866/E866</f>
        <v>0</v>
      </c>
      <c r="H866" s="8">
        <f>$F$28</f>
        <v>4</v>
      </c>
    </row>
    <row r="867" spans="1:8" ht="12.75">
      <c r="A867" t="s">
        <v>27</v>
      </c>
      <c r="B867" s="33">
        <f>B866*$D$17</f>
        <v>0</v>
      </c>
      <c r="C867" s="33"/>
      <c r="D867" s="33"/>
      <c r="E867" s="33"/>
      <c r="F867" s="33"/>
      <c r="G867" s="32"/>
      <c r="H867" s="36"/>
    </row>
    <row r="868" spans="1:8" ht="12.75">
      <c r="A868" t="s">
        <v>28</v>
      </c>
      <c r="B868" s="20">
        <f>B866*$D$18</f>
        <v>0</v>
      </c>
      <c r="C868" s="20"/>
      <c r="D868" s="20"/>
      <c r="E868" s="20"/>
      <c r="F868" s="20"/>
      <c r="G868" s="25"/>
      <c r="H868" s="29"/>
    </row>
    <row r="869" spans="1:8" ht="12.75">
      <c r="A869" t="s">
        <v>29</v>
      </c>
      <c r="B869" s="23">
        <f>B866*$D$19</f>
        <v>0</v>
      </c>
      <c r="C869" s="23"/>
      <c r="D869" s="23"/>
      <c r="E869" s="23"/>
      <c r="F869" s="23"/>
      <c r="G869" s="26"/>
      <c r="H869" s="30"/>
    </row>
    <row r="870" ht="12.75">
      <c r="B870" s="42" t="s">
        <v>143</v>
      </c>
    </row>
    <row r="871" spans="1:7" ht="12.75">
      <c r="A871" s="7" t="s">
        <v>26</v>
      </c>
      <c r="B871" s="7">
        <f>IF(E854&gt;=(B856+B861),E854,(B856+B861+B866))</f>
        <v>28296527.5342768</v>
      </c>
      <c r="C871" s="7">
        <f>B871/E871</f>
        <v>185.14632907899895</v>
      </c>
      <c r="D871" s="7">
        <f>C871*1000/(365*$F$29)</f>
        <v>71.6151654178726</v>
      </c>
      <c r="E871" s="7">
        <f>D854/$F$29</f>
        <v>152833.31662602464</v>
      </c>
      <c r="F871" s="7">
        <f>F856+F861+F866</f>
        <v>12622140.034294065</v>
      </c>
      <c r="G871" s="8">
        <f>F871/E871</f>
        <v>82.58762103016976</v>
      </c>
    </row>
    <row r="872" spans="1:8" ht="12.75">
      <c r="A872" t="s">
        <v>27</v>
      </c>
      <c r="B872" s="33"/>
      <c r="C872" s="33"/>
      <c r="D872" s="33"/>
      <c r="E872" s="33"/>
      <c r="F872" s="33"/>
      <c r="G872" s="32"/>
      <c r="H872" s="36"/>
    </row>
    <row r="873" spans="1:8" ht="12.75">
      <c r="A873" t="s">
        <v>28</v>
      </c>
      <c r="B873" s="20"/>
      <c r="C873" s="20"/>
      <c r="D873" s="20"/>
      <c r="E873" s="20"/>
      <c r="F873" s="20"/>
      <c r="G873" s="25"/>
      <c r="H873" s="29"/>
    </row>
    <row r="874" spans="1:8" ht="12.75">
      <c r="A874" t="s">
        <v>29</v>
      </c>
      <c r="B874" s="23"/>
      <c r="C874" s="23"/>
      <c r="D874" s="23"/>
      <c r="E874" s="23"/>
      <c r="F874" s="23"/>
      <c r="G874" s="26"/>
      <c r="H874" s="30"/>
    </row>
    <row r="876" spans="1:8" ht="12.75">
      <c r="A876" s="41" t="s">
        <v>149</v>
      </c>
      <c r="H876" s="10">
        <v>2025</v>
      </c>
    </row>
    <row r="877" spans="1:8" ht="12.75">
      <c r="A877" s="10" t="s">
        <v>73</v>
      </c>
      <c r="B877" s="9" t="s">
        <v>144</v>
      </c>
      <c r="C877" s="9" t="s">
        <v>58</v>
      </c>
      <c r="D877" s="9" t="s">
        <v>303</v>
      </c>
      <c r="E877" s="9" t="s">
        <v>78</v>
      </c>
      <c r="G877" s="9" t="s">
        <v>72</v>
      </c>
      <c r="H877" s="10">
        <f>H876-2009</f>
        <v>16</v>
      </c>
    </row>
    <row r="878" spans="1:8" ht="12.75">
      <c r="A878" s="9">
        <f>($B$92*(1-($E$129*(1+$E$131)^$F878)-$E$133*(1+$E$135)^($F878)))/((1-$E$129-$E$133))</f>
        <v>13484287.680307407</v>
      </c>
      <c r="B878" s="7">
        <f>E878-(B880+B885+B890)</f>
        <v>9554664.11164373</v>
      </c>
      <c r="C878" s="9">
        <f>$E$122</f>
        <v>700061.4217466069</v>
      </c>
      <c r="D878" s="9">
        <f>(C878*(1+$E$119)^F878)*($E$126*(1+$E$125)^$F878)</f>
        <v>1118268.5593281663</v>
      </c>
      <c r="E878" s="9">
        <f>(D878/$F$29)*$G$33</f>
        <v>25416067.553356852</v>
      </c>
      <c r="F878" s="8">
        <f>H877-1</f>
        <v>15</v>
      </c>
      <c r="H878" s="14" t="s">
        <v>49</v>
      </c>
    </row>
    <row r="879" spans="2:8" ht="12.75">
      <c r="B879" s="42" t="s">
        <v>35</v>
      </c>
      <c r="C879" s="7" t="s">
        <v>74</v>
      </c>
      <c r="D879" s="7" t="s">
        <v>43</v>
      </c>
      <c r="E879" s="7" t="s">
        <v>66</v>
      </c>
      <c r="F879" s="7" t="s">
        <v>75</v>
      </c>
      <c r="G879" s="7" t="s">
        <v>76</v>
      </c>
      <c r="H879" s="13" t="s">
        <v>67</v>
      </c>
    </row>
    <row r="880" spans="1:8" ht="12.75">
      <c r="A880" s="7" t="s">
        <v>26</v>
      </c>
      <c r="B880" s="7">
        <f>A878</f>
        <v>13484287.680307407</v>
      </c>
      <c r="C880" s="7">
        <f>B880/E880</f>
        <v>85.40811493170962</v>
      </c>
      <c r="D880" s="31">
        <f>C880*1000/(365*$F$29)</f>
        <v>33.036119642713736</v>
      </c>
      <c r="E880" s="7">
        <f>D878/$F$29</f>
        <v>157880.63805282596</v>
      </c>
      <c r="F880" s="7">
        <f>B880*H880</f>
        <v>3101386.1664707037</v>
      </c>
      <c r="G880" s="7">
        <f>F880/E880</f>
        <v>19.643866434293212</v>
      </c>
      <c r="H880" s="13">
        <f>H$56</f>
        <v>0.23</v>
      </c>
    </row>
    <row r="881" spans="1:8" ht="12.75">
      <c r="A881" t="s">
        <v>27</v>
      </c>
      <c r="B881" s="33">
        <f>B880*B$17</f>
        <v>809406.6403463169</v>
      </c>
      <c r="C881" s="33">
        <f>B881/E881</f>
        <v>85.40811493170962</v>
      </c>
      <c r="D881" s="33">
        <f>C881*1000/(365*$F$29)</f>
        <v>33.036119642713736</v>
      </c>
      <c r="E881" s="33">
        <f>B$4*E880</f>
        <v>9476.928989634063</v>
      </c>
      <c r="F881" s="33">
        <f>B881*H881</f>
        <v>0</v>
      </c>
      <c r="G881" s="33">
        <f>F881/E881</f>
        <v>0</v>
      </c>
      <c r="H881" s="36">
        <f>H$58</f>
        <v>0</v>
      </c>
    </row>
    <row r="882" spans="1:8" ht="12.75">
      <c r="A882" t="s">
        <v>28</v>
      </c>
      <c r="B882" s="20">
        <f>B880*B$18</f>
        <v>4264244.8462111065</v>
      </c>
      <c r="C882" s="20">
        <f>B882/E882</f>
        <v>85.40811493170962</v>
      </c>
      <c r="D882" s="20">
        <f>C882*1000/(365*$F$29)</f>
        <v>33.036119642713736</v>
      </c>
      <c r="E882" s="20">
        <f>B$5*E880</f>
        <v>49927.865163874645</v>
      </c>
      <c r="F882" s="20">
        <f>B882*H882</f>
        <v>0</v>
      </c>
      <c r="G882" s="20">
        <f>F882/E882</f>
        <v>0</v>
      </c>
      <c r="H882" s="29">
        <f>H$59</f>
        <v>0</v>
      </c>
    </row>
    <row r="883" spans="1:8" ht="12.75">
      <c r="A883" t="s">
        <v>29</v>
      </c>
      <c r="B883" s="23">
        <f>B880*B$19</f>
        <v>8410636.193749981</v>
      </c>
      <c r="C883" s="23">
        <f>B883/E883</f>
        <v>85.40811493170962</v>
      </c>
      <c r="D883" s="23">
        <f>C883*1000/(365*$F$29)</f>
        <v>33.036119642713736</v>
      </c>
      <c r="E883" s="23">
        <f>B$6*E880</f>
        <v>98475.84389931723</v>
      </c>
      <c r="F883" s="23">
        <f>B883*H883</f>
        <v>0</v>
      </c>
      <c r="G883" s="23">
        <f>F883/E883</f>
        <v>0</v>
      </c>
      <c r="H883" s="30">
        <f>H$60</f>
        <v>0</v>
      </c>
    </row>
    <row r="884" ht="12.75">
      <c r="B884" s="42" t="s">
        <v>135</v>
      </c>
    </row>
    <row r="885" spans="1:8" ht="12.75">
      <c r="A885" s="7" t="s">
        <v>26</v>
      </c>
      <c r="B885" s="7">
        <f>E885*$F$26</f>
        <v>240164.71111255974</v>
      </c>
      <c r="C885" s="7">
        <f>B885/E885</f>
        <v>1.521179</v>
      </c>
      <c r="D885" s="31">
        <f>C885*1000/(365*$F$29)</f>
        <v>0.5883966820034078</v>
      </c>
      <c r="E885" s="7">
        <f>D878/$F$29</f>
        <v>157880.63805282596</v>
      </c>
      <c r="F885" s="7">
        <f>H885*B885</f>
        <v>12686941.029232081</v>
      </c>
      <c r="G885" s="8">
        <f>F885/E885</f>
        <v>80.357801854</v>
      </c>
      <c r="H885" s="8">
        <f>$F$27</f>
        <v>52.826</v>
      </c>
    </row>
    <row r="886" spans="1:8" ht="12.75">
      <c r="A886" t="s">
        <v>27</v>
      </c>
      <c r="B886" s="33">
        <f>B885*$F$17</f>
        <v>5992.749698003775</v>
      </c>
      <c r="C886" s="33"/>
      <c r="D886" s="33"/>
      <c r="E886" s="33"/>
      <c r="F886" s="33"/>
      <c r="G886" s="32"/>
      <c r="H886" s="36"/>
    </row>
    <row r="887" spans="1:8" ht="12.75">
      <c r="A887" t="s">
        <v>28</v>
      </c>
      <c r="B887" s="20">
        <f>B885*$F$18</f>
        <v>47357.93618534904</v>
      </c>
      <c r="C887" s="20"/>
      <c r="D887" s="20"/>
      <c r="E887" s="20"/>
      <c r="F887" s="20"/>
      <c r="G887" s="25"/>
      <c r="H887" s="29"/>
    </row>
    <row r="888" spans="1:8" ht="12.75">
      <c r="A888" t="s">
        <v>29</v>
      </c>
      <c r="B888" s="23">
        <f>B885*$F$19</f>
        <v>186814.02522920692</v>
      </c>
      <c r="C888" s="23"/>
      <c r="D888" s="23"/>
      <c r="E888" s="23"/>
      <c r="F888" s="23"/>
      <c r="G888" s="26"/>
      <c r="H888" s="30"/>
    </row>
    <row r="889" ht="12.75">
      <c r="B889" s="42" t="s">
        <v>30</v>
      </c>
    </row>
    <row r="890" spans="1:8" ht="12.75">
      <c r="A890" s="7" t="s">
        <v>26</v>
      </c>
      <c r="B890" s="7">
        <f>E890*$F$24</f>
        <v>2136951.050293157</v>
      </c>
      <c r="C890" s="7">
        <f>B890/E890</f>
        <v>13.5352319109462</v>
      </c>
      <c r="D890" s="7">
        <f>C890*1000/(365*$F$29)</f>
        <v>5.235469031946528</v>
      </c>
      <c r="E890" s="7">
        <f>D878/$F$29</f>
        <v>157880.63805282596</v>
      </c>
      <c r="F890" s="7">
        <f>H890*B890</f>
        <v>8547804.201172628</v>
      </c>
      <c r="G890" s="8">
        <f>F890/E890</f>
        <v>54.1409276437848</v>
      </c>
      <c r="H890" s="8">
        <f>$F$28</f>
        <v>4</v>
      </c>
    </row>
    <row r="891" spans="1:8" ht="12.75">
      <c r="A891" t="s">
        <v>27</v>
      </c>
      <c r="B891" s="33">
        <f>B890*$D$17</f>
        <v>78998.32765583352</v>
      </c>
      <c r="C891" s="33"/>
      <c r="D891" s="33"/>
      <c r="E891" s="33"/>
      <c r="F891" s="33"/>
      <c r="G891" s="32"/>
      <c r="H891" s="36"/>
    </row>
    <row r="892" spans="1:8" ht="12.75">
      <c r="A892" t="s">
        <v>28</v>
      </c>
      <c r="B892" s="20">
        <f>B890*$D$18</f>
        <v>416191.5590679492</v>
      </c>
      <c r="C892" s="20"/>
      <c r="D892" s="20"/>
      <c r="E892" s="20"/>
      <c r="F892" s="20"/>
      <c r="G892" s="25"/>
      <c r="H892" s="29"/>
    </row>
    <row r="893" spans="1:8" ht="12.75">
      <c r="A893" t="s">
        <v>29</v>
      </c>
      <c r="B893" s="23">
        <f>B890*$D$19</f>
        <v>1641761.1635693742</v>
      </c>
      <c r="C893" s="23"/>
      <c r="D893" s="23"/>
      <c r="E893" s="23"/>
      <c r="F893" s="23"/>
      <c r="G893" s="26"/>
      <c r="H893" s="30"/>
    </row>
    <row r="894" ht="12.75">
      <c r="B894" s="42" t="s">
        <v>143</v>
      </c>
    </row>
    <row r="895" spans="1:7" ht="12.75">
      <c r="A895" s="7" t="s">
        <v>26</v>
      </c>
      <c r="B895" s="7">
        <f>E878</f>
        <v>25416067.553356852</v>
      </c>
      <c r="C895" s="7">
        <f>B895/E895</f>
        <v>160.9828023677785</v>
      </c>
      <c r="D895" s="7">
        <f>C895*1000/(365*$F$29)</f>
        <v>62.26863950449697</v>
      </c>
      <c r="E895" s="7">
        <f>D878/$F$29</f>
        <v>157880.63805282596</v>
      </c>
      <c r="F895" s="7">
        <f>F880+F885+F890</f>
        <v>24336131.39687541</v>
      </c>
      <c r="G895" s="8">
        <f>F895/E895</f>
        <v>154.142595932078</v>
      </c>
    </row>
    <row r="896" spans="1:8" ht="12.75">
      <c r="A896" t="s">
        <v>27</v>
      </c>
      <c r="B896" s="33"/>
      <c r="C896" s="33"/>
      <c r="D896" s="33"/>
      <c r="E896" s="33"/>
      <c r="F896" s="33"/>
      <c r="G896" s="32"/>
      <c r="H896" s="36"/>
    </row>
    <row r="897" spans="1:8" ht="12.75">
      <c r="A897" t="s">
        <v>28</v>
      </c>
      <c r="B897" s="20"/>
      <c r="C897" s="20"/>
      <c r="D897" s="20"/>
      <c r="E897" s="20"/>
      <c r="F897" s="20"/>
      <c r="G897" s="25"/>
      <c r="H897" s="29"/>
    </row>
    <row r="898" spans="1:8" ht="12.75">
      <c r="A898" t="s">
        <v>29</v>
      </c>
      <c r="B898" s="23"/>
      <c r="C898" s="23"/>
      <c r="D898" s="23"/>
      <c r="E898" s="23"/>
      <c r="F898" s="23"/>
      <c r="G898" s="26"/>
      <c r="H898" s="30"/>
    </row>
    <row r="900" spans="1:8" ht="12.75">
      <c r="A900" s="41" t="s">
        <v>149</v>
      </c>
      <c r="H900" s="14">
        <v>2025</v>
      </c>
    </row>
    <row r="901" spans="1:8" ht="12.75">
      <c r="A901" s="10" t="s">
        <v>73</v>
      </c>
      <c r="B901" s="9" t="s">
        <v>144</v>
      </c>
      <c r="C901" s="9" t="s">
        <v>58</v>
      </c>
      <c r="D901" s="9" t="s">
        <v>303</v>
      </c>
      <c r="E901" s="9" t="s">
        <v>78</v>
      </c>
      <c r="G901" s="9" t="s">
        <v>72</v>
      </c>
      <c r="H901" s="10">
        <f>H900-2009</f>
        <v>16</v>
      </c>
    </row>
    <row r="902" spans="1:8" ht="12.75">
      <c r="A902" s="9">
        <f>$B$92*(1-($E$137*(1+$E$139)^$F902)-($E$141*(1+$E$143)^$F902))/((1-($E$129*(1+$E$131)^$F902)-$E$133*(1+$E$135)^$F902))</f>
        <v>28295315.340931945</v>
      </c>
      <c r="B902" s="7">
        <f>E902-(B904+B909+B914)</f>
        <v>-2999330.1431313716</v>
      </c>
      <c r="C902" s="9">
        <f>$E$122</f>
        <v>700061.4217466069</v>
      </c>
      <c r="D902" s="9">
        <f>(C902*(1+$E$119)^F902)*($E$126*(1+$E$125)^$F902)</f>
        <v>1118268.5593281663</v>
      </c>
      <c r="E902" s="9">
        <f>(D902/$F$29)*$G$33</f>
        <v>25416067.553356852</v>
      </c>
      <c r="F902" s="8">
        <f>H901-1</f>
        <v>15</v>
      </c>
      <c r="H902" s="14" t="s">
        <v>50</v>
      </c>
    </row>
    <row r="903" spans="2:8" ht="12.75">
      <c r="B903" s="42" t="s">
        <v>35</v>
      </c>
      <c r="C903" s="7" t="s">
        <v>74</v>
      </c>
      <c r="D903" s="7" t="s">
        <v>43</v>
      </c>
      <c r="E903" s="7" t="s">
        <v>66</v>
      </c>
      <c r="F903" s="7" t="s">
        <v>75</v>
      </c>
      <c r="G903" s="7" t="s">
        <v>76</v>
      </c>
      <c r="H903" s="13" t="s">
        <v>67</v>
      </c>
    </row>
    <row r="904" spans="1:8" ht="12.75">
      <c r="A904" s="7" t="s">
        <v>26</v>
      </c>
      <c r="B904" s="7">
        <f>A902</f>
        <v>28295315.340931945</v>
      </c>
      <c r="C904" s="7">
        <f>B904/E904</f>
        <v>179.2196667679066</v>
      </c>
      <c r="D904" s="31">
        <f>C904*1000/(365*$F$29)</f>
        <v>69.32271433933326</v>
      </c>
      <c r="E904" s="7">
        <f>D902/$F$29</f>
        <v>157880.63805282596</v>
      </c>
      <c r="F904" s="7">
        <f>B904*H904</f>
        <v>6507922.528414347</v>
      </c>
      <c r="G904" s="7">
        <f>F904/E904</f>
        <v>41.22052335661852</v>
      </c>
      <c r="H904" s="13">
        <f>H$56</f>
        <v>0.23</v>
      </c>
    </row>
    <row r="905" spans="1:8" ht="12.75">
      <c r="A905" t="s">
        <v>27</v>
      </c>
      <c r="B905" s="33">
        <f>B904*B$17</f>
        <v>1698452.0555053307</v>
      </c>
      <c r="C905" s="33">
        <f>B905/E905</f>
        <v>179.2196667679066</v>
      </c>
      <c r="D905" s="33">
        <f>C905*1000/(365*$F$29)</f>
        <v>69.32271433933326</v>
      </c>
      <c r="E905" s="33">
        <f>B$4*E904</f>
        <v>9476.928989634063</v>
      </c>
      <c r="F905" s="33">
        <f>B905*H905</f>
        <v>0</v>
      </c>
      <c r="G905" s="33">
        <f>F905/E905</f>
        <v>0</v>
      </c>
      <c r="H905" s="36">
        <f>H$58</f>
        <v>0</v>
      </c>
    </row>
    <row r="906" spans="1:8" ht="12.75">
      <c r="A906" t="s">
        <v>28</v>
      </c>
      <c r="B906" s="20">
        <f>B904*B$18</f>
        <v>8948055.357102588</v>
      </c>
      <c r="C906" s="20">
        <f>B906/E906</f>
        <v>179.21966676790663</v>
      </c>
      <c r="D906" s="20">
        <f>C906*1000/(365*$F$29)</f>
        <v>69.32271433933327</v>
      </c>
      <c r="E906" s="20">
        <f>B$5*E904</f>
        <v>49927.865163874645</v>
      </c>
      <c r="F906" s="20">
        <f>B906*H906</f>
        <v>0</v>
      </c>
      <c r="G906" s="20">
        <f>F906/E906</f>
        <v>0</v>
      </c>
      <c r="H906" s="29">
        <f>H$59</f>
        <v>0</v>
      </c>
    </row>
    <row r="907" spans="1:8" ht="12.75">
      <c r="A907" t="s">
        <v>29</v>
      </c>
      <c r="B907" s="23">
        <f>B904*B$19</f>
        <v>17648807.928324025</v>
      </c>
      <c r="C907" s="23">
        <f>B907/E907</f>
        <v>179.21966676790663</v>
      </c>
      <c r="D907" s="23">
        <f>C907*1000/(365*$F$29)</f>
        <v>69.32271433933327</v>
      </c>
      <c r="E907" s="23">
        <f>B$6*E904</f>
        <v>98475.84389931723</v>
      </c>
      <c r="F907" s="23">
        <f>B907*H907</f>
        <v>0</v>
      </c>
      <c r="G907" s="23">
        <f>F907/E907</f>
        <v>0</v>
      </c>
      <c r="H907" s="30">
        <f>H$60</f>
        <v>0</v>
      </c>
    </row>
    <row r="908" ht="12.75">
      <c r="B908" s="42" t="s">
        <v>135</v>
      </c>
    </row>
    <row r="909" spans="1:8" ht="12.75">
      <c r="A909" s="7" t="s">
        <v>26</v>
      </c>
      <c r="B909" s="7">
        <f>E909*$F$26*$E$145</f>
        <v>120082.35555627987</v>
      </c>
      <c r="C909" s="7">
        <f>B909/E909</f>
        <v>0.7605895</v>
      </c>
      <c r="D909" s="31">
        <f>C909*1000/(365*$F$29)</f>
        <v>0.2941983410017039</v>
      </c>
      <c r="E909" s="7">
        <f>D902/$F$29</f>
        <v>157880.63805282596</v>
      </c>
      <c r="F909" s="7">
        <f>H$165*B909</f>
        <v>6343470.5146160405</v>
      </c>
      <c r="G909" s="8">
        <f>F909/E909</f>
        <v>40.178900927</v>
      </c>
      <c r="H909" s="8">
        <f>$F$27</f>
        <v>52.826</v>
      </c>
    </row>
    <row r="910" spans="1:8" ht="12.75">
      <c r="A910" t="s">
        <v>27</v>
      </c>
      <c r="B910" s="33">
        <f>B909*$F$17</f>
        <v>2996.3748490018875</v>
      </c>
      <c r="C910" s="33"/>
      <c r="D910" s="33"/>
      <c r="E910" s="33"/>
      <c r="F910" s="33"/>
      <c r="G910" s="32"/>
      <c r="H910" s="36"/>
    </row>
    <row r="911" spans="1:8" ht="12.75">
      <c r="A911" t="s">
        <v>28</v>
      </c>
      <c r="B911" s="20">
        <f>B909*$F$18</f>
        <v>23678.96809267452</v>
      </c>
      <c r="C911" s="20"/>
      <c r="D911" s="20"/>
      <c r="E911" s="20"/>
      <c r="F911" s="20"/>
      <c r="G911" s="25"/>
      <c r="H911" s="29"/>
    </row>
    <row r="912" spans="1:8" ht="12.75">
      <c r="A912" t="s">
        <v>29</v>
      </c>
      <c r="B912" s="23">
        <f>B909*$F$19</f>
        <v>93407.01261460346</v>
      </c>
      <c r="C912" s="23"/>
      <c r="D912" s="23"/>
      <c r="E912" s="23"/>
      <c r="F912" s="23"/>
      <c r="G912" s="26"/>
      <c r="H912" s="30"/>
    </row>
    <row r="913" ht="12.75">
      <c r="B913" s="42" t="s">
        <v>30</v>
      </c>
    </row>
    <row r="914" spans="1:8" ht="12.75">
      <c r="A914" s="7" t="s">
        <v>26</v>
      </c>
      <c r="B914" s="7">
        <f>IF(E902&gt;=(B904+B909),(E902-(B904+B909)),0)</f>
        <v>0</v>
      </c>
      <c r="C914" s="7">
        <f>B914/E914</f>
        <v>0</v>
      </c>
      <c r="D914" s="7">
        <f>C914*1000/(365*$F$29)</f>
        <v>0</v>
      </c>
      <c r="E914" s="7">
        <f>D902/$F$29</f>
        <v>157880.63805282596</v>
      </c>
      <c r="F914" s="7">
        <f>H$170*B914</f>
        <v>0</v>
      </c>
      <c r="G914" s="8">
        <f>F914/E914</f>
        <v>0</v>
      </c>
      <c r="H914" s="8">
        <f>$F$28</f>
        <v>4</v>
      </c>
    </row>
    <row r="915" spans="1:8" ht="12.75">
      <c r="A915" t="s">
        <v>27</v>
      </c>
      <c r="B915" s="33">
        <f>B914*$D$17</f>
        <v>0</v>
      </c>
      <c r="C915" s="33"/>
      <c r="D915" s="33"/>
      <c r="E915" s="33"/>
      <c r="F915" s="33"/>
      <c r="G915" s="32"/>
      <c r="H915" s="36"/>
    </row>
    <row r="916" spans="1:8" ht="12.75">
      <c r="A916" t="s">
        <v>28</v>
      </c>
      <c r="B916" s="20">
        <f>B914*$D$18</f>
        <v>0</v>
      </c>
      <c r="C916" s="20"/>
      <c r="D916" s="20"/>
      <c r="E916" s="20"/>
      <c r="F916" s="20"/>
      <c r="G916" s="25"/>
      <c r="H916" s="29"/>
    </row>
    <row r="917" spans="1:8" ht="12.75">
      <c r="A917" t="s">
        <v>29</v>
      </c>
      <c r="B917" s="23">
        <f>B914*$D$19</f>
        <v>0</v>
      </c>
      <c r="C917" s="23"/>
      <c r="D917" s="23"/>
      <c r="E917" s="23"/>
      <c r="F917" s="23"/>
      <c r="G917" s="26"/>
      <c r="H917" s="30"/>
    </row>
    <row r="918" ht="12.75">
      <c r="B918" s="42" t="s">
        <v>143</v>
      </c>
    </row>
    <row r="919" spans="1:7" ht="12.75">
      <c r="A919" s="7" t="s">
        <v>26</v>
      </c>
      <c r="B919" s="7">
        <f>IF(E902&gt;=(B904+B909),E902,(B904+B909+B914))</f>
        <v>28415397.696488224</v>
      </c>
      <c r="C919" s="7">
        <f>B919/E919</f>
        <v>179.9802562679066</v>
      </c>
      <c r="D919" s="7">
        <f>C919*1000/(365*$F$29)</f>
        <v>69.61691268033498</v>
      </c>
      <c r="E919" s="7">
        <f>D902/$F$29</f>
        <v>157880.63805282596</v>
      </c>
      <c r="F919" s="7">
        <f>F904+F909+F914</f>
        <v>12851393.043030389</v>
      </c>
      <c r="G919" s="8">
        <f>F919/E919</f>
        <v>81.39942428361853</v>
      </c>
    </row>
    <row r="920" spans="1:8" ht="12.75">
      <c r="A920" t="s">
        <v>27</v>
      </c>
      <c r="B920" s="33"/>
      <c r="C920" s="33"/>
      <c r="D920" s="33"/>
      <c r="E920" s="33"/>
      <c r="F920" s="33"/>
      <c r="G920" s="32"/>
      <c r="H920" s="36"/>
    </row>
    <row r="921" spans="1:8" ht="12.75">
      <c r="A921" t="s">
        <v>28</v>
      </c>
      <c r="B921" s="20"/>
      <c r="C921" s="20"/>
      <c r="D921" s="20"/>
      <c r="E921" s="20"/>
      <c r="F921" s="20"/>
      <c r="G921" s="25"/>
      <c r="H921" s="29"/>
    </row>
    <row r="922" spans="1:8" ht="12.75">
      <c r="A922" t="s">
        <v>29</v>
      </c>
      <c r="B922" s="23"/>
      <c r="C922" s="23"/>
      <c r="D922" s="23"/>
      <c r="E922" s="23"/>
      <c r="F922" s="23"/>
      <c r="G922" s="26"/>
      <c r="H922" s="30"/>
    </row>
    <row r="924" spans="1:8" ht="12.75">
      <c r="A924" s="41" t="s">
        <v>149</v>
      </c>
      <c r="H924" s="10">
        <v>2026</v>
      </c>
    </row>
    <row r="925" spans="1:8" ht="12.75">
      <c r="A925" s="10" t="s">
        <v>73</v>
      </c>
      <c r="B925" s="9" t="s">
        <v>144</v>
      </c>
      <c r="C925" s="9" t="s">
        <v>58</v>
      </c>
      <c r="D925" s="9" t="s">
        <v>303</v>
      </c>
      <c r="E925" s="9" t="s">
        <v>78</v>
      </c>
      <c r="G925" s="9" t="s">
        <v>72</v>
      </c>
      <c r="H925" s="10">
        <f>H924-2009</f>
        <v>17</v>
      </c>
    </row>
    <row r="926" spans="1:8" ht="12.75">
      <c r="A926" s="9">
        <f>($B$92*(1-($E$129*(1+$E$131)^$F926)-$E$133*(1+$E$135)^($F926)))/((1-$E$129-$E$133))</f>
        <v>13438312.589735257</v>
      </c>
      <c r="B926" s="7">
        <f>E926-(B928+B933+B938)</f>
        <v>10361500.757783</v>
      </c>
      <c r="C926" s="9">
        <f>$E$122</f>
        <v>700061.4217466069</v>
      </c>
      <c r="D926" s="9">
        <f>(C926*(1+$E$119)^F926)*($E$126*(1+$E$125)^$F926)</f>
        <v>1155199.3868795084</v>
      </c>
      <c r="E926" s="9">
        <f>(D926/$F$29)*$G$33</f>
        <v>26255433.374756854</v>
      </c>
      <c r="F926" s="8">
        <f>H925-1</f>
        <v>16</v>
      </c>
      <c r="H926" s="14" t="s">
        <v>49</v>
      </c>
    </row>
    <row r="927" spans="2:8" ht="12.75">
      <c r="B927" s="42" t="s">
        <v>35</v>
      </c>
      <c r="C927" s="7" t="s">
        <v>74</v>
      </c>
      <c r="D927" s="7" t="s">
        <v>43</v>
      </c>
      <c r="E927" s="7" t="s">
        <v>66</v>
      </c>
      <c r="F927" s="7" t="s">
        <v>75</v>
      </c>
      <c r="G927" s="7" t="s">
        <v>76</v>
      </c>
      <c r="H927" s="13" t="s">
        <v>67</v>
      </c>
    </row>
    <row r="928" spans="1:8" ht="12.75">
      <c r="A928" s="7" t="s">
        <v>26</v>
      </c>
      <c r="B928" s="7">
        <f>A926</f>
        <v>13438312.589735257</v>
      </c>
      <c r="C928" s="7">
        <f>B928/E928</f>
        <v>82.39579171714261</v>
      </c>
      <c r="D928" s="31">
        <f>C928*1000/(365*$F$29)</f>
        <v>31.870943825421318</v>
      </c>
      <c r="E928" s="7">
        <f>D926/$F$29</f>
        <v>163094.6473075686</v>
      </c>
      <c r="F928" s="7">
        <f>B928*H928</f>
        <v>3090811.895639109</v>
      </c>
      <c r="G928" s="7">
        <f>F928/E928</f>
        <v>18.9510320949428</v>
      </c>
      <c r="H928" s="13">
        <f>H$56</f>
        <v>0.23</v>
      </c>
    </row>
    <row r="929" spans="1:8" ht="12.75">
      <c r="A929" t="s">
        <v>27</v>
      </c>
      <c r="B929" s="33">
        <f>B928*B$17</f>
        <v>806646.9436918197</v>
      </c>
      <c r="C929" s="33">
        <f>B929/E929</f>
        <v>82.39579171714261</v>
      </c>
      <c r="D929" s="33">
        <f>C929*1000/(365*$F$29)</f>
        <v>31.870943825421318</v>
      </c>
      <c r="E929" s="33">
        <f>B$4*E928</f>
        <v>9789.904640530265</v>
      </c>
      <c r="F929" s="33">
        <f>B929*H929</f>
        <v>0</v>
      </c>
      <c r="G929" s="33">
        <f>F929/E929</f>
        <v>0</v>
      </c>
      <c r="H929" s="36">
        <f>H$58</f>
        <v>0</v>
      </c>
    </row>
    <row r="930" spans="1:8" ht="12.75">
      <c r="A930" t="s">
        <v>28</v>
      </c>
      <c r="B930" s="20">
        <f>B928*B$18</f>
        <v>4249705.7732044775</v>
      </c>
      <c r="C930" s="20">
        <f>B930/E930</f>
        <v>82.39579171714261</v>
      </c>
      <c r="D930" s="20">
        <f>C930*1000/(365*$F$29)</f>
        <v>31.870943825421318</v>
      </c>
      <c r="E930" s="20">
        <f>B$5*E928</f>
        <v>51576.73328503642</v>
      </c>
      <c r="F930" s="20">
        <f>B930*H930</f>
        <v>0</v>
      </c>
      <c r="G930" s="20">
        <f>F930/E930</f>
        <v>0</v>
      </c>
      <c r="H930" s="29">
        <f>H$59</f>
        <v>0</v>
      </c>
    </row>
    <row r="931" spans="1:8" ht="12.75">
      <c r="A931" t="s">
        <v>29</v>
      </c>
      <c r="B931" s="23">
        <f>B928*B$19</f>
        <v>8381959.872838958</v>
      </c>
      <c r="C931" s="23">
        <f>B931/E931</f>
        <v>82.39579171714261</v>
      </c>
      <c r="D931" s="23">
        <f>C931*1000/(365*$F$29)</f>
        <v>31.870943825421318</v>
      </c>
      <c r="E931" s="23">
        <f>B$6*E928</f>
        <v>101728.0093820019</v>
      </c>
      <c r="F931" s="23">
        <f>B931*H931</f>
        <v>0</v>
      </c>
      <c r="G931" s="23">
        <f>F931/E931</f>
        <v>0</v>
      </c>
      <c r="H931" s="30">
        <f>H$60</f>
        <v>0</v>
      </c>
    </row>
    <row r="932" ht="12.75">
      <c r="B932" s="42" t="s">
        <v>135</v>
      </c>
    </row>
    <row r="933" spans="1:8" ht="12.75">
      <c r="A933" s="7" t="s">
        <v>26</v>
      </c>
      <c r="B933" s="7">
        <f>E933*$F$26</f>
        <v>248096.15249667992</v>
      </c>
      <c r="C933" s="7">
        <f>B933/E933</f>
        <v>1.521179</v>
      </c>
      <c r="D933" s="31">
        <f>C933*1000/(365*$F$29)</f>
        <v>0.5883966820034078</v>
      </c>
      <c r="E933" s="7">
        <f>D926/$F$29</f>
        <v>163094.6473075686</v>
      </c>
      <c r="F933" s="7">
        <f>H933*B933</f>
        <v>13105927.351789614</v>
      </c>
      <c r="G933" s="8">
        <f>F933/E933</f>
        <v>80.357801854</v>
      </c>
      <c r="H933" s="8">
        <f>$F$27</f>
        <v>52.826</v>
      </c>
    </row>
    <row r="934" spans="1:8" ht="12.75">
      <c r="A934" t="s">
        <v>27</v>
      </c>
      <c r="B934" s="33">
        <f>B933*$F$17</f>
        <v>6190.660301685862</v>
      </c>
      <c r="C934" s="33"/>
      <c r="D934" s="33"/>
      <c r="E934" s="33"/>
      <c r="F934" s="33"/>
      <c r="G934" s="32"/>
      <c r="H934" s="36"/>
    </row>
    <row r="935" spans="1:8" ht="12.75">
      <c r="A935" t="s">
        <v>28</v>
      </c>
      <c r="B935" s="20">
        <f>B933*$F$18</f>
        <v>48921.932382737745</v>
      </c>
      <c r="C935" s="20"/>
      <c r="D935" s="20"/>
      <c r="E935" s="20"/>
      <c r="F935" s="20"/>
      <c r="G935" s="25"/>
      <c r="H935" s="29"/>
    </row>
    <row r="936" spans="1:8" ht="12.75">
      <c r="A936" t="s">
        <v>29</v>
      </c>
      <c r="B936" s="23">
        <f>B933*$F$19</f>
        <v>192983.5598122563</v>
      </c>
      <c r="C936" s="23"/>
      <c r="D936" s="23"/>
      <c r="E936" s="23"/>
      <c r="F936" s="23"/>
      <c r="G936" s="26"/>
      <c r="H936" s="30"/>
    </row>
    <row r="937" ht="12.75">
      <c r="B937" s="42" t="s">
        <v>30</v>
      </c>
    </row>
    <row r="938" spans="1:8" ht="12.75">
      <c r="A938" s="7" t="s">
        <v>26</v>
      </c>
      <c r="B938" s="7">
        <f>E938*$F$24</f>
        <v>2207523.8747419184</v>
      </c>
      <c r="C938" s="7">
        <f>B938/E938</f>
        <v>13.5352319109462</v>
      </c>
      <c r="D938" s="7">
        <f>C938*1000/(365*$F$29)</f>
        <v>5.235469031946528</v>
      </c>
      <c r="E938" s="7">
        <f>D926/$F$29</f>
        <v>163094.6473075686</v>
      </c>
      <c r="F938" s="7">
        <f>H938*B938</f>
        <v>8830095.498967674</v>
      </c>
      <c r="G938" s="8">
        <f>F938/E938</f>
        <v>54.1409276437848</v>
      </c>
      <c r="H938" s="8">
        <f>$F$28</f>
        <v>4</v>
      </c>
    </row>
    <row r="939" spans="1:8" ht="12.75">
      <c r="A939" t="s">
        <v>27</v>
      </c>
      <c r="B939" s="33">
        <f>B938*$D$17</f>
        <v>81607.24801862614</v>
      </c>
      <c r="C939" s="33"/>
      <c r="D939" s="33"/>
      <c r="E939" s="33"/>
      <c r="F939" s="33"/>
      <c r="G939" s="32"/>
      <c r="H939" s="36"/>
    </row>
    <row r="940" spans="1:8" ht="12.75">
      <c r="A940" t="s">
        <v>28</v>
      </c>
      <c r="B940" s="20">
        <f>B938*$D$18</f>
        <v>429936.2884248193</v>
      </c>
      <c r="C940" s="20"/>
      <c r="D940" s="20"/>
      <c r="E940" s="20"/>
      <c r="F940" s="20"/>
      <c r="G940" s="25"/>
      <c r="H940" s="29"/>
    </row>
    <row r="941" spans="1:8" ht="12.75">
      <c r="A941" t="s">
        <v>29</v>
      </c>
      <c r="B941" s="23">
        <f>B938*$D$19</f>
        <v>1695980.338298473</v>
      </c>
      <c r="C941" s="23"/>
      <c r="D941" s="23"/>
      <c r="E941" s="23"/>
      <c r="F941" s="23"/>
      <c r="G941" s="26"/>
      <c r="H941" s="30"/>
    </row>
    <row r="942" ht="12.75">
      <c r="B942" s="42" t="s">
        <v>143</v>
      </c>
    </row>
    <row r="943" spans="1:7" ht="12.75">
      <c r="A943" s="7" t="s">
        <v>26</v>
      </c>
      <c r="B943" s="7">
        <f>E926</f>
        <v>26255433.374756854</v>
      </c>
      <c r="C943" s="7">
        <f>B943/E943</f>
        <v>160.9828023677785</v>
      </c>
      <c r="D943" s="7">
        <f>C943*1000/(365*$F$29)</f>
        <v>62.26863950449697</v>
      </c>
      <c r="E943" s="7">
        <f>D926/$F$29</f>
        <v>163094.6473075686</v>
      </c>
      <c r="F943" s="7">
        <f>F928+F933+F938</f>
        <v>25026834.746396396</v>
      </c>
      <c r="G943" s="8">
        <f>F943/E943</f>
        <v>153.4497615927276</v>
      </c>
    </row>
    <row r="944" spans="1:8" ht="12.75">
      <c r="A944" t="s">
        <v>27</v>
      </c>
      <c r="B944" s="33"/>
      <c r="C944" s="33"/>
      <c r="D944" s="33"/>
      <c r="E944" s="33"/>
      <c r="F944" s="33"/>
      <c r="G944" s="32"/>
      <c r="H944" s="36"/>
    </row>
    <row r="945" spans="1:8" ht="12.75">
      <c r="A945" t="s">
        <v>28</v>
      </c>
      <c r="B945" s="20"/>
      <c r="C945" s="20"/>
      <c r="D945" s="20"/>
      <c r="E945" s="20"/>
      <c r="F945" s="20"/>
      <c r="G945" s="25"/>
      <c r="H945" s="29"/>
    </row>
    <row r="946" spans="1:8" ht="12.75">
      <c r="A946" t="s">
        <v>29</v>
      </c>
      <c r="B946" s="23"/>
      <c r="C946" s="23"/>
      <c r="D946" s="23"/>
      <c r="E946" s="23"/>
      <c r="F946" s="23"/>
      <c r="G946" s="26"/>
      <c r="H946" s="30"/>
    </row>
    <row r="948" spans="1:8" ht="12.75">
      <c r="A948" s="41" t="s">
        <v>149</v>
      </c>
      <c r="H948" s="14">
        <v>2026</v>
      </c>
    </row>
    <row r="949" spans="1:8" ht="12.75">
      <c r="A949" s="10" t="s">
        <v>73</v>
      </c>
      <c r="B949" s="9" t="s">
        <v>144</v>
      </c>
      <c r="C949" s="9" t="s">
        <v>58</v>
      </c>
      <c r="D949" s="9" t="s">
        <v>303</v>
      </c>
      <c r="E949" s="9" t="s">
        <v>78</v>
      </c>
      <c r="G949" s="9" t="s">
        <v>72</v>
      </c>
      <c r="H949" s="10">
        <f>H948-2009</f>
        <v>17</v>
      </c>
    </row>
    <row r="950" spans="1:8" ht="12.75">
      <c r="A950" s="9">
        <f>$B$92*(1-($E$137*(1+$E$139)^$F950)-($E$141*(1+$E$143)^$F950))/((1-($E$129*(1+$E$131)^$F950)-$E$133*(1+$E$135)^$F950))</f>
        <v>28411409.852572434</v>
      </c>
      <c r="B950" s="7">
        <f>E950-(B952+B957+B962)</f>
        <v>-2280024.55406392</v>
      </c>
      <c r="C950" s="9">
        <f>$E$122</f>
        <v>700061.4217466069</v>
      </c>
      <c r="D950" s="9">
        <f>(C950*(1+$E$119)^F950)*($E$126*(1+$E$125)^$F950)</f>
        <v>1155199.3868795084</v>
      </c>
      <c r="E950" s="9">
        <f>(D950/$F$29)*$G$33</f>
        <v>26255433.374756854</v>
      </c>
      <c r="F950" s="8">
        <f>H949-1</f>
        <v>16</v>
      </c>
      <c r="H950" s="14" t="s">
        <v>50</v>
      </c>
    </row>
    <row r="951" spans="2:8" ht="12.75">
      <c r="B951" s="42" t="s">
        <v>35</v>
      </c>
      <c r="C951" s="7" t="s">
        <v>74</v>
      </c>
      <c r="D951" s="7" t="s">
        <v>43</v>
      </c>
      <c r="E951" s="7" t="s">
        <v>66</v>
      </c>
      <c r="F951" s="7" t="s">
        <v>75</v>
      </c>
      <c r="G951" s="7" t="s">
        <v>76</v>
      </c>
      <c r="H951" s="13" t="s">
        <v>67</v>
      </c>
    </row>
    <row r="952" spans="1:8" ht="12.75">
      <c r="A952" s="7" t="s">
        <v>26</v>
      </c>
      <c r="B952" s="7">
        <f>A950</f>
        <v>28411409.852572434</v>
      </c>
      <c r="C952" s="7">
        <f>B952/E952</f>
        <v>174.20197610160298</v>
      </c>
      <c r="D952" s="31">
        <f>C952*1000/(365*$F$29)</f>
        <v>67.38185626847341</v>
      </c>
      <c r="E952" s="7">
        <f>D950/$F$29</f>
        <v>163094.6473075686</v>
      </c>
      <c r="F952" s="7">
        <f>B952*H952</f>
        <v>6534624.26609166</v>
      </c>
      <c r="G952" s="7">
        <f>F952/E952</f>
        <v>40.06645450336868</v>
      </c>
      <c r="H952" s="13">
        <f>H$56</f>
        <v>0.23</v>
      </c>
    </row>
    <row r="953" spans="1:8" ht="12.75">
      <c r="A953" t="s">
        <v>27</v>
      </c>
      <c r="B953" s="33">
        <f>B952*B$17</f>
        <v>1705420.7342266254</v>
      </c>
      <c r="C953" s="33">
        <f>B953/E953</f>
        <v>174.20197610160298</v>
      </c>
      <c r="D953" s="33">
        <f>C953*1000/(365*$F$29)</f>
        <v>67.38185626847341</v>
      </c>
      <c r="E953" s="33">
        <f>B$4*E952</f>
        <v>9789.904640530265</v>
      </c>
      <c r="F953" s="33">
        <f>B953*H953</f>
        <v>0</v>
      </c>
      <c r="G953" s="33">
        <f>F953/E953</f>
        <v>0</v>
      </c>
      <c r="H953" s="36">
        <f>H$58</f>
        <v>0</v>
      </c>
    </row>
    <row r="954" spans="1:8" ht="12.75">
      <c r="A954" t="s">
        <v>28</v>
      </c>
      <c r="B954" s="20">
        <f>B952*B$18</f>
        <v>8984768.859118666</v>
      </c>
      <c r="C954" s="20">
        <f>B954/E954</f>
        <v>174.201976101603</v>
      </c>
      <c r="D954" s="20">
        <f>C954*1000/(365*$F$29)</f>
        <v>67.38185626847343</v>
      </c>
      <c r="E954" s="20">
        <f>B$5*E952</f>
        <v>51576.73328503642</v>
      </c>
      <c r="F954" s="20">
        <f>B954*H954</f>
        <v>0</v>
      </c>
      <c r="G954" s="20">
        <f>F954/E954</f>
        <v>0</v>
      </c>
      <c r="H954" s="29">
        <f>H$59</f>
        <v>0</v>
      </c>
    </row>
    <row r="955" spans="1:8" ht="12.75">
      <c r="A955" t="s">
        <v>29</v>
      </c>
      <c r="B955" s="23">
        <f>B952*B$19</f>
        <v>17721220.259227138</v>
      </c>
      <c r="C955" s="23">
        <f>B955/E955</f>
        <v>174.20197610160298</v>
      </c>
      <c r="D955" s="23">
        <f>C955*1000/(365*$F$29)</f>
        <v>67.38185626847341</v>
      </c>
      <c r="E955" s="23">
        <f>B$6*E952</f>
        <v>101728.0093820019</v>
      </c>
      <c r="F955" s="23">
        <f>B955*H955</f>
        <v>0</v>
      </c>
      <c r="G955" s="23">
        <f>F955/E955</f>
        <v>0</v>
      </c>
      <c r="H955" s="30">
        <f>H$60</f>
        <v>0</v>
      </c>
    </row>
    <row r="956" ht="12.75">
      <c r="B956" s="42" t="s">
        <v>135</v>
      </c>
    </row>
    <row r="957" spans="1:8" ht="12.75">
      <c r="A957" s="7" t="s">
        <v>26</v>
      </c>
      <c r="B957" s="7">
        <f>E957*$F$26*$E$145</f>
        <v>124048.07624833996</v>
      </c>
      <c r="C957" s="7">
        <f>B957/E957</f>
        <v>0.7605895</v>
      </c>
      <c r="D957" s="31">
        <f>C957*1000/(365*$F$29)</f>
        <v>0.2941983410017039</v>
      </c>
      <c r="E957" s="7">
        <f>D950/$F$29</f>
        <v>163094.6473075686</v>
      </c>
      <c r="F957" s="7">
        <f>H$165*B957</f>
        <v>6552963.675894807</v>
      </c>
      <c r="G957" s="8">
        <f>F957/E957</f>
        <v>40.178900927</v>
      </c>
      <c r="H957" s="8">
        <f>$F$27</f>
        <v>52.826</v>
      </c>
    </row>
    <row r="958" spans="1:8" ht="12.75">
      <c r="A958" t="s">
        <v>27</v>
      </c>
      <c r="B958" s="33">
        <f>B957*$F$17</f>
        <v>3095.330150842931</v>
      </c>
      <c r="C958" s="33"/>
      <c r="D958" s="33"/>
      <c r="E958" s="33"/>
      <c r="F958" s="33"/>
      <c r="G958" s="32"/>
      <c r="H958" s="36"/>
    </row>
    <row r="959" spans="1:8" ht="12.75">
      <c r="A959" t="s">
        <v>28</v>
      </c>
      <c r="B959" s="20">
        <f>B957*$F$18</f>
        <v>24460.966191368872</v>
      </c>
      <c r="C959" s="20"/>
      <c r="D959" s="20"/>
      <c r="E959" s="20"/>
      <c r="F959" s="20"/>
      <c r="G959" s="25"/>
      <c r="H959" s="29"/>
    </row>
    <row r="960" spans="1:8" ht="12.75">
      <c r="A960" t="s">
        <v>29</v>
      </c>
      <c r="B960" s="23">
        <f>B957*$F$19</f>
        <v>96491.77990612815</v>
      </c>
      <c r="C960" s="23"/>
      <c r="D960" s="23"/>
      <c r="E960" s="23"/>
      <c r="F960" s="23"/>
      <c r="G960" s="26"/>
      <c r="H960" s="30"/>
    </row>
    <row r="961" ht="12.75">
      <c r="B961" s="42" t="s">
        <v>30</v>
      </c>
    </row>
    <row r="962" spans="1:8" ht="12.75">
      <c r="A962" s="7" t="s">
        <v>26</v>
      </c>
      <c r="B962" s="7">
        <f>IF(E950&gt;=(B952+B957),(E950-(B952+B957)),0)</f>
        <v>0</v>
      </c>
      <c r="C962" s="7">
        <f>B962/E962</f>
        <v>0</v>
      </c>
      <c r="D962" s="7">
        <f>C962*1000/(365*$F$29)</f>
        <v>0</v>
      </c>
      <c r="E962" s="7">
        <f>D950/$F$29</f>
        <v>163094.6473075686</v>
      </c>
      <c r="F962" s="7">
        <f>H$170*B962</f>
        <v>0</v>
      </c>
      <c r="G962" s="8">
        <f>F962/E962</f>
        <v>0</v>
      </c>
      <c r="H962" s="8">
        <f>$F$28</f>
        <v>4</v>
      </c>
    </row>
    <row r="963" spans="1:8" ht="12.75">
      <c r="A963" t="s">
        <v>27</v>
      </c>
      <c r="B963" s="33">
        <f>B962*$D$17</f>
        <v>0</v>
      </c>
      <c r="C963" s="33"/>
      <c r="D963" s="33"/>
      <c r="E963" s="33"/>
      <c r="F963" s="33"/>
      <c r="G963" s="32"/>
      <c r="H963" s="36"/>
    </row>
    <row r="964" spans="1:8" ht="12.75">
      <c r="A964" t="s">
        <v>28</v>
      </c>
      <c r="B964" s="20">
        <f>B962*$D$18</f>
        <v>0</v>
      </c>
      <c r="C964" s="20"/>
      <c r="D964" s="20"/>
      <c r="E964" s="20"/>
      <c r="F964" s="20"/>
      <c r="G964" s="25"/>
      <c r="H964" s="29"/>
    </row>
    <row r="965" spans="1:8" ht="12.75">
      <c r="A965" t="s">
        <v>29</v>
      </c>
      <c r="B965" s="23">
        <f>B962*$D$19</f>
        <v>0</v>
      </c>
      <c r="C965" s="23"/>
      <c r="D965" s="23"/>
      <c r="E965" s="23"/>
      <c r="F965" s="23"/>
      <c r="G965" s="26"/>
      <c r="H965" s="30"/>
    </row>
    <row r="966" ht="12.75">
      <c r="B966" s="42" t="s">
        <v>143</v>
      </c>
    </row>
    <row r="967" spans="1:7" ht="12.75">
      <c r="A967" s="7" t="s">
        <v>26</v>
      </c>
      <c r="B967" s="7">
        <f>IF(E950&gt;=(B952+B957),E950,(B952+B957+B962))</f>
        <v>28535457.928820774</v>
      </c>
      <c r="C967" s="7">
        <f>B967/E967</f>
        <v>174.962565601603</v>
      </c>
      <c r="D967" s="7">
        <f>C967*1000/(365*$F$29)</f>
        <v>67.67605460947512</v>
      </c>
      <c r="E967" s="7">
        <f>D950/$F$29</f>
        <v>163094.6473075686</v>
      </c>
      <c r="F967" s="7">
        <f>F952+F957+F962</f>
        <v>13087587.941986468</v>
      </c>
      <c r="G967" s="8">
        <f>F967/E967</f>
        <v>80.24535543036869</v>
      </c>
    </row>
    <row r="968" spans="1:8" ht="12.75">
      <c r="A968" t="s">
        <v>27</v>
      </c>
      <c r="B968" s="33"/>
      <c r="C968" s="33"/>
      <c r="D968" s="33"/>
      <c r="E968" s="33"/>
      <c r="F968" s="33"/>
      <c r="G968" s="32"/>
      <c r="H968" s="36"/>
    </row>
    <row r="969" spans="1:8" ht="12.75">
      <c r="A969" t="s">
        <v>28</v>
      </c>
      <c r="B969" s="20"/>
      <c r="C969" s="20"/>
      <c r="D969" s="20"/>
      <c r="E969" s="20"/>
      <c r="F969" s="20"/>
      <c r="G969" s="25"/>
      <c r="H969" s="29"/>
    </row>
    <row r="970" spans="1:8" ht="12.75">
      <c r="A970" t="s">
        <v>29</v>
      </c>
      <c r="B970" s="23"/>
      <c r="C970" s="23"/>
      <c r="D970" s="23"/>
      <c r="E970" s="23"/>
      <c r="F970" s="23"/>
      <c r="G970" s="26"/>
      <c r="H970" s="30"/>
    </row>
    <row r="972" spans="1:8" ht="12.75">
      <c r="A972" s="41" t="s">
        <v>149</v>
      </c>
      <c r="H972" s="10">
        <v>2027</v>
      </c>
    </row>
    <row r="973" spans="1:8" ht="12.75">
      <c r="A973" s="10" t="s">
        <v>73</v>
      </c>
      <c r="B973" s="9" t="s">
        <v>144</v>
      </c>
      <c r="C973" s="9" t="s">
        <v>58</v>
      </c>
      <c r="D973" s="9" t="s">
        <v>303</v>
      </c>
      <c r="E973" s="9" t="s">
        <v>78</v>
      </c>
      <c r="G973" s="9" t="s">
        <v>72</v>
      </c>
      <c r="H973" s="10">
        <f>H972-2009</f>
        <v>18</v>
      </c>
    </row>
    <row r="974" spans="1:8" ht="12.75">
      <c r="A974" s="9">
        <f>($B$92*(1-($E$129*(1+$E$131)^$F974)-$E$133*(1+$E$135)^($F974)))/((1-$E$129-$E$133))</f>
        <v>13392147.885341555</v>
      </c>
      <c r="B974" s="7">
        <f>E974-(B976+B981+B986)</f>
        <v>11193654.476317791</v>
      </c>
      <c r="C974" s="9">
        <f>$E$122</f>
        <v>700061.4217466069</v>
      </c>
      <c r="D974" s="9">
        <f>(C974*(1+$E$119)^F974)*($E$126*(1+$E$125)^$F974)</f>
        <v>1193349.8552874674</v>
      </c>
      <c r="E974" s="9">
        <f>(D974/$F$29)*$G$33</f>
        <v>27122519.258698214</v>
      </c>
      <c r="F974" s="8">
        <f>H973-1</f>
        <v>17</v>
      </c>
      <c r="H974" s="14" t="s">
        <v>49</v>
      </c>
    </row>
    <row r="975" spans="2:8" ht="12.75">
      <c r="B975" s="42" t="s">
        <v>35</v>
      </c>
      <c r="C975" s="7" t="s">
        <v>74</v>
      </c>
      <c r="D975" s="7" t="s">
        <v>43</v>
      </c>
      <c r="E975" s="7" t="s">
        <v>66</v>
      </c>
      <c r="F975" s="7" t="s">
        <v>75</v>
      </c>
      <c r="G975" s="7" t="s">
        <v>76</v>
      </c>
      <c r="H975" s="13" t="s">
        <v>67</v>
      </c>
    </row>
    <row r="976" spans="1:8" ht="12.75">
      <c r="A976" s="7" t="s">
        <v>26</v>
      </c>
      <c r="B976" s="7">
        <f>A974</f>
        <v>13392147.885341555</v>
      </c>
      <c r="C976" s="7">
        <f>B976/E976</f>
        <v>79.48765657580284</v>
      </c>
      <c r="D976" s="31">
        <f>C976*1000/(365*$F$29)</f>
        <v>30.746068272983486</v>
      </c>
      <c r="E976" s="7">
        <f>D974/$F$29</f>
        <v>168480.84925701926</v>
      </c>
      <c r="F976" s="7">
        <f>B976*H976</f>
        <v>3080194.013628558</v>
      </c>
      <c r="G976" s="7">
        <f>F976/E976</f>
        <v>18.282161012434656</v>
      </c>
      <c r="H976" s="13">
        <f>H$56</f>
        <v>0.23</v>
      </c>
    </row>
    <row r="977" spans="1:8" ht="12.75">
      <c r="A977" t="s">
        <v>27</v>
      </c>
      <c r="B977" s="33">
        <f>B976*B$17</f>
        <v>803875.8652951122</v>
      </c>
      <c r="C977" s="33">
        <f>B977/E977</f>
        <v>79.48765657580283</v>
      </c>
      <c r="D977" s="33">
        <f>C977*1000/(365*$F$29)</f>
        <v>30.746068272983482</v>
      </c>
      <c r="E977" s="33">
        <f>B$4*E976</f>
        <v>10113.216314642536</v>
      </c>
      <c r="F977" s="33">
        <f>B977*H977</f>
        <v>0</v>
      </c>
      <c r="G977" s="33">
        <f>F977/E977</f>
        <v>0</v>
      </c>
      <c r="H977" s="36">
        <f>H$58</f>
        <v>0</v>
      </c>
    </row>
    <row r="978" spans="1:8" ht="12.75">
      <c r="A978" t="s">
        <v>28</v>
      </c>
      <c r="B978" s="20">
        <f>B976*B$18</f>
        <v>4235106.737092604</v>
      </c>
      <c r="C978" s="20">
        <f>B978/E978</f>
        <v>79.48765657580284</v>
      </c>
      <c r="D978" s="20">
        <f>C978*1000/(365*$F$29)</f>
        <v>30.746068272983486</v>
      </c>
      <c r="E978" s="20">
        <f>B$5*E976</f>
        <v>53280.055288255026</v>
      </c>
      <c r="F978" s="20">
        <f>B978*H978</f>
        <v>0</v>
      </c>
      <c r="G978" s="20">
        <f>F978/E978</f>
        <v>0</v>
      </c>
      <c r="H978" s="29">
        <f>H$59</f>
        <v>0</v>
      </c>
    </row>
    <row r="979" spans="1:8" ht="12.75">
      <c r="A979" t="s">
        <v>29</v>
      </c>
      <c r="B979" s="23">
        <f>B976*B$19</f>
        <v>8353165.282953837</v>
      </c>
      <c r="C979" s="23">
        <f>B979/E979</f>
        <v>79.48765657580284</v>
      </c>
      <c r="D979" s="23">
        <f>C979*1000/(365*$F$29)</f>
        <v>30.746068272983486</v>
      </c>
      <c r="E979" s="23">
        <f>B$6*E976</f>
        <v>105087.57765412168</v>
      </c>
      <c r="F979" s="23">
        <f>B979*H979</f>
        <v>0</v>
      </c>
      <c r="G979" s="23">
        <f>F979/E979</f>
        <v>0</v>
      </c>
      <c r="H979" s="30">
        <f>H$60</f>
        <v>0</v>
      </c>
    </row>
    <row r="980" ht="12.75">
      <c r="B980" s="42" t="s">
        <v>135</v>
      </c>
    </row>
    <row r="981" spans="1:8" ht="12.75">
      <c r="A981" s="7" t="s">
        <v>26</v>
      </c>
      <c r="B981" s="7">
        <f>E981*$F$26</f>
        <v>256289.52979194332</v>
      </c>
      <c r="C981" s="7">
        <f>B981/E981</f>
        <v>1.521179</v>
      </c>
      <c r="D981" s="31">
        <f>C981*1000/(365*$F$29)</f>
        <v>0.5883966820034078</v>
      </c>
      <c r="E981" s="7">
        <f>D974/$F$29</f>
        <v>168480.84925701926</v>
      </c>
      <c r="F981" s="7">
        <f>H981*B981</f>
        <v>13538750.700789198</v>
      </c>
      <c r="G981" s="8">
        <f>F981/E981</f>
        <v>80.357801854</v>
      </c>
      <c r="H981" s="8">
        <f>$F$27</f>
        <v>52.826</v>
      </c>
    </row>
    <row r="982" spans="1:8" ht="12.75">
      <c r="A982" t="s">
        <v>27</v>
      </c>
      <c r="B982" s="33">
        <f>B981*$F$17</f>
        <v>6395.106904537553</v>
      </c>
      <c r="C982" s="33"/>
      <c r="D982" s="33"/>
      <c r="E982" s="33"/>
      <c r="F982" s="33"/>
      <c r="G982" s="32"/>
      <c r="H982" s="36"/>
    </row>
    <row r="983" spans="1:8" ht="12.75">
      <c r="A983" t="s">
        <v>28</v>
      </c>
      <c r="B983" s="20">
        <f>B981*$F$18</f>
        <v>50537.5795662647</v>
      </c>
      <c r="C983" s="20"/>
      <c r="D983" s="20"/>
      <c r="E983" s="20"/>
      <c r="F983" s="20"/>
      <c r="G983" s="25"/>
      <c r="H983" s="29"/>
    </row>
    <row r="984" spans="1:8" ht="12.75">
      <c r="A984" t="s">
        <v>29</v>
      </c>
      <c r="B984" s="23">
        <f>B981*$F$19</f>
        <v>199356.84332114106</v>
      </c>
      <c r="C984" s="23"/>
      <c r="D984" s="23"/>
      <c r="E984" s="23"/>
      <c r="F984" s="23"/>
      <c r="G984" s="26"/>
      <c r="H984" s="30"/>
    </row>
    <row r="985" ht="12.75">
      <c r="B985" s="42" t="s">
        <v>30</v>
      </c>
    </row>
    <row r="986" spans="1:8" ht="12.75">
      <c r="A986" s="7" t="s">
        <v>26</v>
      </c>
      <c r="B986" s="7">
        <f>E986*$F$24</f>
        <v>2280427.3672469235</v>
      </c>
      <c r="C986" s="7">
        <f>B986/E986</f>
        <v>13.5352319109462</v>
      </c>
      <c r="D986" s="7">
        <f>C986*1000/(365*$F$29)</f>
        <v>5.235469031946528</v>
      </c>
      <c r="E986" s="7">
        <f>D974/$F$29</f>
        <v>168480.84925701926</v>
      </c>
      <c r="F986" s="7">
        <f>H986*B986</f>
        <v>9121709.468987694</v>
      </c>
      <c r="G986" s="8">
        <f>F986/E986</f>
        <v>54.1409276437848</v>
      </c>
      <c r="H986" s="8">
        <f>$F$28</f>
        <v>4</v>
      </c>
    </row>
    <row r="987" spans="1:8" ht="12.75">
      <c r="A987" t="s">
        <v>27</v>
      </c>
      <c r="B987" s="33">
        <f>B986*$D$17</f>
        <v>84302.3279959494</v>
      </c>
      <c r="C987" s="33"/>
      <c r="D987" s="33"/>
      <c r="E987" s="33"/>
      <c r="F987" s="33"/>
      <c r="G987" s="32"/>
      <c r="H987" s="36"/>
    </row>
    <row r="988" spans="1:8" ht="12.75">
      <c r="A988" t="s">
        <v>28</v>
      </c>
      <c r="B988" s="20">
        <f>B986*$D$18</f>
        <v>444134.9375716934</v>
      </c>
      <c r="C988" s="20"/>
      <c r="D988" s="20"/>
      <c r="E988" s="20"/>
      <c r="F988" s="20"/>
      <c r="G988" s="25"/>
      <c r="H988" s="29"/>
    </row>
    <row r="989" spans="1:8" ht="12.75">
      <c r="A989" t="s">
        <v>29</v>
      </c>
      <c r="B989" s="23">
        <f>B986*$D$19</f>
        <v>1751990.1016792809</v>
      </c>
      <c r="C989" s="23"/>
      <c r="D989" s="23"/>
      <c r="E989" s="23"/>
      <c r="F989" s="23"/>
      <c r="G989" s="26"/>
      <c r="H989" s="30"/>
    </row>
    <row r="990" ht="12.75">
      <c r="B990" s="42" t="s">
        <v>143</v>
      </c>
    </row>
    <row r="991" spans="1:7" ht="12.75">
      <c r="A991" s="7" t="s">
        <v>26</v>
      </c>
      <c r="B991" s="7">
        <f>E974</f>
        <v>27122519.258698214</v>
      </c>
      <c r="C991" s="7">
        <f>B991/E991</f>
        <v>160.9828023677785</v>
      </c>
      <c r="D991" s="7">
        <f>C991*1000/(365*$F$29)</f>
        <v>62.26863950449697</v>
      </c>
      <c r="E991" s="7">
        <f>D974/$F$29</f>
        <v>168480.84925701926</v>
      </c>
      <c r="F991" s="7">
        <f>F976+F981+F986</f>
        <v>25740654.18340545</v>
      </c>
      <c r="G991" s="8">
        <f>F991/E991</f>
        <v>152.78089051021948</v>
      </c>
    </row>
    <row r="992" spans="1:8" ht="12.75">
      <c r="A992" t="s">
        <v>27</v>
      </c>
      <c r="B992" s="33"/>
      <c r="C992" s="33"/>
      <c r="D992" s="33"/>
      <c r="E992" s="33"/>
      <c r="F992" s="33"/>
      <c r="G992" s="32"/>
      <c r="H992" s="36"/>
    </row>
    <row r="993" spans="1:8" ht="12.75">
      <c r="A993" t="s">
        <v>28</v>
      </c>
      <c r="B993" s="20"/>
      <c r="C993" s="20"/>
      <c r="D993" s="20"/>
      <c r="E993" s="20"/>
      <c r="F993" s="20"/>
      <c r="G993" s="25"/>
      <c r="H993" s="29"/>
    </row>
    <row r="994" spans="1:8" ht="12.75">
      <c r="A994" t="s">
        <v>29</v>
      </c>
      <c r="B994" s="23"/>
      <c r="C994" s="23"/>
      <c r="D994" s="23"/>
      <c r="E994" s="23"/>
      <c r="F994" s="23"/>
      <c r="G994" s="26"/>
      <c r="H994" s="30"/>
    </row>
    <row r="996" spans="1:8" ht="12.75">
      <c r="A996" s="41" t="s">
        <v>149</v>
      </c>
      <c r="H996" s="14">
        <v>2027</v>
      </c>
    </row>
    <row r="997" spans="1:8" ht="12.75">
      <c r="A997" s="10" t="s">
        <v>73</v>
      </c>
      <c r="B997" s="9" t="s">
        <v>144</v>
      </c>
      <c r="C997" s="9" t="s">
        <v>58</v>
      </c>
      <c r="D997" s="9" t="s">
        <v>303</v>
      </c>
      <c r="E997" s="9" t="s">
        <v>78</v>
      </c>
      <c r="G997" s="9" t="s">
        <v>72</v>
      </c>
      <c r="H997" s="10">
        <f>H996-2009</f>
        <v>18</v>
      </c>
    </row>
    <row r="998" spans="1:8" ht="12.75">
      <c r="A998" s="9">
        <f>$B$92*(1-($E$137*(1+$E$139)^$F998)-($E$141*(1+$E$143)^$F998))/((1-($E$129*(1+$E$131)^$F998)-$E$133*(1+$E$135)^$F998))</f>
        <v>28528584.9529639</v>
      </c>
      <c r="B998" s="7">
        <f>E998-(B1000+B1005+B1010)</f>
        <v>-1534210.4591616578</v>
      </c>
      <c r="C998" s="9">
        <f>$E$122</f>
        <v>700061.4217466069</v>
      </c>
      <c r="D998" s="9">
        <f>(C998*(1+$E$119)^F998)*($E$126*(1+$E$125)^$F998)</f>
        <v>1193349.8552874674</v>
      </c>
      <c r="E998" s="9">
        <f>(D998/$F$29)*$G$33</f>
        <v>27122519.258698214</v>
      </c>
      <c r="F998" s="8">
        <f>H997-1</f>
        <v>17</v>
      </c>
      <c r="H998" s="14" t="s">
        <v>50</v>
      </c>
    </row>
    <row r="999" spans="2:8" ht="12.75">
      <c r="B999" s="42" t="s">
        <v>35</v>
      </c>
      <c r="C999" s="7" t="s">
        <v>74</v>
      </c>
      <c r="D999" s="7" t="s">
        <v>43</v>
      </c>
      <c r="E999" s="7" t="s">
        <v>66</v>
      </c>
      <c r="F999" s="7" t="s">
        <v>75</v>
      </c>
      <c r="G999" s="7" t="s">
        <v>76</v>
      </c>
      <c r="H999" s="13" t="s">
        <v>67</v>
      </c>
    </row>
    <row r="1000" spans="1:8" ht="12.75">
      <c r="A1000" s="7" t="s">
        <v>26</v>
      </c>
      <c r="B1000" s="7">
        <f>A998</f>
        <v>28528584.9529639</v>
      </c>
      <c r="C1000" s="7">
        <f>B1000/E1000</f>
        <v>169.32835440212705</v>
      </c>
      <c r="D1000" s="31">
        <f>C1000*1000/(365*$F$29)</f>
        <v>65.49672451388605</v>
      </c>
      <c r="E1000" s="7">
        <f>D998/$F$29</f>
        <v>168480.84925701926</v>
      </c>
      <c r="F1000" s="7">
        <f>B1000*H1000</f>
        <v>6561574.539181697</v>
      </c>
      <c r="G1000" s="7">
        <f>F1000/E1000</f>
        <v>38.94552151248922</v>
      </c>
      <c r="H1000" s="13">
        <f>H$56</f>
        <v>0.23</v>
      </c>
    </row>
    <row r="1001" spans="1:8" ht="12.75">
      <c r="A1001" t="s">
        <v>27</v>
      </c>
      <c r="B1001" s="33">
        <f>B1000*B$17</f>
        <v>1712454.2762711642</v>
      </c>
      <c r="C1001" s="33">
        <f>B1001/E1001</f>
        <v>169.32835440212702</v>
      </c>
      <c r="D1001" s="33">
        <f>C1001*1000/(365*$F$29)</f>
        <v>65.49672451388604</v>
      </c>
      <c r="E1001" s="33">
        <f>B$4*E1000</f>
        <v>10113.216314642536</v>
      </c>
      <c r="F1001" s="33">
        <f>B1001*H1001</f>
        <v>0</v>
      </c>
      <c r="G1001" s="33">
        <f>F1001/E1001</f>
        <v>0</v>
      </c>
      <c r="H1001" s="36">
        <f>H$58</f>
        <v>0</v>
      </c>
    </row>
    <row r="1002" spans="1:8" ht="12.75">
      <c r="A1002" t="s">
        <v>28</v>
      </c>
      <c r="B1002" s="20">
        <f>B1000*B$18</f>
        <v>9021824.08441457</v>
      </c>
      <c r="C1002" s="20">
        <f>B1002/E1002</f>
        <v>169.32835440212705</v>
      </c>
      <c r="D1002" s="20">
        <f>C1002*1000/(365*$F$29)</f>
        <v>65.49672451388605</v>
      </c>
      <c r="E1002" s="20">
        <f>B$5*E1000</f>
        <v>53280.055288255026</v>
      </c>
      <c r="F1002" s="20">
        <f>B1002*H1002</f>
        <v>0</v>
      </c>
      <c r="G1002" s="20">
        <f>F1002/E1002</f>
        <v>0</v>
      </c>
      <c r="H1002" s="29">
        <f>H$59</f>
        <v>0</v>
      </c>
    </row>
    <row r="1003" spans="1:8" ht="12.75">
      <c r="A1003" t="s">
        <v>29</v>
      </c>
      <c r="B1003" s="23">
        <f>B1000*B$19</f>
        <v>17794306.592278164</v>
      </c>
      <c r="C1003" s="23">
        <f>B1003/E1003</f>
        <v>169.32835440212708</v>
      </c>
      <c r="D1003" s="23">
        <f>C1003*1000/(365*$F$29)</f>
        <v>65.49672451388606</v>
      </c>
      <c r="E1003" s="23">
        <f>B$6*E1000</f>
        <v>105087.57765412168</v>
      </c>
      <c r="F1003" s="23">
        <f>B1003*H1003</f>
        <v>0</v>
      </c>
      <c r="G1003" s="23">
        <f>F1003/E1003</f>
        <v>0</v>
      </c>
      <c r="H1003" s="30">
        <f>H$60</f>
        <v>0</v>
      </c>
    </row>
    <row r="1004" ht="12.75">
      <c r="B1004" s="42" t="s">
        <v>135</v>
      </c>
    </row>
    <row r="1005" spans="1:8" ht="12.75">
      <c r="A1005" s="7" t="s">
        <v>26</v>
      </c>
      <c r="B1005" s="7">
        <f>E1005*$F$26*$E$145</f>
        <v>128144.76489597166</v>
      </c>
      <c r="C1005" s="7">
        <f>B1005/E1005</f>
        <v>0.7605895</v>
      </c>
      <c r="D1005" s="31">
        <f>C1005*1000/(365*$F$29)</f>
        <v>0.2941983410017039</v>
      </c>
      <c r="E1005" s="7">
        <f>D998/$F$29</f>
        <v>168480.84925701926</v>
      </c>
      <c r="F1005" s="7">
        <f>H$165*B1005</f>
        <v>6769375.350394599</v>
      </c>
      <c r="G1005" s="8">
        <f>F1005/E1005</f>
        <v>40.178900927</v>
      </c>
      <c r="H1005" s="8">
        <f>$F$27</f>
        <v>52.826</v>
      </c>
    </row>
    <row r="1006" spans="1:8" ht="12.75">
      <c r="A1006" t="s">
        <v>27</v>
      </c>
      <c r="B1006" s="33">
        <f>B1005*$F$17</f>
        <v>3197.5534522687767</v>
      </c>
      <c r="C1006" s="33"/>
      <c r="D1006" s="33"/>
      <c r="E1006" s="33"/>
      <c r="F1006" s="33"/>
      <c r="G1006" s="32"/>
      <c r="H1006" s="36"/>
    </row>
    <row r="1007" spans="1:8" ht="12.75">
      <c r="A1007" t="s">
        <v>28</v>
      </c>
      <c r="B1007" s="20">
        <f>B1005*$F$18</f>
        <v>25268.78978313235</v>
      </c>
      <c r="C1007" s="20"/>
      <c r="D1007" s="20"/>
      <c r="E1007" s="20"/>
      <c r="F1007" s="20"/>
      <c r="G1007" s="25"/>
      <c r="H1007" s="29"/>
    </row>
    <row r="1008" spans="1:8" ht="12.75">
      <c r="A1008" t="s">
        <v>29</v>
      </c>
      <c r="B1008" s="23">
        <f>B1005*$F$19</f>
        <v>99678.42166057053</v>
      </c>
      <c r="C1008" s="23"/>
      <c r="D1008" s="23"/>
      <c r="E1008" s="23"/>
      <c r="F1008" s="23"/>
      <c r="G1008" s="26"/>
      <c r="H1008" s="30"/>
    </row>
    <row r="1009" ht="12.75">
      <c r="B1009" s="42" t="s">
        <v>30</v>
      </c>
    </row>
    <row r="1010" spans="1:8" ht="12.75">
      <c r="A1010" s="7" t="s">
        <v>26</v>
      </c>
      <c r="B1010" s="7">
        <f>IF(E998&gt;=(B1000+B1005),(E998-(B1000+B1005)),0)</f>
        <v>0</v>
      </c>
      <c r="C1010" s="7">
        <f>B1010/E1010</f>
        <v>0</v>
      </c>
      <c r="D1010" s="7">
        <f>C1010*1000/(365*$F$29)</f>
        <v>0</v>
      </c>
      <c r="E1010" s="7">
        <f>D998/$F$29</f>
        <v>168480.84925701926</v>
      </c>
      <c r="F1010" s="7">
        <f>H$170*B1010</f>
        <v>0</v>
      </c>
      <c r="G1010" s="8">
        <f>F1010/E1010</f>
        <v>0</v>
      </c>
      <c r="H1010" s="8">
        <f>$F$28</f>
        <v>4</v>
      </c>
    </row>
    <row r="1011" spans="1:8" ht="12.75">
      <c r="A1011" t="s">
        <v>27</v>
      </c>
      <c r="B1011" s="33">
        <f>B1010*$D$17</f>
        <v>0</v>
      </c>
      <c r="C1011" s="33"/>
      <c r="D1011" s="33"/>
      <c r="E1011" s="33"/>
      <c r="F1011" s="33"/>
      <c r="G1011" s="32"/>
      <c r="H1011" s="36"/>
    </row>
    <row r="1012" spans="1:8" ht="12.75">
      <c r="A1012" t="s">
        <v>28</v>
      </c>
      <c r="B1012" s="20">
        <f>B1010*$D$18</f>
        <v>0</v>
      </c>
      <c r="C1012" s="20"/>
      <c r="D1012" s="20"/>
      <c r="E1012" s="20"/>
      <c r="F1012" s="20"/>
      <c r="G1012" s="25"/>
      <c r="H1012" s="29"/>
    </row>
    <row r="1013" spans="1:8" ht="12.75">
      <c r="A1013" t="s">
        <v>29</v>
      </c>
      <c r="B1013" s="23">
        <f>B1010*$D$19</f>
        <v>0</v>
      </c>
      <c r="C1013" s="23"/>
      <c r="D1013" s="23"/>
      <c r="E1013" s="23"/>
      <c r="F1013" s="23"/>
      <c r="G1013" s="26"/>
      <c r="H1013" s="30"/>
    </row>
    <row r="1014" ht="12.75">
      <c r="B1014" s="42" t="s">
        <v>143</v>
      </c>
    </row>
    <row r="1015" spans="1:7" ht="12.75">
      <c r="A1015" s="7" t="s">
        <v>26</v>
      </c>
      <c r="B1015" s="7">
        <f>IF(E998&gt;=(B1000+B1005),E998,(B1000+B1005+B1010))</f>
        <v>28656729.71785987</v>
      </c>
      <c r="C1015" s="7">
        <f>B1015/E1015</f>
        <v>170.08894390212706</v>
      </c>
      <c r="D1015" s="7">
        <f>C1015*1000/(365*$F$29)</f>
        <v>65.79092285488777</v>
      </c>
      <c r="E1015" s="7">
        <f>D998/$F$29</f>
        <v>168480.84925701926</v>
      </c>
      <c r="F1015" s="7">
        <f>F1000+F1005+F1010</f>
        <v>13330949.889576297</v>
      </c>
      <c r="G1015" s="8">
        <f>F1015/E1015</f>
        <v>79.12442243948924</v>
      </c>
    </row>
    <row r="1016" spans="1:8" ht="12.75">
      <c r="A1016" t="s">
        <v>27</v>
      </c>
      <c r="B1016" s="33"/>
      <c r="C1016" s="33"/>
      <c r="D1016" s="33"/>
      <c r="E1016" s="33"/>
      <c r="F1016" s="33"/>
      <c r="G1016" s="32"/>
      <c r="H1016" s="36"/>
    </row>
    <row r="1017" spans="1:8" ht="12.75">
      <c r="A1017" t="s">
        <v>28</v>
      </c>
      <c r="B1017" s="20"/>
      <c r="C1017" s="20"/>
      <c r="D1017" s="20"/>
      <c r="E1017" s="20"/>
      <c r="F1017" s="20"/>
      <c r="G1017" s="25"/>
      <c r="H1017" s="29"/>
    </row>
    <row r="1018" spans="1:8" ht="12.75">
      <c r="A1018" t="s">
        <v>29</v>
      </c>
      <c r="B1018" s="23"/>
      <c r="C1018" s="23"/>
      <c r="D1018" s="23"/>
      <c r="E1018" s="23"/>
      <c r="F1018" s="23"/>
      <c r="G1018" s="26"/>
      <c r="H1018" s="30"/>
    </row>
    <row r="1020" spans="1:8" ht="12.75">
      <c r="A1020" s="41" t="s">
        <v>149</v>
      </c>
      <c r="H1020" s="10">
        <v>2028</v>
      </c>
    </row>
    <row r="1021" spans="1:8" ht="12.75">
      <c r="A1021" s="10" t="s">
        <v>73</v>
      </c>
      <c r="B1021" s="9" t="s">
        <v>144</v>
      </c>
      <c r="C1021" s="9" t="s">
        <v>58</v>
      </c>
      <c r="D1021" s="9" t="s">
        <v>303</v>
      </c>
      <c r="E1021" s="9" t="s">
        <v>78</v>
      </c>
      <c r="G1021" s="9" t="s">
        <v>72</v>
      </c>
      <c r="H1021" s="10">
        <f>H1020-2009</f>
        <v>19</v>
      </c>
    </row>
    <row r="1022" spans="1:8" ht="12.75">
      <c r="A1022" s="9">
        <f>($B$92*(1-($E$129*(1+$E$131)^$F1022)-$E$133*(1+$E$135)^($F1022)))/((1-$E$129-$E$133))</f>
        <v>13345793.16910507</v>
      </c>
      <c r="B1022" s="7">
        <f>E1022-(B1024+B1029+B1034)</f>
        <v>12051955.499777026</v>
      </c>
      <c r="C1022" s="9">
        <f>$E$122</f>
        <v>700061.4217466069</v>
      </c>
      <c r="D1022" s="9">
        <f>(C1022*(1+$E$119)^F1022)*($E$126*(1+$E$125)^$F1022)</f>
        <v>1232760.243200472</v>
      </c>
      <c r="E1022" s="9">
        <f>(D1022/$F$29)*$G$33</f>
        <v>28018240.66045407</v>
      </c>
      <c r="F1022" s="8">
        <f>H1021-1</f>
        <v>18</v>
      </c>
      <c r="H1022" s="14" t="s">
        <v>49</v>
      </c>
    </row>
    <row r="1023" spans="2:8" ht="12.75">
      <c r="B1023" s="42" t="s">
        <v>35</v>
      </c>
      <c r="C1023" s="7" t="s">
        <v>74</v>
      </c>
      <c r="D1023" s="7" t="s">
        <v>43</v>
      </c>
      <c r="E1023" s="7" t="s">
        <v>66</v>
      </c>
      <c r="F1023" s="7" t="s">
        <v>75</v>
      </c>
      <c r="G1023" s="7" t="s">
        <v>76</v>
      </c>
      <c r="H1023" s="13" t="s">
        <v>67</v>
      </c>
    </row>
    <row r="1024" spans="1:8" ht="12.75">
      <c r="A1024" s="7" t="s">
        <v>26</v>
      </c>
      <c r="B1024" s="7">
        <f>A1022</f>
        <v>13345793.16910507</v>
      </c>
      <c r="C1024" s="7">
        <f>B1024/E1024</f>
        <v>76.6801602648691</v>
      </c>
      <c r="D1024" s="31">
        <f>C1024*1000/(365*$F$29)</f>
        <v>29.660120127439654</v>
      </c>
      <c r="E1024" s="7">
        <f>D1022/$F$29</f>
        <v>174044.93056621094</v>
      </c>
      <c r="F1024" s="7">
        <f>B1024*H1024</f>
        <v>3069532.4288941664</v>
      </c>
      <c r="G1024" s="7">
        <f>F1024/E1024</f>
        <v>17.636436860919893</v>
      </c>
      <c r="H1024" s="13">
        <f>H$56</f>
        <v>0.23</v>
      </c>
    </row>
    <row r="1025" spans="1:8" ht="12.75">
      <c r="A1025" t="s">
        <v>27</v>
      </c>
      <c r="B1025" s="33">
        <f>B1024*B$17</f>
        <v>801093.3812646081</v>
      </c>
      <c r="C1025" s="33">
        <f>B1025/E1025</f>
        <v>76.6801602648691</v>
      </c>
      <c r="D1025" s="33">
        <f>C1025*1000/(365*$F$29)</f>
        <v>29.660120127439654</v>
      </c>
      <c r="E1025" s="33">
        <f>B$4*E1024</f>
        <v>10447.205359215033</v>
      </c>
      <c r="F1025" s="33">
        <f>B1025*H1025</f>
        <v>0</v>
      </c>
      <c r="G1025" s="33">
        <f>F1025/E1025</f>
        <v>0</v>
      </c>
      <c r="H1025" s="36">
        <f>H$58</f>
        <v>0</v>
      </c>
    </row>
    <row r="1026" spans="1:8" ht="12.75">
      <c r="A1026" t="s">
        <v>28</v>
      </c>
      <c r="B1026" s="20">
        <f>B1024*B$18</f>
        <v>4220447.612006027</v>
      </c>
      <c r="C1026" s="20">
        <f>B1026/E1026</f>
        <v>76.6801602648691</v>
      </c>
      <c r="D1026" s="20">
        <f>C1026*1000/(365*$F$29)</f>
        <v>29.660120127439654</v>
      </c>
      <c r="E1026" s="20">
        <f>B$5*E1024</f>
        <v>55039.629513393425</v>
      </c>
      <c r="F1026" s="20">
        <f>B1026*H1026</f>
        <v>0</v>
      </c>
      <c r="G1026" s="20">
        <f>F1026/E1026</f>
        <v>0</v>
      </c>
      <c r="H1026" s="29">
        <f>H$59</f>
        <v>0</v>
      </c>
    </row>
    <row r="1027" spans="1:8" ht="12.75">
      <c r="A1027" t="s">
        <v>29</v>
      </c>
      <c r="B1027" s="23">
        <f>B1024*B$19</f>
        <v>8324252.175834433</v>
      </c>
      <c r="C1027" s="23">
        <f>B1027/E1027</f>
        <v>76.6801602648691</v>
      </c>
      <c r="D1027" s="23">
        <f>C1027*1000/(365*$F$29)</f>
        <v>29.660120127439654</v>
      </c>
      <c r="E1027" s="23">
        <f>B$6*E1024</f>
        <v>108558.09569360246</v>
      </c>
      <c r="F1027" s="23">
        <f>B1027*H1027</f>
        <v>0</v>
      </c>
      <c r="G1027" s="23">
        <f>F1027/E1027</f>
        <v>0</v>
      </c>
      <c r="H1027" s="30">
        <f>H$60</f>
        <v>0</v>
      </c>
    </row>
    <row r="1028" ht="12.75">
      <c r="B1028" s="42" t="s">
        <v>135</v>
      </c>
    </row>
    <row r="1029" spans="1:8" ht="12.75">
      <c r="A1029" s="7" t="s">
        <v>26</v>
      </c>
      <c r="B1029" s="7">
        <f>E1029*$F$26</f>
        <v>264753.4934337782</v>
      </c>
      <c r="C1029" s="7">
        <f>B1029/E1029</f>
        <v>1.5211789999999998</v>
      </c>
      <c r="D1029" s="31">
        <f>C1029*1000/(365*$F$29)</f>
        <v>0.5883966820034077</v>
      </c>
      <c r="E1029" s="7">
        <f>D1022/$F$29</f>
        <v>174044.93056621094</v>
      </c>
      <c r="F1029" s="7">
        <f>H1029*B1029</f>
        <v>13985868.044132765</v>
      </c>
      <c r="G1029" s="8">
        <f>F1029/E1029</f>
        <v>80.35780185399999</v>
      </c>
      <c r="H1029" s="8">
        <f>$F$27</f>
        <v>52.826</v>
      </c>
    </row>
    <row r="1030" spans="1:8" ht="12.75">
      <c r="A1030" t="s">
        <v>27</v>
      </c>
      <c r="B1030" s="33">
        <f>B1029*$F$17</f>
        <v>6606.305357980401</v>
      </c>
      <c r="C1030" s="33"/>
      <c r="D1030" s="33"/>
      <c r="E1030" s="33"/>
      <c r="F1030" s="33"/>
      <c r="G1030" s="32"/>
      <c r="H1030" s="36"/>
    </row>
    <row r="1031" spans="1:8" ht="12.75">
      <c r="A1031" t="s">
        <v>28</v>
      </c>
      <c r="B1031" s="20">
        <f>B1029*$F$18</f>
        <v>52206.58351013415</v>
      </c>
      <c r="C1031" s="20"/>
      <c r="D1031" s="20"/>
      <c r="E1031" s="20"/>
      <c r="F1031" s="20"/>
      <c r="G1031" s="25"/>
      <c r="H1031" s="29"/>
    </row>
    <row r="1032" spans="1:8" ht="12.75">
      <c r="A1032" t="s">
        <v>29</v>
      </c>
      <c r="B1032" s="23">
        <f>B1029*$F$19</f>
        <v>205940.6045656636</v>
      </c>
      <c r="C1032" s="23"/>
      <c r="D1032" s="23"/>
      <c r="E1032" s="23"/>
      <c r="F1032" s="23"/>
      <c r="G1032" s="26"/>
      <c r="H1032" s="30"/>
    </row>
    <row r="1033" ht="12.75">
      <c r="B1033" s="42" t="s">
        <v>30</v>
      </c>
    </row>
    <row r="1034" spans="1:8" ht="12.75">
      <c r="A1034" s="7" t="s">
        <v>26</v>
      </c>
      <c r="B1034" s="7">
        <f>E1034*$F$24</f>
        <v>2355738.498138194</v>
      </c>
      <c r="C1034" s="7">
        <f>B1034/E1034</f>
        <v>13.5352319109462</v>
      </c>
      <c r="D1034" s="7">
        <f>C1034*1000/(365*$F$29)</f>
        <v>5.235469031946528</v>
      </c>
      <c r="E1034" s="7">
        <f>D1022/$F$29</f>
        <v>174044.93056621094</v>
      </c>
      <c r="F1034" s="7">
        <f>H1034*B1034</f>
        <v>9422953.992552776</v>
      </c>
      <c r="G1034" s="8">
        <f>F1034/E1034</f>
        <v>54.1409276437848</v>
      </c>
      <c r="H1034" s="8">
        <f>$F$28</f>
        <v>4</v>
      </c>
    </row>
    <row r="1035" spans="1:8" ht="12.75">
      <c r="A1035" t="s">
        <v>27</v>
      </c>
      <c r="B1035" s="33">
        <f>B1034*$D$17</f>
        <v>87086.41300971879</v>
      </c>
      <c r="C1035" s="33"/>
      <c r="D1035" s="33"/>
      <c r="E1035" s="33"/>
      <c r="F1035" s="33"/>
      <c r="G1035" s="32"/>
      <c r="H1035" s="36"/>
    </row>
    <row r="1036" spans="1:8" ht="12.75">
      <c r="A1036" t="s">
        <v>28</v>
      </c>
      <c r="B1036" s="20">
        <f>B1034*$D$18</f>
        <v>458802.4972130377</v>
      </c>
      <c r="C1036" s="20"/>
      <c r="D1036" s="20"/>
      <c r="E1036" s="20"/>
      <c r="F1036" s="20"/>
      <c r="G1036" s="25"/>
      <c r="H1036" s="29"/>
    </row>
    <row r="1037" spans="1:8" ht="12.75">
      <c r="A1037" t="s">
        <v>29</v>
      </c>
      <c r="B1037" s="23">
        <f>B1034*$D$19</f>
        <v>1809849.5879154375</v>
      </c>
      <c r="C1037" s="23"/>
      <c r="D1037" s="23"/>
      <c r="E1037" s="23"/>
      <c r="F1037" s="23"/>
      <c r="G1037" s="26"/>
      <c r="H1037" s="30"/>
    </row>
    <row r="1038" ht="12.75">
      <c r="B1038" s="42" t="s">
        <v>143</v>
      </c>
    </row>
    <row r="1039" spans="1:7" ht="12.75">
      <c r="A1039" s="7" t="s">
        <v>26</v>
      </c>
      <c r="B1039" s="7">
        <f>E1022</f>
        <v>28018240.66045407</v>
      </c>
      <c r="C1039" s="7">
        <f>B1039/E1039</f>
        <v>160.9828023677785</v>
      </c>
      <c r="D1039" s="7">
        <f>C1039*1000/(365*$F$29)</f>
        <v>62.26863950449697</v>
      </c>
      <c r="E1039" s="7">
        <f>D1022/$F$29</f>
        <v>174044.93056621094</v>
      </c>
      <c r="F1039" s="7">
        <f>F1024+F1029+F1034</f>
        <v>26478354.465579707</v>
      </c>
      <c r="G1039" s="8">
        <f>F1039/E1039</f>
        <v>152.13516635870468</v>
      </c>
    </row>
    <row r="1040" spans="1:8" ht="12.75">
      <c r="A1040" t="s">
        <v>27</v>
      </c>
      <c r="B1040" s="33"/>
      <c r="C1040" s="33"/>
      <c r="D1040" s="33"/>
      <c r="E1040" s="33"/>
      <c r="F1040" s="33"/>
      <c r="G1040" s="32"/>
      <c r="H1040" s="36"/>
    </row>
    <row r="1041" spans="1:8" ht="12.75">
      <c r="A1041" t="s">
        <v>28</v>
      </c>
      <c r="B1041" s="20"/>
      <c r="C1041" s="20"/>
      <c r="D1041" s="20"/>
      <c r="E1041" s="20"/>
      <c r="F1041" s="20"/>
      <c r="G1041" s="25"/>
      <c r="H1041" s="29"/>
    </row>
    <row r="1042" spans="1:8" ht="12.75">
      <c r="A1042" t="s">
        <v>29</v>
      </c>
      <c r="B1042" s="23"/>
      <c r="C1042" s="23"/>
      <c r="D1042" s="23"/>
      <c r="E1042" s="23"/>
      <c r="F1042" s="23"/>
      <c r="G1042" s="26"/>
      <c r="H1042" s="30"/>
    </row>
    <row r="1044" spans="1:8" ht="12.75">
      <c r="A1044" s="41" t="s">
        <v>149</v>
      </c>
      <c r="H1044" s="14">
        <v>2028</v>
      </c>
    </row>
    <row r="1045" spans="1:8" ht="12.75">
      <c r="A1045" s="10" t="s">
        <v>73</v>
      </c>
      <c r="B1045" s="9" t="s">
        <v>144</v>
      </c>
      <c r="C1045" s="9" t="s">
        <v>58</v>
      </c>
      <c r="D1045" s="9" t="s">
        <v>303</v>
      </c>
      <c r="E1045" s="9" t="s">
        <v>78</v>
      </c>
      <c r="G1045" s="9" t="s">
        <v>72</v>
      </c>
      <c r="H1045" s="10">
        <f>H1044-2009</f>
        <v>19</v>
      </c>
    </row>
    <row r="1046" spans="1:8" ht="12.75">
      <c r="A1046" s="9">
        <f>$B$92*(1-($E$137*(1+$E$139)^$F1046)-($E$141*(1+$E$143)^$F1046))/((1-($E$129*(1+$E$131)^$F1046)-$E$133*(1+$E$135)^$F1046))</f>
        <v>28646858.28745457</v>
      </c>
      <c r="B1046" s="7">
        <f>E1046-(B1048+B1053+B1058)</f>
        <v>-760994.3737173937</v>
      </c>
      <c r="C1046" s="9">
        <f>$E$122</f>
        <v>700061.4217466069</v>
      </c>
      <c r="D1046" s="9">
        <f>(C1046*(1+$E$119)^F1046)*($E$126*(1+$E$125)^$F1046)</f>
        <v>1232760.243200472</v>
      </c>
      <c r="E1046" s="9">
        <f>(D1046/$F$29)*$G$33</f>
        <v>28018240.66045407</v>
      </c>
      <c r="F1046" s="8">
        <f>H1045-1</f>
        <v>18</v>
      </c>
      <c r="H1046" s="14" t="s">
        <v>50</v>
      </c>
    </row>
    <row r="1047" spans="2:8" ht="12.75">
      <c r="B1047" s="42" t="s">
        <v>35</v>
      </c>
      <c r="C1047" s="7" t="s">
        <v>74</v>
      </c>
      <c r="D1047" s="7" t="s">
        <v>43</v>
      </c>
      <c r="E1047" s="7" t="s">
        <v>66</v>
      </c>
      <c r="F1047" s="7" t="s">
        <v>75</v>
      </c>
      <c r="G1047" s="7" t="s">
        <v>76</v>
      </c>
      <c r="H1047" s="13" t="s">
        <v>67</v>
      </c>
    </row>
    <row r="1048" spans="1:8" ht="12.75">
      <c r="A1048" s="7" t="s">
        <v>26</v>
      </c>
      <c r="B1048" s="7">
        <f>A1046</f>
        <v>28646858.28745457</v>
      </c>
      <c r="C1048" s="7">
        <f>B1048/E1048</f>
        <v>164.59461470241794</v>
      </c>
      <c r="D1048" s="31">
        <f>C1048*1000/(365*$F$29)</f>
        <v>63.66569954392746</v>
      </c>
      <c r="E1048" s="7">
        <f>D1046/$F$29</f>
        <v>174044.93056621094</v>
      </c>
      <c r="F1048" s="7">
        <f>B1048*H1048</f>
        <v>6588777.406114552</v>
      </c>
      <c r="G1048" s="7">
        <f>F1048/E1048</f>
        <v>37.856761381556126</v>
      </c>
      <c r="H1048" s="13">
        <f>H$56</f>
        <v>0.23</v>
      </c>
    </row>
    <row r="1049" spans="1:8" ht="12.75">
      <c r="A1049" t="s">
        <v>27</v>
      </c>
      <c r="B1049" s="33">
        <f>B1048*B$17</f>
        <v>1719553.740817034</v>
      </c>
      <c r="C1049" s="33">
        <f>B1049/E1049</f>
        <v>164.5946147024179</v>
      </c>
      <c r="D1049" s="33">
        <f>C1049*1000/(365*$F$29)</f>
        <v>63.66569954392745</v>
      </c>
      <c r="E1049" s="33">
        <f>B$4*E1048</f>
        <v>10447.205359215033</v>
      </c>
      <c r="F1049" s="33">
        <f>B1049*H1049</f>
        <v>0</v>
      </c>
      <c r="G1049" s="33">
        <f>F1049/E1049</f>
        <v>0</v>
      </c>
      <c r="H1049" s="36">
        <f>H$58</f>
        <v>0</v>
      </c>
    </row>
    <row r="1050" spans="1:8" ht="12.75">
      <c r="A1050" t="s">
        <v>28</v>
      </c>
      <c r="B1050" s="20">
        <f>B1048*B$18</f>
        <v>9059226.613120822</v>
      </c>
      <c r="C1050" s="20">
        <f>B1050/E1050</f>
        <v>164.59461470241794</v>
      </c>
      <c r="D1050" s="20">
        <f>C1050*1000/(365*$F$29)</f>
        <v>63.66569954392746</v>
      </c>
      <c r="E1050" s="20">
        <f>B$5*E1048</f>
        <v>55039.629513393425</v>
      </c>
      <c r="F1050" s="20">
        <f>B1050*H1050</f>
        <v>0</v>
      </c>
      <c r="G1050" s="20">
        <f>F1050/E1050</f>
        <v>0</v>
      </c>
      <c r="H1050" s="29">
        <f>H$59</f>
        <v>0</v>
      </c>
    </row>
    <row r="1051" spans="1:8" ht="12.75">
      <c r="A1051" t="s">
        <v>29</v>
      </c>
      <c r="B1051" s="23">
        <f>B1048*B$19</f>
        <v>17868077.93351671</v>
      </c>
      <c r="C1051" s="23">
        <f>B1051/E1051</f>
        <v>164.5946147024179</v>
      </c>
      <c r="D1051" s="23">
        <f>C1051*1000/(365*$F$29)</f>
        <v>63.66569954392745</v>
      </c>
      <c r="E1051" s="23">
        <f>B$6*E1048</f>
        <v>108558.09569360246</v>
      </c>
      <c r="F1051" s="23">
        <f>B1051*H1051</f>
        <v>0</v>
      </c>
      <c r="G1051" s="23">
        <f>F1051/E1051</f>
        <v>0</v>
      </c>
      <c r="H1051" s="30">
        <f>H$60</f>
        <v>0</v>
      </c>
    </row>
    <row r="1052" ht="12.75">
      <c r="B1052" s="42" t="s">
        <v>135</v>
      </c>
    </row>
    <row r="1053" spans="1:8" ht="12.75">
      <c r="A1053" s="7" t="s">
        <v>26</v>
      </c>
      <c r="B1053" s="7">
        <f>E1053*$F$26*$E$145</f>
        <v>132376.7467168891</v>
      </c>
      <c r="C1053" s="7">
        <f>B1053/E1053</f>
        <v>0.7605894999999999</v>
      </c>
      <c r="D1053" s="31">
        <f>C1053*1000/(365*$F$29)</f>
        <v>0.29419834100170383</v>
      </c>
      <c r="E1053" s="7">
        <f>D1046/$F$29</f>
        <v>174044.93056621094</v>
      </c>
      <c r="F1053" s="7">
        <f>H$165*B1053</f>
        <v>6992934.022066383</v>
      </c>
      <c r="G1053" s="8">
        <f>F1053/E1053</f>
        <v>40.178900926999994</v>
      </c>
      <c r="H1053" s="8">
        <f>$F$27</f>
        <v>52.826</v>
      </c>
    </row>
    <row r="1054" spans="1:8" ht="12.75">
      <c r="A1054" t="s">
        <v>27</v>
      </c>
      <c r="B1054" s="33">
        <f>B1053*$F$17</f>
        <v>3303.1526789902005</v>
      </c>
      <c r="C1054" s="33"/>
      <c r="D1054" s="33"/>
      <c r="E1054" s="33"/>
      <c r="F1054" s="33"/>
      <c r="G1054" s="32"/>
      <c r="H1054" s="36"/>
    </row>
    <row r="1055" spans="1:8" ht="12.75">
      <c r="A1055" t="s">
        <v>28</v>
      </c>
      <c r="B1055" s="20">
        <f>B1053*$F$18</f>
        <v>26103.291755067075</v>
      </c>
      <c r="C1055" s="20"/>
      <c r="D1055" s="20"/>
      <c r="E1055" s="20"/>
      <c r="F1055" s="20"/>
      <c r="G1055" s="25"/>
      <c r="H1055" s="29"/>
    </row>
    <row r="1056" spans="1:8" ht="12.75">
      <c r="A1056" t="s">
        <v>29</v>
      </c>
      <c r="B1056" s="23">
        <f>B1053*$F$19</f>
        <v>102970.3022828318</v>
      </c>
      <c r="C1056" s="23"/>
      <c r="D1056" s="23"/>
      <c r="E1056" s="23"/>
      <c r="F1056" s="23"/>
      <c r="G1056" s="26"/>
      <c r="H1056" s="30"/>
    </row>
    <row r="1057" ht="12.75">
      <c r="B1057" s="42" t="s">
        <v>30</v>
      </c>
    </row>
    <row r="1058" spans="1:8" ht="12.75">
      <c r="A1058" s="7" t="s">
        <v>26</v>
      </c>
      <c r="B1058" s="7">
        <f>IF(E1046&gt;=(B1048+B1053),(E1046-(B1048+B1053)),0)</f>
        <v>0</v>
      </c>
      <c r="C1058" s="7">
        <f>B1058/E1058</f>
        <v>0</v>
      </c>
      <c r="D1058" s="7">
        <f>C1058*1000/(365*$F$29)</f>
        <v>0</v>
      </c>
      <c r="E1058" s="7">
        <f>D1046/$F$29</f>
        <v>174044.93056621094</v>
      </c>
      <c r="F1058" s="7">
        <f>H$170*B1058</f>
        <v>0</v>
      </c>
      <c r="G1058" s="8">
        <f>F1058/E1058</f>
        <v>0</v>
      </c>
      <c r="H1058" s="8">
        <f>$F$28</f>
        <v>4</v>
      </c>
    </row>
    <row r="1059" spans="1:8" ht="12.75">
      <c r="A1059" t="s">
        <v>27</v>
      </c>
      <c r="B1059" s="33">
        <f>B1058*$D$17</f>
        <v>0</v>
      </c>
      <c r="C1059" s="33"/>
      <c r="D1059" s="33"/>
      <c r="E1059" s="33"/>
      <c r="F1059" s="33"/>
      <c r="G1059" s="32"/>
      <c r="H1059" s="36"/>
    </row>
    <row r="1060" spans="1:8" ht="12.75">
      <c r="A1060" t="s">
        <v>28</v>
      </c>
      <c r="B1060" s="20">
        <f>B1058*$D$18</f>
        <v>0</v>
      </c>
      <c r="C1060" s="20"/>
      <c r="D1060" s="20"/>
      <c r="E1060" s="20"/>
      <c r="F1060" s="20"/>
      <c r="G1060" s="25"/>
      <c r="H1060" s="29"/>
    </row>
    <row r="1061" spans="1:8" ht="12.75">
      <c r="A1061" t="s">
        <v>29</v>
      </c>
      <c r="B1061" s="23">
        <f>B1058*$D$19</f>
        <v>0</v>
      </c>
      <c r="C1061" s="23"/>
      <c r="D1061" s="23"/>
      <c r="E1061" s="23"/>
      <c r="F1061" s="23"/>
      <c r="G1061" s="26"/>
      <c r="H1061" s="30"/>
    </row>
    <row r="1062" ht="12.75">
      <c r="B1062" s="42" t="s">
        <v>143</v>
      </c>
    </row>
    <row r="1063" spans="1:7" ht="12.75">
      <c r="A1063" s="7" t="s">
        <v>26</v>
      </c>
      <c r="B1063" s="7">
        <f>IF(E1046&gt;=(B1048+B1053),E1046,(B1048+B1053+B1058))</f>
        <v>28779235.034171462</v>
      </c>
      <c r="C1063" s="7">
        <f>B1063/E1063</f>
        <v>165.35520420241795</v>
      </c>
      <c r="D1063" s="7">
        <f>C1063*1000/(365*$F$29)</f>
        <v>63.95989788492917</v>
      </c>
      <c r="E1063" s="7">
        <f>D1046/$F$29</f>
        <v>174044.93056621094</v>
      </c>
      <c r="F1063" s="7">
        <f>F1048+F1053+F1058</f>
        <v>13581711.428180935</v>
      </c>
      <c r="G1063" s="8">
        <f>F1063/E1063</f>
        <v>78.03566230855613</v>
      </c>
    </row>
    <row r="1064" spans="1:8" ht="12.75">
      <c r="A1064" t="s">
        <v>27</v>
      </c>
      <c r="B1064" s="33"/>
      <c r="C1064" s="33"/>
      <c r="D1064" s="33"/>
      <c r="E1064" s="33"/>
      <c r="F1064" s="33"/>
      <c r="G1064" s="32"/>
      <c r="H1064" s="36"/>
    </row>
    <row r="1065" spans="1:8" ht="12.75">
      <c r="A1065" t="s">
        <v>28</v>
      </c>
      <c r="B1065" s="20"/>
      <c r="C1065" s="20"/>
      <c r="D1065" s="20"/>
      <c r="E1065" s="20"/>
      <c r="F1065" s="20"/>
      <c r="G1065" s="25"/>
      <c r="H1065" s="29"/>
    </row>
    <row r="1066" spans="1:8" ht="12.75">
      <c r="A1066" t="s">
        <v>29</v>
      </c>
      <c r="B1066" s="23"/>
      <c r="C1066" s="23"/>
      <c r="D1066" s="23"/>
      <c r="E1066" s="23"/>
      <c r="F1066" s="23"/>
      <c r="G1066" s="26"/>
      <c r="H1066" s="30"/>
    </row>
    <row r="1068" spans="1:8" ht="12.75">
      <c r="A1068" s="41" t="s">
        <v>149</v>
      </c>
      <c r="H1068" s="10">
        <v>2029</v>
      </c>
    </row>
    <row r="1069" spans="1:8" ht="12.75">
      <c r="A1069" s="10" t="s">
        <v>73</v>
      </c>
      <c r="B1069" s="9" t="s">
        <v>144</v>
      </c>
      <c r="C1069" s="9" t="s">
        <v>58</v>
      </c>
      <c r="D1069" s="9" t="s">
        <v>303</v>
      </c>
      <c r="E1069" s="9" t="s">
        <v>78</v>
      </c>
      <c r="G1069" s="9" t="s">
        <v>72</v>
      </c>
      <c r="H1069" s="10">
        <f>H1068-2009</f>
        <v>20</v>
      </c>
    </row>
    <row r="1070" spans="1:8" ht="12.75">
      <c r="A1070" s="9">
        <f>($B$92*(1-($E$129*(1+$E$131)^$F1070)-$E$133*(1+$E$135)^($F1070)))/((1-$E$129-$E$133))</f>
        <v>13299248.0411915</v>
      </c>
      <c r="B1070" s="7">
        <f>E1070-(B1072+B1077+B1082)</f>
        <v>12937261.46779354</v>
      </c>
      <c r="C1070" s="9">
        <f>$E$122</f>
        <v>700061.4217466069</v>
      </c>
      <c r="D1070" s="9">
        <f>(C1070*(1+$E$119)^F1070)*($E$126*(1+$E$125)^$F1070)</f>
        <v>1273472.159469618</v>
      </c>
      <c r="E1070" s="9">
        <f>(D1070/$F$29)*$G$33</f>
        <v>28943543.268214826</v>
      </c>
      <c r="F1070" s="8">
        <f>H1069-1</f>
        <v>19</v>
      </c>
      <c r="H1070" s="14" t="s">
        <v>49</v>
      </c>
    </row>
    <row r="1071" spans="2:8" ht="12.75">
      <c r="B1071" s="42" t="s">
        <v>35</v>
      </c>
      <c r="C1071" s="7" t="s">
        <v>74</v>
      </c>
      <c r="D1071" s="7" t="s">
        <v>43</v>
      </c>
      <c r="E1071" s="7" t="s">
        <v>66</v>
      </c>
      <c r="F1071" s="7" t="s">
        <v>75</v>
      </c>
      <c r="G1071" s="7" t="s">
        <v>76</v>
      </c>
      <c r="H1071" s="13" t="s">
        <v>67</v>
      </c>
    </row>
    <row r="1072" spans="1:8" ht="12.75">
      <c r="A1072" s="7" t="s">
        <v>26</v>
      </c>
      <c r="B1072" s="7">
        <f>A1070</f>
        <v>13299248.0411915</v>
      </c>
      <c r="C1072" s="7">
        <f>B1072/E1072</f>
        <v>73.96987297703602</v>
      </c>
      <c r="D1072" s="31">
        <f>C1072*1000/(365*$F$29)</f>
        <v>28.611772728851456</v>
      </c>
      <c r="E1072" s="7">
        <f>D1070/$F$29</f>
        <v>179792.76570233205</v>
      </c>
      <c r="F1072" s="7">
        <f>B1072*H1072</f>
        <v>3058827.049474045</v>
      </c>
      <c r="G1072" s="7">
        <f>F1072/E1072</f>
        <v>17.013070784718284</v>
      </c>
      <c r="H1072" s="13">
        <f>H$56</f>
        <v>0.23</v>
      </c>
    </row>
    <row r="1073" spans="1:8" ht="12.75">
      <c r="A1073" t="s">
        <v>27</v>
      </c>
      <c r="B1073" s="33">
        <f>B1072*B$17</f>
        <v>798299.4675998891</v>
      </c>
      <c r="C1073" s="33">
        <f>B1073/E1073</f>
        <v>73.96987297703602</v>
      </c>
      <c r="D1073" s="33">
        <f>C1073*1000/(365*$F$29)</f>
        <v>28.611772728851456</v>
      </c>
      <c r="E1073" s="33">
        <f>B$4*E1072</f>
        <v>10792.22439448722</v>
      </c>
      <c r="F1073" s="33">
        <f>B1073*H1073</f>
        <v>0</v>
      </c>
      <c r="G1073" s="33">
        <f>F1073/E1073</f>
        <v>0</v>
      </c>
      <c r="H1073" s="36">
        <f>H$58</f>
        <v>0</v>
      </c>
    </row>
    <row r="1074" spans="1:8" ht="12.75">
      <c r="A1074" t="s">
        <v>28</v>
      </c>
      <c r="B1074" s="20">
        <f>B1072*B$18</f>
        <v>4205728.271501928</v>
      </c>
      <c r="C1074" s="20">
        <f>B1074/E1074</f>
        <v>73.96987297703602</v>
      </c>
      <c r="D1074" s="20">
        <f>C1074*1000/(365*$F$29)</f>
        <v>28.611772728851456</v>
      </c>
      <c r="E1074" s="20">
        <f>B$5*E1072</f>
        <v>56857.31369050205</v>
      </c>
      <c r="F1074" s="20">
        <f>B1074*H1074</f>
        <v>0</v>
      </c>
      <c r="G1074" s="20">
        <f>F1074/E1074</f>
        <v>0</v>
      </c>
      <c r="H1074" s="29">
        <f>H$59</f>
        <v>0</v>
      </c>
    </row>
    <row r="1075" spans="1:8" ht="12.75">
      <c r="A1075" t="s">
        <v>29</v>
      </c>
      <c r="B1075" s="23">
        <f>B1072*B$19</f>
        <v>8295220.302089681</v>
      </c>
      <c r="C1075" s="23">
        <f>B1075/E1075</f>
        <v>73.96987297703602</v>
      </c>
      <c r="D1075" s="23">
        <f>C1075*1000/(365*$F$29)</f>
        <v>28.611772728851456</v>
      </c>
      <c r="E1075" s="23">
        <f>B$6*E1072</f>
        <v>112143.22761734275</v>
      </c>
      <c r="F1075" s="23">
        <f>B1075*H1075</f>
        <v>0</v>
      </c>
      <c r="G1075" s="23">
        <f>F1075/E1075</f>
        <v>0</v>
      </c>
      <c r="H1075" s="30">
        <f>H$60</f>
        <v>0</v>
      </c>
    </row>
    <row r="1076" ht="12.75">
      <c r="B1076" s="42" t="s">
        <v>135</v>
      </c>
    </row>
    <row r="1077" spans="1:8" ht="12.75">
      <c r="A1077" s="7" t="s">
        <v>26</v>
      </c>
      <c r="B1077" s="7">
        <f>E1077*$F$26</f>
        <v>273496.97953830776</v>
      </c>
      <c r="C1077" s="7">
        <f>B1077/E1077</f>
        <v>1.521179</v>
      </c>
      <c r="D1077" s="31">
        <f>C1077*1000/(365*$F$29)</f>
        <v>0.5883966820034078</v>
      </c>
      <c r="E1077" s="7">
        <f>D1070/$F$29</f>
        <v>179792.76570233205</v>
      </c>
      <c r="F1077" s="7">
        <f>H1077*B1077</f>
        <v>14447751.441090645</v>
      </c>
      <c r="G1077" s="8">
        <f>F1077/E1077</f>
        <v>80.357801854</v>
      </c>
      <c r="H1077" s="8">
        <f>$F$27</f>
        <v>52.826</v>
      </c>
    </row>
    <row r="1078" spans="1:8" ht="12.75">
      <c r="A1078" t="s">
        <v>27</v>
      </c>
      <c r="B1078" s="33">
        <f>B1077*$F$17</f>
        <v>6824.478641930774</v>
      </c>
      <c r="C1078" s="33"/>
      <c r="D1078" s="33"/>
      <c r="E1078" s="33"/>
      <c r="F1078" s="33"/>
      <c r="G1078" s="32"/>
      <c r="H1078" s="36"/>
    </row>
    <row r="1079" spans="1:8" ht="12.75">
      <c r="A1079" t="s">
        <v>28</v>
      </c>
      <c r="B1079" s="20">
        <f>B1077*$F$18</f>
        <v>53930.70632175626</v>
      </c>
      <c r="C1079" s="20"/>
      <c r="D1079" s="20"/>
      <c r="E1079" s="20"/>
      <c r="F1079" s="20"/>
      <c r="G1079" s="25"/>
      <c r="H1079" s="29"/>
    </row>
    <row r="1080" spans="1:8" ht="12.75">
      <c r="A1080" t="s">
        <v>29</v>
      </c>
      <c r="B1080" s="23">
        <f>B1077*$F$19</f>
        <v>212741.79457462073</v>
      </c>
      <c r="C1080" s="23"/>
      <c r="D1080" s="23"/>
      <c r="E1080" s="23"/>
      <c r="F1080" s="23"/>
      <c r="G1080" s="26"/>
      <c r="H1080" s="30"/>
    </row>
    <row r="1081" ht="12.75">
      <c r="B1081" s="42" t="s">
        <v>30</v>
      </c>
    </row>
    <row r="1082" spans="1:8" ht="12.75">
      <c r="A1082" s="7" t="s">
        <v>26</v>
      </c>
      <c r="B1082" s="7">
        <f>E1082*$F$24</f>
        <v>2433536.7796914782</v>
      </c>
      <c r="C1082" s="7">
        <f>B1082/E1082</f>
        <v>13.5352319109462</v>
      </c>
      <c r="D1082" s="7">
        <f>C1082*1000/(365*$F$29)</f>
        <v>5.235469031946528</v>
      </c>
      <c r="E1082" s="7">
        <f>D1070/$F$29</f>
        <v>179792.76570233205</v>
      </c>
      <c r="F1082" s="7">
        <f>H1082*B1082</f>
        <v>9734147.118765913</v>
      </c>
      <c r="G1082" s="8">
        <f>F1082/E1082</f>
        <v>54.1409276437848</v>
      </c>
      <c r="H1082" s="8">
        <f>$F$28</f>
        <v>4</v>
      </c>
    </row>
    <row r="1083" spans="1:8" ht="12.75">
      <c r="A1083" t="s">
        <v>27</v>
      </c>
      <c r="B1083" s="33">
        <f>B1082*$D$17</f>
        <v>89962.44245192994</v>
      </c>
      <c r="C1083" s="33"/>
      <c r="D1083" s="33"/>
      <c r="E1083" s="33"/>
      <c r="F1083" s="33"/>
      <c r="G1083" s="32"/>
      <c r="H1083" s="36"/>
    </row>
    <row r="1084" spans="1:8" ht="12.75">
      <c r="A1084" t="s">
        <v>28</v>
      </c>
      <c r="B1084" s="20">
        <f>B1082*$D$18</f>
        <v>473954.45312144596</v>
      </c>
      <c r="C1084" s="20"/>
      <c r="D1084" s="20"/>
      <c r="E1084" s="20"/>
      <c r="F1084" s="20"/>
      <c r="G1084" s="25"/>
      <c r="H1084" s="29"/>
    </row>
    <row r="1085" spans="1:8" ht="12.75">
      <c r="A1085" t="s">
        <v>29</v>
      </c>
      <c r="B1085" s="23">
        <f>B1082*$D$19</f>
        <v>1869619.8841181025</v>
      </c>
      <c r="C1085" s="23"/>
      <c r="D1085" s="23"/>
      <c r="E1085" s="23"/>
      <c r="F1085" s="23"/>
      <c r="G1085" s="26"/>
      <c r="H1085" s="30"/>
    </row>
    <row r="1086" ht="12.75">
      <c r="B1086" s="42" t="s">
        <v>143</v>
      </c>
    </row>
    <row r="1087" spans="1:7" ht="12.75">
      <c r="A1087" s="7" t="s">
        <v>26</v>
      </c>
      <c r="B1087" s="7">
        <f>E1070</f>
        <v>28943543.268214826</v>
      </c>
      <c r="C1087" s="7">
        <f>B1087/E1087</f>
        <v>160.9828023677785</v>
      </c>
      <c r="D1087" s="7">
        <f>C1087*1000/(365*$F$29)</f>
        <v>62.26863950449697</v>
      </c>
      <c r="E1087" s="7">
        <f>D1070/$F$29</f>
        <v>179792.76570233205</v>
      </c>
      <c r="F1087" s="7">
        <f>F1072+F1077+F1082</f>
        <v>27240725.609330602</v>
      </c>
      <c r="G1087" s="8">
        <f>F1087/E1087</f>
        <v>151.51180028250306</v>
      </c>
    </row>
    <row r="1088" spans="1:8" ht="12.75">
      <c r="A1088" t="s">
        <v>27</v>
      </c>
      <c r="B1088" s="33"/>
      <c r="C1088" s="33"/>
      <c r="D1088" s="33"/>
      <c r="E1088" s="33"/>
      <c r="F1088" s="33"/>
      <c r="G1088" s="32"/>
      <c r="H1088" s="36"/>
    </row>
    <row r="1089" spans="1:8" ht="12.75">
      <c r="A1089" t="s">
        <v>28</v>
      </c>
      <c r="B1089" s="20"/>
      <c r="C1089" s="20"/>
      <c r="D1089" s="20"/>
      <c r="E1089" s="20"/>
      <c r="F1089" s="20"/>
      <c r="G1089" s="25"/>
      <c r="H1089" s="29"/>
    </row>
    <row r="1090" spans="1:8" ht="12.75">
      <c r="A1090" t="s">
        <v>29</v>
      </c>
      <c r="B1090" s="23"/>
      <c r="C1090" s="23"/>
      <c r="D1090" s="23"/>
      <c r="E1090" s="23"/>
      <c r="F1090" s="23"/>
      <c r="G1090" s="26"/>
      <c r="H1090" s="30"/>
    </row>
    <row r="1092" spans="1:8" ht="12.75">
      <c r="A1092" s="41" t="s">
        <v>149</v>
      </c>
      <c r="H1092" s="14">
        <v>2029</v>
      </c>
    </row>
    <row r="1093" spans="1:8" ht="12.75">
      <c r="A1093" s="10" t="s">
        <v>73</v>
      </c>
      <c r="B1093" s="9" t="s">
        <v>144</v>
      </c>
      <c r="C1093" s="9" t="s">
        <v>58</v>
      </c>
      <c r="D1093" s="9" t="s">
        <v>303</v>
      </c>
      <c r="E1093" s="9" t="s">
        <v>78</v>
      </c>
      <c r="G1093" s="9" t="s">
        <v>72</v>
      </c>
      <c r="H1093" s="10">
        <f>H1092-2009</f>
        <v>20</v>
      </c>
    </row>
    <row r="1094" spans="1:8" ht="12.75">
      <c r="A1094" s="9">
        <f>$B$92*(1-($E$137*(1+$E$139)^$F1094)-($E$141*(1+$E$143)^$F1094))/((1-($E$129*(1+$E$131)^$F1094)-$E$133*(1+$E$135)^$F1094))</f>
        <v>28766247.856046233</v>
      </c>
      <c r="B1094" s="7">
        <f>E1094-(B1096+B1101+B1106)</f>
        <v>0</v>
      </c>
      <c r="C1094" s="9">
        <f>$E$122</f>
        <v>700061.4217466069</v>
      </c>
      <c r="D1094" s="9">
        <f>(C1094*(1+$E$119)^F1094)*($E$126*(1+$E$125)^$F1094)</f>
        <v>1273472.159469618</v>
      </c>
      <c r="E1094" s="9">
        <f>(D1094/$F$29)*$G$33</f>
        <v>28943543.268214826</v>
      </c>
      <c r="F1094" s="8">
        <f>H1093-1</f>
        <v>19</v>
      </c>
      <c r="H1094" s="14" t="s">
        <v>50</v>
      </c>
    </row>
    <row r="1095" spans="2:8" ht="12.75">
      <c r="B1095" s="42" t="s">
        <v>35</v>
      </c>
      <c r="C1095" s="7" t="s">
        <v>74</v>
      </c>
      <c r="D1095" s="7" t="s">
        <v>43</v>
      </c>
      <c r="E1095" s="7" t="s">
        <v>66</v>
      </c>
      <c r="F1095" s="7" t="s">
        <v>75</v>
      </c>
      <c r="G1095" s="7" t="s">
        <v>76</v>
      </c>
      <c r="H1095" s="13" t="s">
        <v>67</v>
      </c>
    </row>
    <row r="1096" spans="1:8" ht="12.75">
      <c r="A1096" s="7" t="s">
        <v>26</v>
      </c>
      <c r="B1096" s="7">
        <f>A1094</f>
        <v>28766247.856046233</v>
      </c>
      <c r="C1096" s="7">
        <f>B1096/E1096</f>
        <v>159.99669254586206</v>
      </c>
      <c r="D1096" s="31">
        <f>C1096*1000/(365*$F$29)</f>
        <v>61.88720921436898</v>
      </c>
      <c r="E1096" s="7">
        <f>D1094/$F$29</f>
        <v>179792.76570233205</v>
      </c>
      <c r="F1096" s="7">
        <f>B1096*H1096</f>
        <v>6616237.006890634</v>
      </c>
      <c r="G1096" s="7">
        <f>F1096/E1096</f>
        <v>36.799239285548275</v>
      </c>
      <c r="H1096" s="13">
        <f>H$56</f>
        <v>0.23</v>
      </c>
    </row>
    <row r="1097" spans="1:8" ht="12.75">
      <c r="A1097" t="s">
        <v>27</v>
      </c>
      <c r="B1097" s="33">
        <f>B1096*B$17</f>
        <v>1726720.208330724</v>
      </c>
      <c r="C1097" s="33">
        <f>B1097/E1097</f>
        <v>159.99669254586203</v>
      </c>
      <c r="D1097" s="33">
        <f>C1097*1000/(365*$F$29)</f>
        <v>61.887209214368966</v>
      </c>
      <c r="E1097" s="33">
        <f>B$4*E1096</f>
        <v>10792.22439448722</v>
      </c>
      <c r="F1097" s="33">
        <f>B1097*H1097</f>
        <v>0</v>
      </c>
      <c r="G1097" s="33">
        <f>F1097/E1097</f>
        <v>0</v>
      </c>
      <c r="H1097" s="36">
        <f>H$58</f>
        <v>0</v>
      </c>
    </row>
    <row r="1098" spans="1:8" ht="12.75">
      <c r="A1098" t="s">
        <v>28</v>
      </c>
      <c r="B1098" s="20">
        <f>B1096*B$18</f>
        <v>9096982.13752289</v>
      </c>
      <c r="C1098" s="20">
        <f>B1098/E1098</f>
        <v>159.99669254586203</v>
      </c>
      <c r="D1098" s="20">
        <f>C1098*1000/(365*$F$29)</f>
        <v>61.887209214368966</v>
      </c>
      <c r="E1098" s="20">
        <f>B$5*E1096</f>
        <v>56857.31369050205</v>
      </c>
      <c r="F1098" s="20">
        <f>B1098*H1098</f>
        <v>0</v>
      </c>
      <c r="G1098" s="20">
        <f>F1098/E1098</f>
        <v>0</v>
      </c>
      <c r="H1098" s="29">
        <f>H$59</f>
        <v>0</v>
      </c>
    </row>
    <row r="1099" spans="1:8" ht="12.75">
      <c r="A1099" t="s">
        <v>29</v>
      </c>
      <c r="B1099" s="23">
        <f>B1096*B$19</f>
        <v>17942545.510192614</v>
      </c>
      <c r="C1099" s="23">
        <f>B1099/E1099</f>
        <v>159.99669254586206</v>
      </c>
      <c r="D1099" s="23">
        <f>C1099*1000/(365*$F$29)</f>
        <v>61.88720921436898</v>
      </c>
      <c r="E1099" s="23">
        <f>B$6*E1096</f>
        <v>112143.22761734275</v>
      </c>
      <c r="F1099" s="23">
        <f>B1099*H1099</f>
        <v>0</v>
      </c>
      <c r="G1099" s="23">
        <f>F1099/E1099</f>
        <v>0</v>
      </c>
      <c r="H1099" s="30">
        <f>H$60</f>
        <v>0</v>
      </c>
    </row>
    <row r="1100" ht="12.75">
      <c r="B1100" s="42" t="s">
        <v>135</v>
      </c>
    </row>
    <row r="1101" spans="1:8" ht="12.75">
      <c r="A1101" s="7" t="s">
        <v>26</v>
      </c>
      <c r="B1101" s="7">
        <f>E1101*$F$26*$E$145</f>
        <v>136748.48976915388</v>
      </c>
      <c r="C1101" s="7">
        <f>B1101/E1101</f>
        <v>0.7605895</v>
      </c>
      <c r="D1101" s="31">
        <f>C1101*1000/(365*$F$29)</f>
        <v>0.2941983410017039</v>
      </c>
      <c r="E1101" s="7">
        <f>D1094/$F$29</f>
        <v>179792.76570233205</v>
      </c>
      <c r="F1101" s="7">
        <f>H$165*B1101</f>
        <v>7223875.720545323</v>
      </c>
      <c r="G1101" s="8">
        <f>F1101/E1101</f>
        <v>40.178900927</v>
      </c>
      <c r="H1101" s="8">
        <f>$F$27</f>
        <v>52.826</v>
      </c>
    </row>
    <row r="1102" spans="1:8" ht="12.75">
      <c r="A1102" t="s">
        <v>27</v>
      </c>
      <c r="B1102" s="33">
        <f>B1101*$F$17</f>
        <v>3412.239320965387</v>
      </c>
      <c r="C1102" s="33"/>
      <c r="D1102" s="33"/>
      <c r="E1102" s="33"/>
      <c r="F1102" s="33"/>
      <c r="G1102" s="32"/>
      <c r="H1102" s="36"/>
    </row>
    <row r="1103" spans="1:8" ht="12.75">
      <c r="A1103" t="s">
        <v>28</v>
      </c>
      <c r="B1103" s="20">
        <f>B1101*$F$18</f>
        <v>26965.35316087813</v>
      </c>
      <c r="C1103" s="20"/>
      <c r="D1103" s="20"/>
      <c r="E1103" s="20"/>
      <c r="F1103" s="20"/>
      <c r="G1103" s="25"/>
      <c r="H1103" s="29"/>
    </row>
    <row r="1104" spans="1:8" ht="12.75">
      <c r="A1104" t="s">
        <v>29</v>
      </c>
      <c r="B1104" s="23">
        <f>B1101*$F$19</f>
        <v>106370.89728731036</v>
      </c>
      <c r="C1104" s="23"/>
      <c r="D1104" s="23"/>
      <c r="E1104" s="23"/>
      <c r="F1104" s="23"/>
      <c r="G1104" s="26"/>
      <c r="H1104" s="30"/>
    </row>
    <row r="1105" ht="12.75">
      <c r="B1105" s="42" t="s">
        <v>30</v>
      </c>
    </row>
    <row r="1106" spans="1:8" ht="12.75">
      <c r="A1106" s="7" t="s">
        <v>26</v>
      </c>
      <c r="B1106" s="7">
        <f>IF(E1094&gt;=(B1096+B1101),(E1094-(B1096+B1101)),0)</f>
        <v>40546.92239943892</v>
      </c>
      <c r="C1106" s="7">
        <f>B1106/E1106</f>
        <v>0.2255203219164507</v>
      </c>
      <c r="D1106" s="7">
        <f>C1106*1000/(365*$F$29)</f>
        <v>0.08723194912628952</v>
      </c>
      <c r="E1106" s="7">
        <f>D1094/$F$29</f>
        <v>179792.76570233205</v>
      </c>
      <c r="F1106" s="7">
        <f>H$170*B1106</f>
        <v>162187.68959775567</v>
      </c>
      <c r="G1106" s="8">
        <f>F1106/E1106</f>
        <v>0.9020812876658028</v>
      </c>
      <c r="H1106" s="8">
        <f>$F$28</f>
        <v>4</v>
      </c>
    </row>
    <row r="1107" spans="1:8" ht="12.75">
      <c r="A1107" t="s">
        <v>27</v>
      </c>
      <c r="B1107" s="33">
        <f>B1106*$D$17</f>
        <v>1498.9295429612716</v>
      </c>
      <c r="C1107" s="33"/>
      <c r="D1107" s="33"/>
      <c r="E1107" s="33"/>
      <c r="F1107" s="33"/>
      <c r="G1107" s="32"/>
      <c r="H1107" s="36"/>
    </row>
    <row r="1108" spans="1:8" ht="12.75">
      <c r="A1108" t="s">
        <v>28</v>
      </c>
      <c r="B1108" s="20">
        <f>B1106*$D$18</f>
        <v>7896.899110774954</v>
      </c>
      <c r="C1108" s="20"/>
      <c r="D1108" s="20"/>
      <c r="E1108" s="20"/>
      <c r="F1108" s="20"/>
      <c r="G1108" s="25"/>
      <c r="H1108" s="29"/>
    </row>
    <row r="1109" spans="1:8" ht="12.75">
      <c r="A1109" t="s">
        <v>29</v>
      </c>
      <c r="B1109" s="23">
        <f>B1106*$D$19</f>
        <v>31151.093745702696</v>
      </c>
      <c r="C1109" s="23"/>
      <c r="D1109" s="23"/>
      <c r="E1109" s="23"/>
      <c r="F1109" s="23"/>
      <c r="G1109" s="26"/>
      <c r="H1109" s="30"/>
    </row>
    <row r="1110" ht="12.75">
      <c r="B1110" s="42" t="s">
        <v>143</v>
      </c>
    </row>
    <row r="1111" spans="1:7" ht="12.75">
      <c r="A1111" s="7" t="s">
        <v>26</v>
      </c>
      <c r="B1111" s="7">
        <f>IF(E1094&gt;=(B1096+B1101),E1094,(B1096+B1101+B1106))</f>
        <v>28943543.268214826</v>
      </c>
      <c r="C1111" s="7">
        <f>B1111/E1111</f>
        <v>160.9828023677785</v>
      </c>
      <c r="D1111" s="7">
        <f>C1111*1000/(365*$F$29)</f>
        <v>62.26863950449697</v>
      </c>
      <c r="E1111" s="7">
        <f>D1094/$F$29</f>
        <v>179792.76570233205</v>
      </c>
      <c r="F1111" s="7">
        <f>F1096+F1101+F1106</f>
        <v>14002300.417033713</v>
      </c>
      <c r="G1111" s="8">
        <f>F1111/E1111</f>
        <v>77.88022150021408</v>
      </c>
    </row>
    <row r="1112" spans="1:8" ht="12.75">
      <c r="A1112" t="s">
        <v>27</v>
      </c>
      <c r="B1112" s="33"/>
      <c r="C1112" s="33"/>
      <c r="D1112" s="33"/>
      <c r="E1112" s="33"/>
      <c r="F1112" s="33"/>
      <c r="G1112" s="32"/>
      <c r="H1112" s="36"/>
    </row>
    <row r="1113" spans="1:8" ht="12.75">
      <c r="A1113" t="s">
        <v>28</v>
      </c>
      <c r="B1113" s="20"/>
      <c r="C1113" s="20"/>
      <c r="D1113" s="20"/>
      <c r="E1113" s="20"/>
      <c r="F1113" s="20"/>
      <c r="G1113" s="25"/>
      <c r="H1113" s="29"/>
    </row>
    <row r="1114" spans="1:8" ht="12.75">
      <c r="A1114" t="s">
        <v>29</v>
      </c>
      <c r="B1114" s="23"/>
      <c r="C1114" s="23"/>
      <c r="D1114" s="23"/>
      <c r="E1114" s="23"/>
      <c r="F1114" s="23"/>
      <c r="G1114" s="26"/>
      <c r="H1114" s="30"/>
    </row>
    <row r="1116" spans="1:8" ht="12.75">
      <c r="A1116" s="41"/>
      <c r="H1116" s="10"/>
    </row>
    <row r="1117" spans="1:8" ht="12.75">
      <c r="A1117" s="10"/>
      <c r="B1117" s="9"/>
      <c r="C1117" s="9"/>
      <c r="D1117" s="9"/>
      <c r="E1117" s="9"/>
      <c r="F1117" s="9"/>
      <c r="H1117" s="14"/>
    </row>
  </sheetData>
  <sheetProtection/>
  <printOptions gridLines="1"/>
  <pageMargins left="0.75" right="0.75" top="1" bottom="1" header="0.5" footer="0.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3"/>
  <dimension ref="A1:W149"/>
  <sheetViews>
    <sheetView zoomScalePageLayoutView="0" workbookViewId="0" topLeftCell="A48">
      <selection activeCell="A145" sqref="A145"/>
    </sheetView>
  </sheetViews>
  <sheetFormatPr defaultColWidth="9.140625" defaultRowHeight="12.75"/>
  <cols>
    <col min="1" max="1" width="52.57421875" style="0" customWidth="1"/>
    <col min="2" max="2" width="2.57421875" style="0" customWidth="1"/>
    <col min="3" max="3" width="9.8515625" style="0" customWidth="1"/>
    <col min="7" max="7" width="9.57421875" style="0" bestFit="1" customWidth="1"/>
    <col min="8" max="8" width="12.421875" style="0" bestFit="1" customWidth="1"/>
  </cols>
  <sheetData>
    <row r="1" ht="12.75">
      <c r="A1" t="s">
        <v>540</v>
      </c>
    </row>
    <row r="3" ht="12.75">
      <c r="A3" t="s">
        <v>670</v>
      </c>
    </row>
    <row r="4" ht="12.75">
      <c r="A4" t="s">
        <v>541</v>
      </c>
    </row>
    <row r="5" ht="12.75">
      <c r="A5" s="128" t="s">
        <v>544</v>
      </c>
    </row>
    <row r="7" spans="1:3" ht="12.75">
      <c r="A7" s="106" t="s">
        <v>596</v>
      </c>
      <c r="C7">
        <v>6.4</v>
      </c>
    </row>
    <row r="9" ht="12.75">
      <c r="A9" s="1" t="s">
        <v>632</v>
      </c>
    </row>
    <row r="10" spans="2:22" ht="12.75">
      <c r="B10" s="138" t="s">
        <v>551</v>
      </c>
      <c r="C10" s="139">
        <v>2011</v>
      </c>
      <c r="D10" s="139">
        <v>2012</v>
      </c>
      <c r="E10" s="139">
        <v>2013</v>
      </c>
      <c r="F10" s="139">
        <v>2014</v>
      </c>
      <c r="G10" s="139">
        <v>2015</v>
      </c>
      <c r="H10" s="139">
        <v>2016</v>
      </c>
      <c r="I10" s="139">
        <v>2017</v>
      </c>
      <c r="J10" s="139">
        <v>2018</v>
      </c>
      <c r="K10" s="139">
        <v>2019</v>
      </c>
      <c r="L10" s="139">
        <v>2020</v>
      </c>
      <c r="M10" s="139">
        <v>2021</v>
      </c>
      <c r="N10" s="139">
        <v>2022</v>
      </c>
      <c r="O10" s="139">
        <v>2023</v>
      </c>
      <c r="P10" s="139">
        <v>2024</v>
      </c>
      <c r="Q10" s="139">
        <v>2025</v>
      </c>
      <c r="R10" s="139">
        <v>2026</v>
      </c>
      <c r="S10" s="139">
        <v>2027</v>
      </c>
      <c r="T10" s="139">
        <v>2028</v>
      </c>
      <c r="U10" s="139">
        <v>2029</v>
      </c>
      <c r="V10" s="139">
        <v>2030</v>
      </c>
    </row>
    <row r="11" spans="2:22" ht="12.75">
      <c r="B11" s="138" t="s">
        <v>550</v>
      </c>
      <c r="C11" s="139">
        <v>1</v>
      </c>
      <c r="D11" s="139">
        <v>2</v>
      </c>
      <c r="E11" s="139">
        <v>3</v>
      </c>
      <c r="F11" s="139">
        <v>4</v>
      </c>
      <c r="G11" s="139">
        <v>5</v>
      </c>
      <c r="H11" s="139">
        <v>6</v>
      </c>
      <c r="I11" s="139">
        <v>7</v>
      </c>
      <c r="J11" s="139">
        <v>8</v>
      </c>
      <c r="K11" s="139">
        <v>9</v>
      </c>
      <c r="L11" s="139">
        <v>10</v>
      </c>
      <c r="M11" s="139">
        <v>11</v>
      </c>
      <c r="N11" s="139">
        <v>12</v>
      </c>
      <c r="O11" s="139">
        <v>13</v>
      </c>
      <c r="P11" s="139">
        <v>14</v>
      </c>
      <c r="Q11" s="139">
        <v>15</v>
      </c>
      <c r="R11" s="139">
        <v>16</v>
      </c>
      <c r="S11" s="139">
        <v>17</v>
      </c>
      <c r="T11" s="139">
        <v>18</v>
      </c>
      <c r="U11" s="139">
        <v>19</v>
      </c>
      <c r="V11" s="139">
        <v>20</v>
      </c>
    </row>
    <row r="12" spans="1:22" ht="12.75">
      <c r="A12" t="s">
        <v>542</v>
      </c>
      <c r="C12" s="132">
        <f>Hsehold!C22-Hsehold!C17</f>
        <v>0</v>
      </c>
      <c r="D12" s="132">
        <f>Hsehold!D22-Hsehold!D17</f>
        <v>0</v>
      </c>
      <c r="E12" s="132">
        <f>Hsehold!E22-Hsehold!E17</f>
        <v>3887744.9903558437</v>
      </c>
      <c r="F12" s="132">
        <f>Hsehold!F22-Hsehold!F17</f>
        <v>7864359.736388611</v>
      </c>
      <c r="G12" s="132">
        <f>Hsehold!G22-Hsehold!G17</f>
        <v>11930814.868741548</v>
      </c>
      <c r="H12" s="132">
        <f>Hsehold!H22-Hsehold!H17</f>
        <v>12334208.68936737</v>
      </c>
      <c r="I12" s="132">
        <f>Hsehold!I22-Hsehold!I17</f>
        <v>12744655.09323996</v>
      </c>
      <c r="J12" s="132">
        <f>Hsehold!J22-Hsehold!J17</f>
        <v>13162234.864802143</v>
      </c>
      <c r="K12" s="132">
        <f>Hsehold!K22-Hsehold!K17</f>
        <v>13587030.255265227</v>
      </c>
      <c r="L12" s="132">
        <f>Hsehold!L22-Hsehold!L17</f>
        <v>14019125.017254822</v>
      </c>
      <c r="M12" s="132">
        <f>Hsehold!M22-Hsehold!M17</f>
        <v>14175102.392632376</v>
      </c>
      <c r="N12" s="132">
        <f>Hsehold!N22-Hsehold!N17</f>
        <v>14332264.796631623</v>
      </c>
      <c r="O12" s="132">
        <f>Hsehold!O22-Hsehold!O17</f>
        <v>14490628.619337738</v>
      </c>
      <c r="P12" s="132">
        <f>Hsehold!P22-Hsehold!P17</f>
        <v>14650210.565131364</v>
      </c>
      <c r="Q12" s="132">
        <f>Hsehold!Q22-Hsehold!Q17</f>
        <v>14811027.660624538</v>
      </c>
      <c r="R12" s="132">
        <f>Hsehold!R22-Hsehold!R17</f>
        <v>14973097.262837177</v>
      </c>
      <c r="S12" s="132">
        <f>Hsehold!S22-Hsehold!S17</f>
        <v>15136437.067622345</v>
      </c>
      <c r="T12" s="132">
        <f>Hsehold!T22-Hsehold!T17</f>
        <v>15301065.118349502</v>
      </c>
      <c r="U12" s="132">
        <f>Hsehold!U22-Hsehold!U17</f>
        <v>15466999.814854734</v>
      </c>
      <c r="V12" s="132">
        <f>U12+V13</f>
        <v>15632934.511359965</v>
      </c>
    </row>
    <row r="13" spans="1:23" ht="12.75">
      <c r="A13" s="106" t="s">
        <v>549</v>
      </c>
      <c r="D13" s="132">
        <f>D12-C12</f>
        <v>0</v>
      </c>
      <c r="E13" s="132">
        <f aca="true" t="shared" si="0" ref="E13:U13">E12-D12</f>
        <v>3887744.9903558437</v>
      </c>
      <c r="F13" s="132">
        <f t="shared" si="0"/>
        <v>3976614.746032767</v>
      </c>
      <c r="G13" s="132">
        <f t="shared" si="0"/>
        <v>4066455.132352937</v>
      </c>
      <c r="H13" s="132">
        <f t="shared" si="0"/>
        <v>403393.820625823</v>
      </c>
      <c r="I13" s="132">
        <f t="shared" si="0"/>
        <v>410446.40387258865</v>
      </c>
      <c r="J13" s="132">
        <f t="shared" si="0"/>
        <v>417579.7715621833</v>
      </c>
      <c r="K13" s="132">
        <f t="shared" si="0"/>
        <v>424795.390463084</v>
      </c>
      <c r="L13" s="132">
        <f t="shared" si="0"/>
        <v>432094.76198959537</v>
      </c>
      <c r="M13" s="132">
        <f t="shared" si="0"/>
        <v>155977.37537755445</v>
      </c>
      <c r="N13" s="132">
        <f t="shared" si="0"/>
        <v>157162.40399924666</v>
      </c>
      <c r="O13" s="132">
        <f t="shared" si="0"/>
        <v>158363.8227061145</v>
      </c>
      <c r="P13" s="132">
        <f t="shared" si="0"/>
        <v>159581.94579362683</v>
      </c>
      <c r="Q13" s="132">
        <f t="shared" si="0"/>
        <v>160817.09549317323</v>
      </c>
      <c r="R13" s="132">
        <f t="shared" si="0"/>
        <v>162069.60221263953</v>
      </c>
      <c r="S13" s="132">
        <f t="shared" si="0"/>
        <v>163339.8047851678</v>
      </c>
      <c r="T13" s="132">
        <f t="shared" si="0"/>
        <v>164628.05072715692</v>
      </c>
      <c r="U13" s="132">
        <f t="shared" si="0"/>
        <v>165934.69650523178</v>
      </c>
      <c r="V13" s="132">
        <f>U13</f>
        <v>165934.69650523178</v>
      </c>
      <c r="W13" s="132"/>
    </row>
    <row r="14" spans="1:23" ht="12.75">
      <c r="A14" s="106"/>
      <c r="D14" s="132"/>
      <c r="E14" s="132"/>
      <c r="F14" s="132"/>
      <c r="G14" s="132"/>
      <c r="H14" s="132"/>
      <c r="I14" s="132"/>
      <c r="J14" s="132"/>
      <c r="K14" s="132"/>
      <c r="L14" s="132"/>
      <c r="M14" s="132"/>
      <c r="N14" s="132"/>
      <c r="O14" s="132"/>
      <c r="P14" s="132"/>
      <c r="Q14" s="132"/>
      <c r="R14" s="132"/>
      <c r="S14" s="132"/>
      <c r="T14" s="132"/>
      <c r="U14" s="132"/>
      <c r="V14" s="132"/>
      <c r="W14" s="132"/>
    </row>
    <row r="15" spans="1:23" ht="12.75">
      <c r="A15" s="106" t="s">
        <v>548</v>
      </c>
      <c r="C15" s="8">
        <f>Hsehold!C10</f>
        <v>722813.4179533717</v>
      </c>
      <c r="D15" s="8">
        <f>Hsehold!D10</f>
        <v>746304.8540368562</v>
      </c>
      <c r="E15" s="8">
        <f>Hsehold!E10</f>
        <v>770559.761793054</v>
      </c>
      <c r="F15" s="8">
        <f>Hsehold!F10</f>
        <v>795602.9540513282</v>
      </c>
      <c r="G15" s="8">
        <f>Hsehold!G10</f>
        <v>821460.0500579964</v>
      </c>
      <c r="H15" s="8">
        <f>Hsehold!H10</f>
        <v>848157.5016848812</v>
      </c>
      <c r="I15" s="8">
        <f>Hsehold!I10</f>
        <v>875722.6204896398</v>
      </c>
      <c r="J15" s="8">
        <f>Hsehold!J10</f>
        <v>904183.6056555533</v>
      </c>
      <c r="K15" s="8">
        <f>Hsehold!K10</f>
        <v>933569.5728393587</v>
      </c>
      <c r="L15" s="8">
        <f>Hsehold!L10</f>
        <v>963910.5839566379</v>
      </c>
      <c r="M15" s="8">
        <f>Hsehold!M10</f>
        <v>995237.6779352285</v>
      </c>
      <c r="N15" s="8">
        <f>Hsehold!N10</f>
        <v>1027582.9024681235</v>
      </c>
      <c r="O15" s="8">
        <f>Hsehold!O10</f>
        <v>1060979.3467983373</v>
      </c>
      <c r="P15" s="8">
        <f>Hsehold!P10</f>
        <v>1095461.175569283</v>
      </c>
      <c r="Q15" s="8">
        <f>Hsehold!Q10</f>
        <v>1131063.663775285</v>
      </c>
      <c r="R15" s="8">
        <f>Hsehold!R10</f>
        <v>1167823.2328479819</v>
      </c>
      <c r="S15" s="8">
        <f>Hsehold!S10</f>
        <v>1205777.4879155413</v>
      </c>
      <c r="T15" s="8">
        <f>Hsehold!T10</f>
        <v>1244965.2562727963</v>
      </c>
      <c r="U15" s="8">
        <f>Hsehold!U10</f>
        <v>1285426.627101662</v>
      </c>
      <c r="V15" s="8">
        <f>U15*(1+Wcon!E119)</f>
        <v>1327202.9924824662</v>
      </c>
      <c r="W15" s="132"/>
    </row>
    <row r="16" spans="1:23" ht="12.75">
      <c r="A16" s="106" t="s">
        <v>552</v>
      </c>
      <c r="C16" s="8"/>
      <c r="D16" s="8">
        <f aca="true" t="shared" si="1" ref="D16:V16">D15-C15</f>
        <v>23491.436083484557</v>
      </c>
      <c r="E16" s="8">
        <f t="shared" si="1"/>
        <v>24254.907756197732</v>
      </c>
      <c r="F16" s="8">
        <f t="shared" si="1"/>
        <v>25043.1922582743</v>
      </c>
      <c r="G16" s="8">
        <f t="shared" si="1"/>
        <v>25857.096006668173</v>
      </c>
      <c r="H16" s="8">
        <f t="shared" si="1"/>
        <v>26697.45162688475</v>
      </c>
      <c r="I16" s="8">
        <f t="shared" si="1"/>
        <v>27565.118804758647</v>
      </c>
      <c r="J16" s="8">
        <f t="shared" si="1"/>
        <v>28460.985165913473</v>
      </c>
      <c r="K16" s="8">
        <f t="shared" si="1"/>
        <v>29385.96718380542</v>
      </c>
      <c r="L16" s="8">
        <f t="shared" si="1"/>
        <v>30341.01111727918</v>
      </c>
      <c r="M16" s="8">
        <f t="shared" si="1"/>
        <v>31327.093978590565</v>
      </c>
      <c r="N16" s="8">
        <f t="shared" si="1"/>
        <v>32345.224532895023</v>
      </c>
      <c r="O16" s="8">
        <f t="shared" si="1"/>
        <v>33396.444330213824</v>
      </c>
      <c r="P16" s="8">
        <f t="shared" si="1"/>
        <v>34481.82877094578</v>
      </c>
      <c r="Q16" s="8">
        <f t="shared" si="1"/>
        <v>35602.48820600193</v>
      </c>
      <c r="R16" s="8">
        <f t="shared" si="1"/>
        <v>36759.569072696846</v>
      </c>
      <c r="S16" s="8">
        <f t="shared" si="1"/>
        <v>37954.255067559425</v>
      </c>
      <c r="T16" s="8">
        <f t="shared" si="1"/>
        <v>39187.76835725503</v>
      </c>
      <c r="U16" s="8">
        <f t="shared" si="1"/>
        <v>40461.370828865794</v>
      </c>
      <c r="V16" s="8">
        <f t="shared" si="1"/>
        <v>41776.365380804054</v>
      </c>
      <c r="W16" s="132"/>
    </row>
    <row r="17" spans="1:23" ht="12.75">
      <c r="A17" s="106"/>
      <c r="C17" s="8"/>
      <c r="D17" s="8"/>
      <c r="E17" s="76"/>
      <c r="F17" s="8"/>
      <c r="G17" s="8"/>
      <c r="H17" s="8"/>
      <c r="I17" s="8"/>
      <c r="J17" s="8"/>
      <c r="K17" s="8"/>
      <c r="L17" s="8"/>
      <c r="M17" s="8"/>
      <c r="N17" s="8"/>
      <c r="O17" s="8"/>
      <c r="P17" s="8"/>
      <c r="Q17" s="8"/>
      <c r="R17" s="8"/>
      <c r="S17" s="8"/>
      <c r="T17" s="8"/>
      <c r="U17" s="8"/>
      <c r="V17" s="8"/>
      <c r="W17" s="132"/>
    </row>
    <row r="18" spans="1:23" ht="12.75">
      <c r="A18" s="106" t="s">
        <v>547</v>
      </c>
      <c r="C18" s="8"/>
      <c r="D18" s="8"/>
      <c r="E18" s="8"/>
      <c r="F18" s="8"/>
      <c r="G18" s="8"/>
      <c r="H18" s="8"/>
      <c r="I18" s="8"/>
      <c r="J18" s="8"/>
      <c r="K18" s="8"/>
      <c r="L18" s="8"/>
      <c r="M18" s="8"/>
      <c r="N18" s="8"/>
      <c r="O18" s="8"/>
      <c r="P18" s="8"/>
      <c r="Q18" s="8"/>
      <c r="R18" s="8"/>
      <c r="S18" s="8"/>
      <c r="T18" s="8"/>
      <c r="U18" s="8"/>
      <c r="V18" s="8"/>
      <c r="W18" s="132"/>
    </row>
    <row r="19" spans="1:23" ht="12.75">
      <c r="A19" s="106" t="s">
        <v>545</v>
      </c>
      <c r="C19" s="76">
        <v>0.9816761002833126</v>
      </c>
      <c r="D19" s="76">
        <v>0.9816761002833126</v>
      </c>
      <c r="E19" s="76">
        <v>0.9816761002833126</v>
      </c>
      <c r="F19" s="76">
        <v>0.9816761002833126</v>
      </c>
      <c r="G19" s="76">
        <v>0.9816761002833126</v>
      </c>
      <c r="H19" s="76">
        <v>0.9816761002833126</v>
      </c>
      <c r="I19" s="76">
        <v>0.9816761002833126</v>
      </c>
      <c r="J19" s="76">
        <v>0.9816761002833126</v>
      </c>
      <c r="K19" s="76">
        <v>0.9816761002833126</v>
      </c>
      <c r="L19" s="76">
        <v>0.9816761002833126</v>
      </c>
      <c r="M19" s="76">
        <v>0.9816761002833126</v>
      </c>
      <c r="N19" s="76">
        <v>0.9816761002833126</v>
      </c>
      <c r="O19" s="76">
        <v>0.9816761002833126</v>
      </c>
      <c r="P19" s="76">
        <v>0.9816761002833126</v>
      </c>
      <c r="Q19" s="76">
        <v>0.9816761002833126</v>
      </c>
      <c r="R19" s="76">
        <v>0.9816761002833126</v>
      </c>
      <c r="S19" s="76">
        <v>0.9816761002833126</v>
      </c>
      <c r="T19" s="76">
        <v>0.9816761002833126</v>
      </c>
      <c r="U19" s="76">
        <v>0.9816761002833126</v>
      </c>
      <c r="V19" s="76">
        <v>0.9816761002833126</v>
      </c>
      <c r="W19" s="132"/>
    </row>
    <row r="20" spans="1:22" ht="12.75">
      <c r="A20" s="106" t="s">
        <v>546</v>
      </c>
      <c r="C20" s="76">
        <v>0.9816761002833126</v>
      </c>
      <c r="D20" s="76">
        <v>0.9821752647468951</v>
      </c>
      <c r="E20" s="76">
        <v>0.9826746830265388</v>
      </c>
      <c r="F20" s="76">
        <v>0.9831743552513054</v>
      </c>
      <c r="G20" s="76">
        <v>0.9836742815503213</v>
      </c>
      <c r="H20" s="76">
        <v>0.984174462052778</v>
      </c>
      <c r="I20" s="76">
        <v>0.9846748968879341</v>
      </c>
      <c r="J20" s="76">
        <v>0.9851755861851129</v>
      </c>
      <c r="K20" s="76">
        <v>0.9856765300737035</v>
      </c>
      <c r="L20" s="76">
        <v>0.9861777286831613</v>
      </c>
      <c r="M20" s="76">
        <v>0.9866791821430068</v>
      </c>
      <c r="N20" s="76">
        <v>0.9871808905828274</v>
      </c>
      <c r="O20" s="76">
        <v>0.9876828541322751</v>
      </c>
      <c r="P20" s="76">
        <v>0.9881850729210693</v>
      </c>
      <c r="Q20" s="76">
        <v>0.9886875470789934</v>
      </c>
      <c r="R20" s="76">
        <v>0.9891902767358994</v>
      </c>
      <c r="S20" s="76">
        <v>0.989693262021703</v>
      </c>
      <c r="T20" s="76">
        <v>0.9901965030663872</v>
      </c>
      <c r="U20" s="76">
        <v>0.9907000000000005</v>
      </c>
      <c r="V20" s="76">
        <v>0.9912037529526578</v>
      </c>
    </row>
    <row r="21" ht="12.75">
      <c r="A21" s="106"/>
    </row>
    <row r="22" ht="12.75">
      <c r="A22" s="106" t="s">
        <v>547</v>
      </c>
    </row>
    <row r="23" spans="1:22" ht="12.75">
      <c r="A23" s="106" t="s">
        <v>545</v>
      </c>
      <c r="C23" s="8">
        <f>C19*C$15</f>
        <v>709568.6573689181</v>
      </c>
      <c r="D23" s="8">
        <f>D19*D$15</f>
        <v>732629.6387334078</v>
      </c>
      <c r="E23" s="8">
        <f aca="true" t="shared" si="2" ref="E23:V23">E19*E$15</f>
        <v>756440.1019922436</v>
      </c>
      <c r="F23" s="8">
        <f t="shared" si="2"/>
        <v>781024.4053069915</v>
      </c>
      <c r="G23" s="8">
        <f t="shared" si="2"/>
        <v>806407.6984794687</v>
      </c>
      <c r="H23" s="8">
        <f t="shared" si="2"/>
        <v>832615.9486800514</v>
      </c>
      <c r="I23" s="8">
        <f t="shared" si="2"/>
        <v>859675.967012153</v>
      </c>
      <c r="J23" s="8">
        <f t="shared" si="2"/>
        <v>887615.4359400482</v>
      </c>
      <c r="K23" s="8">
        <f t="shared" si="2"/>
        <v>916462.9376080997</v>
      </c>
      <c r="L23" s="8">
        <f t="shared" si="2"/>
        <v>946247.9830803629</v>
      </c>
      <c r="M23" s="8">
        <f t="shared" si="2"/>
        <v>977001.0425304745</v>
      </c>
      <c r="N23" s="8">
        <f t="shared" si="2"/>
        <v>1008753.576412715</v>
      </c>
      <c r="O23" s="8">
        <f t="shared" si="2"/>
        <v>1041538.0676461281</v>
      </c>
      <c r="P23" s="8">
        <f t="shared" si="2"/>
        <v>1075388.0548446272</v>
      </c>
      <c r="Q23" s="8">
        <f t="shared" si="2"/>
        <v>1110338.1666270776</v>
      </c>
      <c r="R23" s="8">
        <f t="shared" si="2"/>
        <v>1146424.1570424577</v>
      </c>
      <c r="S23" s="8">
        <f t="shared" si="2"/>
        <v>1183682.9421463376</v>
      </c>
      <c r="T23" s="8">
        <f t="shared" si="2"/>
        <v>1222152.6377660937</v>
      </c>
      <c r="U23" s="8">
        <f t="shared" si="2"/>
        <v>1261872.5984934915</v>
      </c>
      <c r="V23" s="8">
        <f t="shared" si="2"/>
        <v>1302883.45794453</v>
      </c>
    </row>
    <row r="24" spans="1:22" ht="12.75">
      <c r="A24" s="106" t="s">
        <v>553</v>
      </c>
      <c r="C24" s="8"/>
      <c r="D24" s="8">
        <f>D23-C23</f>
        <v>23060.981364489766</v>
      </c>
      <c r="E24" s="8">
        <f aca="true" t="shared" si="3" ref="E24:V24">E23-D23</f>
        <v>23810.46325883572</v>
      </c>
      <c r="F24" s="8">
        <f t="shared" si="3"/>
        <v>24584.303314747987</v>
      </c>
      <c r="G24" s="8">
        <f t="shared" si="3"/>
        <v>25383.293172477162</v>
      </c>
      <c r="H24" s="8">
        <f t="shared" si="3"/>
        <v>26208.25020058267</v>
      </c>
      <c r="I24" s="8">
        <f t="shared" si="3"/>
        <v>27060.018332101637</v>
      </c>
      <c r="J24" s="8">
        <f t="shared" si="3"/>
        <v>27939.468927895185</v>
      </c>
      <c r="K24" s="8">
        <f t="shared" si="3"/>
        <v>28847.501668051467</v>
      </c>
      <c r="L24" s="8">
        <f t="shared" si="3"/>
        <v>29785.045472263242</v>
      </c>
      <c r="M24" s="8">
        <f t="shared" si="3"/>
        <v>30753.059450111585</v>
      </c>
      <c r="N24" s="8">
        <f t="shared" si="3"/>
        <v>31752.533882240532</v>
      </c>
      <c r="O24" s="8">
        <f t="shared" si="3"/>
        <v>32784.49123341311</v>
      </c>
      <c r="P24" s="8">
        <f t="shared" si="3"/>
        <v>33849.98719849903</v>
      </c>
      <c r="Q24" s="8">
        <f t="shared" si="3"/>
        <v>34950.11178245046</v>
      </c>
      <c r="R24" s="8">
        <f t="shared" si="3"/>
        <v>36085.9904153801</v>
      </c>
      <c r="S24" s="8">
        <f t="shared" si="3"/>
        <v>37258.78510387987</v>
      </c>
      <c r="T24" s="8">
        <f t="shared" si="3"/>
        <v>38469.69561975612</v>
      </c>
      <c r="U24" s="8">
        <f t="shared" si="3"/>
        <v>39719.96072739782</v>
      </c>
      <c r="V24" s="8">
        <f t="shared" si="3"/>
        <v>41010.85945103853</v>
      </c>
    </row>
    <row r="25" spans="1:22" ht="12.75">
      <c r="A25" s="106" t="s">
        <v>546</v>
      </c>
      <c r="C25" s="8">
        <f>C20*C$15</f>
        <v>709568.6573689181</v>
      </c>
      <c r="D25" s="8">
        <f>D20*D$15</f>
        <v>733002.1675955422</v>
      </c>
      <c r="E25" s="8">
        <f aca="true" t="shared" si="4" ref="E25:V25">E20*E$15</f>
        <v>757209.5696729945</v>
      </c>
      <c r="F25" s="8">
        <f t="shared" si="4"/>
        <v>782216.4213854485</v>
      </c>
      <c r="G25" s="8">
        <f t="shared" si="4"/>
        <v>808049.1245630906</v>
      </c>
      <c r="H25" s="8">
        <f t="shared" si="4"/>
        <v>834734.9529567461</v>
      </c>
      <c r="I25" s="8">
        <f t="shared" si="4"/>
        <v>862302.0810330675</v>
      </c>
      <c r="J25" s="8">
        <f t="shared" si="4"/>
        <v>890779.6137206787</v>
      </c>
      <c r="K25" s="8">
        <f t="shared" si="4"/>
        <v>920197.6171386887</v>
      </c>
      <c r="L25" s="8">
        <f t="shared" si="4"/>
        <v>950587.1503400168</v>
      </c>
      <c r="M25" s="8">
        <f t="shared" si="4"/>
        <v>981980.2981030364</v>
      </c>
      <c r="N25" s="8">
        <f t="shared" si="4"/>
        <v>1014410.2048061688</v>
      </c>
      <c r="O25" s="8">
        <f t="shared" si="4"/>
        <v>1047911.1094211787</v>
      </c>
      <c r="P25" s="8">
        <f t="shared" si="4"/>
        <v>1082518.3816621322</v>
      </c>
      <c r="Q25" s="8">
        <f t="shared" si="4"/>
        <v>1118268.5593281658</v>
      </c>
      <c r="R25" s="8">
        <f t="shared" si="4"/>
        <v>1155199.386879508</v>
      </c>
      <c r="S25" s="8">
        <f t="shared" si="4"/>
        <v>1193349.8552874667</v>
      </c>
      <c r="T25" s="8">
        <f t="shared" si="4"/>
        <v>1232760.2432004714</v>
      </c>
      <c r="U25" s="8">
        <f t="shared" si="4"/>
        <v>1273472.1594696173</v>
      </c>
      <c r="V25" s="8">
        <f t="shared" si="4"/>
        <v>1315528.5870786186</v>
      </c>
    </row>
    <row r="26" spans="1:22" ht="12.75">
      <c r="A26" s="106" t="s">
        <v>553</v>
      </c>
      <c r="C26" s="8"/>
      <c r="D26" s="8">
        <f aca="true" t="shared" si="5" ref="D26:V26">D25-C25</f>
        <v>23433.510226624086</v>
      </c>
      <c r="E26" s="8">
        <f t="shared" si="5"/>
        <v>24207.402077452396</v>
      </c>
      <c r="F26" s="8">
        <f t="shared" si="5"/>
        <v>25006.851712453994</v>
      </c>
      <c r="G26" s="8">
        <f t="shared" si="5"/>
        <v>25832.703177642077</v>
      </c>
      <c r="H26" s="8">
        <f t="shared" si="5"/>
        <v>26685.82839365548</v>
      </c>
      <c r="I26" s="8">
        <f t="shared" si="5"/>
        <v>27567.128076321445</v>
      </c>
      <c r="J26" s="8">
        <f t="shared" si="5"/>
        <v>28477.53268761118</v>
      </c>
      <c r="K26" s="8">
        <f t="shared" si="5"/>
        <v>29418.00341800996</v>
      </c>
      <c r="L26" s="8">
        <f t="shared" si="5"/>
        <v>30389.53320132813</v>
      </c>
      <c r="M26" s="8">
        <f t="shared" si="5"/>
        <v>31393.147763019544</v>
      </c>
      <c r="N26" s="8">
        <f t="shared" si="5"/>
        <v>32429.906703132438</v>
      </c>
      <c r="O26" s="8">
        <f t="shared" si="5"/>
        <v>33500.9046150099</v>
      </c>
      <c r="P26" s="8">
        <f t="shared" si="5"/>
        <v>34607.27224095352</v>
      </c>
      <c r="Q26" s="8">
        <f t="shared" si="5"/>
        <v>35750.17766603362</v>
      </c>
      <c r="R26" s="8">
        <f t="shared" si="5"/>
        <v>36930.82755134208</v>
      </c>
      <c r="S26" s="8">
        <f t="shared" si="5"/>
        <v>38150.468407958746</v>
      </c>
      <c r="T26" s="8">
        <f t="shared" si="5"/>
        <v>39410.38791300473</v>
      </c>
      <c r="U26" s="8">
        <f t="shared" si="5"/>
        <v>40711.916269145906</v>
      </c>
      <c r="V26" s="8">
        <f t="shared" si="5"/>
        <v>42056.427609001286</v>
      </c>
    </row>
    <row r="27" spans="1:22" ht="12.75">
      <c r="A27" s="106"/>
      <c r="C27" s="8"/>
      <c r="D27" s="8"/>
      <c r="E27" s="8"/>
      <c r="F27" s="8"/>
      <c r="G27" s="8"/>
      <c r="H27" s="8"/>
      <c r="I27" s="8"/>
      <c r="J27" s="8"/>
      <c r="K27" s="8"/>
      <c r="L27" s="8"/>
      <c r="M27" s="8"/>
      <c r="N27" s="8"/>
      <c r="O27" s="8"/>
      <c r="P27" s="8"/>
      <c r="Q27" s="8"/>
      <c r="R27" s="8"/>
      <c r="S27" s="8"/>
      <c r="T27" s="8"/>
      <c r="U27" s="8"/>
      <c r="V27" s="8"/>
    </row>
    <row r="28" spans="1:6" ht="12.75">
      <c r="A28" s="106"/>
      <c r="F28" s="8"/>
    </row>
    <row r="29" spans="1:22" ht="12.75">
      <c r="A29" s="106" t="s">
        <v>557</v>
      </c>
      <c r="C29" s="8">
        <f>C25-C23</f>
        <v>0</v>
      </c>
      <c r="D29" s="8">
        <f aca="true" t="shared" si="6" ref="D29:V29">D25-D23</f>
        <v>372.52886213432066</v>
      </c>
      <c r="E29" s="8">
        <f t="shared" si="6"/>
        <v>769.4676807509968</v>
      </c>
      <c r="F29" s="8">
        <f t="shared" si="6"/>
        <v>1192.0160784570035</v>
      </c>
      <c r="G29" s="8">
        <f t="shared" si="6"/>
        <v>1641.4260836219182</v>
      </c>
      <c r="H29" s="8">
        <f t="shared" si="6"/>
        <v>2119.00427669473</v>
      </c>
      <c r="I29" s="8">
        <f t="shared" si="6"/>
        <v>2626.114020914538</v>
      </c>
      <c r="J29" s="8">
        <f t="shared" si="6"/>
        <v>3164.1777806305327</v>
      </c>
      <c r="K29" s="8">
        <f t="shared" si="6"/>
        <v>3734.6795305890264</v>
      </c>
      <c r="L29" s="8">
        <f t="shared" si="6"/>
        <v>4339.167259653914</v>
      </c>
      <c r="M29" s="8">
        <f t="shared" si="6"/>
        <v>4979.255572561873</v>
      </c>
      <c r="N29" s="8">
        <f t="shared" si="6"/>
        <v>5656.628393453779</v>
      </c>
      <c r="O29" s="8">
        <f t="shared" si="6"/>
        <v>6373.041775050573</v>
      </c>
      <c r="P29" s="8">
        <f t="shared" si="6"/>
        <v>7130.326817505062</v>
      </c>
      <c r="Q29" s="8">
        <f t="shared" si="6"/>
        <v>7930.392701088218</v>
      </c>
      <c r="R29" s="8">
        <f t="shared" si="6"/>
        <v>8775.229837050196</v>
      </c>
      <c r="S29" s="8">
        <f t="shared" si="6"/>
        <v>9666.913141129073</v>
      </c>
      <c r="T29" s="8">
        <f t="shared" si="6"/>
        <v>10607.605434377678</v>
      </c>
      <c r="U29" s="8">
        <f t="shared" si="6"/>
        <v>11599.560976125766</v>
      </c>
      <c r="V29" s="8">
        <f t="shared" si="6"/>
        <v>12645.129134088522</v>
      </c>
    </row>
    <row r="30" spans="1:22" ht="12.75">
      <c r="A30" s="106" t="s">
        <v>558</v>
      </c>
      <c r="E30" s="16">
        <f>G35</f>
        <v>0.772729389911415</v>
      </c>
      <c r="F30" s="16">
        <f>H35</f>
        <v>0.7704705771623546</v>
      </c>
      <c r="G30" s="16">
        <v>0.72</v>
      </c>
      <c r="H30" s="16">
        <f aca="true" t="shared" si="7" ref="H30:V30">G30</f>
        <v>0.72</v>
      </c>
      <c r="I30" s="16">
        <f t="shared" si="7"/>
        <v>0.72</v>
      </c>
      <c r="J30" s="16">
        <f t="shared" si="7"/>
        <v>0.72</v>
      </c>
      <c r="K30" s="16">
        <f t="shared" si="7"/>
        <v>0.72</v>
      </c>
      <c r="L30" s="16">
        <f t="shared" si="7"/>
        <v>0.72</v>
      </c>
      <c r="M30" s="16">
        <f t="shared" si="7"/>
        <v>0.72</v>
      </c>
      <c r="N30" s="16">
        <f t="shared" si="7"/>
        <v>0.72</v>
      </c>
      <c r="O30" s="16">
        <f t="shared" si="7"/>
        <v>0.72</v>
      </c>
      <c r="P30" s="16">
        <f t="shared" si="7"/>
        <v>0.72</v>
      </c>
      <c r="Q30" s="16">
        <f t="shared" si="7"/>
        <v>0.72</v>
      </c>
      <c r="R30" s="16">
        <f t="shared" si="7"/>
        <v>0.72</v>
      </c>
      <c r="S30" s="16">
        <f t="shared" si="7"/>
        <v>0.72</v>
      </c>
      <c r="T30" s="16">
        <f t="shared" si="7"/>
        <v>0.72</v>
      </c>
      <c r="U30" s="16">
        <f t="shared" si="7"/>
        <v>0.72</v>
      </c>
      <c r="V30" s="16">
        <f t="shared" si="7"/>
        <v>0.72</v>
      </c>
    </row>
    <row r="31" spans="1:22" ht="12.75">
      <c r="A31" s="106" t="s">
        <v>560</v>
      </c>
      <c r="E31" s="8">
        <f>(E13*E30)/(36*365/1000)</f>
        <v>228628.2202837771</v>
      </c>
      <c r="F31" s="8">
        <f aca="true" t="shared" si="8" ref="F31:V31">(F13*F30)/(36*365/1000)</f>
        <v>233170.82637200883</v>
      </c>
      <c r="G31" s="8">
        <f t="shared" si="8"/>
        <v>222819.45930701026</v>
      </c>
      <c r="H31" s="8">
        <f t="shared" si="8"/>
        <v>22103.77099319578</v>
      </c>
      <c r="I31" s="8">
        <f t="shared" si="8"/>
        <v>22490.213910826777</v>
      </c>
      <c r="J31" s="8">
        <f t="shared" si="8"/>
        <v>22881.083373270314</v>
      </c>
      <c r="K31" s="8">
        <f t="shared" si="8"/>
        <v>23276.45975140186</v>
      </c>
      <c r="L31" s="8">
        <f t="shared" si="8"/>
        <v>23676.425314498374</v>
      </c>
      <c r="M31" s="8">
        <f t="shared" si="8"/>
        <v>8546.70550013997</v>
      </c>
      <c r="N31" s="8">
        <f t="shared" si="8"/>
        <v>8611.638575301185</v>
      </c>
      <c r="O31" s="8">
        <f t="shared" si="8"/>
        <v>8677.469737321342</v>
      </c>
      <c r="P31" s="8">
        <f t="shared" si="8"/>
        <v>8744.216207869962</v>
      </c>
      <c r="Q31" s="8">
        <f t="shared" si="8"/>
        <v>8811.895643461545</v>
      </c>
      <c r="R31" s="8">
        <f t="shared" si="8"/>
        <v>8880.526148637782</v>
      </c>
      <c r="S31" s="8">
        <f t="shared" si="8"/>
        <v>8950.126289598235</v>
      </c>
      <c r="T31" s="8">
        <f t="shared" si="8"/>
        <v>9020.715108337365</v>
      </c>
      <c r="U31" s="8">
        <f t="shared" si="8"/>
        <v>9092.312137272975</v>
      </c>
      <c r="V31" s="8">
        <f t="shared" si="8"/>
        <v>9092.312137272975</v>
      </c>
    </row>
    <row r="32" spans="1:22" ht="12.75">
      <c r="A32" s="106" t="s">
        <v>559</v>
      </c>
      <c r="E32" s="140">
        <f>1-E30</f>
        <v>0.22727061008858496</v>
      </c>
      <c r="F32" s="140">
        <f aca="true" t="shared" si="9" ref="F32:V32">1-F30</f>
        <v>0.22952942283764544</v>
      </c>
      <c r="G32" s="140">
        <f t="shared" si="9"/>
        <v>0.28</v>
      </c>
      <c r="H32" s="140">
        <f t="shared" si="9"/>
        <v>0.28</v>
      </c>
      <c r="I32" s="140">
        <f t="shared" si="9"/>
        <v>0.28</v>
      </c>
      <c r="J32" s="140">
        <f t="shared" si="9"/>
        <v>0.28</v>
      </c>
      <c r="K32" s="140">
        <f t="shared" si="9"/>
        <v>0.28</v>
      </c>
      <c r="L32" s="140">
        <f t="shared" si="9"/>
        <v>0.28</v>
      </c>
      <c r="M32" s="140">
        <f t="shared" si="9"/>
        <v>0.28</v>
      </c>
      <c r="N32" s="140">
        <f t="shared" si="9"/>
        <v>0.28</v>
      </c>
      <c r="O32" s="140">
        <f t="shared" si="9"/>
        <v>0.28</v>
      </c>
      <c r="P32" s="140">
        <f t="shared" si="9"/>
        <v>0.28</v>
      </c>
      <c r="Q32" s="140">
        <f t="shared" si="9"/>
        <v>0.28</v>
      </c>
      <c r="R32" s="140">
        <f t="shared" si="9"/>
        <v>0.28</v>
      </c>
      <c r="S32" s="140">
        <f t="shared" si="9"/>
        <v>0.28</v>
      </c>
      <c r="T32" s="140">
        <f t="shared" si="9"/>
        <v>0.28</v>
      </c>
      <c r="U32" s="140">
        <f t="shared" si="9"/>
        <v>0.28</v>
      </c>
      <c r="V32" s="140">
        <f t="shared" si="9"/>
        <v>0.28</v>
      </c>
    </row>
    <row r="33" spans="1:22" ht="12.75">
      <c r="A33" s="106" t="s">
        <v>561</v>
      </c>
      <c r="E33" s="8">
        <f aca="true" t="shared" si="10" ref="E33:V33">IF(E13*E32/(100*365/1000)&gt;E26,E26,E13*E32/(100*365/1000))</f>
        <v>24207.402077452396</v>
      </c>
      <c r="F33" s="8">
        <f t="shared" si="10"/>
        <v>25006.851712453998</v>
      </c>
      <c r="G33" s="8">
        <f t="shared" si="10"/>
        <v>25832.703177642077</v>
      </c>
      <c r="H33" s="8">
        <f t="shared" si="10"/>
        <v>3094.5279390474097</v>
      </c>
      <c r="I33" s="8">
        <f t="shared" si="10"/>
        <v>3148.629947515749</v>
      </c>
      <c r="J33" s="8">
        <f t="shared" si="10"/>
        <v>3203.3516722578447</v>
      </c>
      <c r="K33" s="8">
        <f t="shared" si="10"/>
        <v>3258.7043651962613</v>
      </c>
      <c r="L33" s="8">
        <f t="shared" si="10"/>
        <v>3314.699544029773</v>
      </c>
      <c r="M33" s="8">
        <f t="shared" si="10"/>
        <v>1196.5387700195959</v>
      </c>
      <c r="N33" s="8">
        <f t="shared" si="10"/>
        <v>1205.6294005421662</v>
      </c>
      <c r="O33" s="8">
        <f t="shared" si="10"/>
        <v>1214.8457632249879</v>
      </c>
      <c r="P33" s="8">
        <f t="shared" si="10"/>
        <v>1224.1902691017951</v>
      </c>
      <c r="Q33" s="8">
        <f t="shared" si="10"/>
        <v>1233.6653900846165</v>
      </c>
      <c r="R33" s="8">
        <f t="shared" si="10"/>
        <v>1243.2736608092896</v>
      </c>
      <c r="S33" s="8">
        <f t="shared" si="10"/>
        <v>1253.0176805437532</v>
      </c>
      <c r="T33" s="8">
        <f t="shared" si="10"/>
        <v>1262.9001151672314</v>
      </c>
      <c r="U33" s="8">
        <f t="shared" si="10"/>
        <v>1272.9236992182164</v>
      </c>
      <c r="V33" s="8">
        <f t="shared" si="10"/>
        <v>1272.9236992182164</v>
      </c>
    </row>
    <row r="35" spans="1:22" ht="12.75">
      <c r="A35" s="106" t="s">
        <v>554</v>
      </c>
      <c r="G35" s="130">
        <f>1-E26/E13*(100*365/1000)</f>
        <v>0.772729389911415</v>
      </c>
      <c r="H35" s="130">
        <f>1-F26/F13*(100*365/1000)</f>
        <v>0.7704705771623546</v>
      </c>
      <c r="I35" s="130">
        <f>1-G26/G13*(100*365/1000)</f>
        <v>0.7681288406498764</v>
      </c>
      <c r="J35" s="130"/>
      <c r="K35" s="130"/>
      <c r="L35" s="130"/>
      <c r="M35" s="130"/>
      <c r="N35" s="130"/>
      <c r="O35" s="130"/>
      <c r="P35" s="130"/>
      <c r="Q35" s="130"/>
      <c r="R35" s="130"/>
      <c r="S35" s="130"/>
      <c r="T35" s="130"/>
      <c r="U35" s="130"/>
      <c r="V35" s="130"/>
    </row>
    <row r="36" spans="1:7" ht="12.75">
      <c r="A36" t="s">
        <v>555</v>
      </c>
      <c r="G36" s="130">
        <v>1</v>
      </c>
    </row>
    <row r="37" spans="1:7" ht="12.75">
      <c r="A37" t="s">
        <v>556</v>
      </c>
      <c r="G37" s="130">
        <f>(G36+G35)/2</f>
        <v>0.8863646949557076</v>
      </c>
    </row>
    <row r="39" spans="1:7" ht="12.75">
      <c r="A39" t="s">
        <v>562</v>
      </c>
      <c r="C39" s="8">
        <f>SUM(C31:G31)+SUM(C33:G33)</f>
        <v>759665.4629303446</v>
      </c>
      <c r="G39" s="8"/>
    </row>
    <row r="40" spans="1:7" ht="12.75">
      <c r="A40" s="106" t="s">
        <v>598</v>
      </c>
      <c r="C40" s="8">
        <f>C39/hh_size</f>
        <v>118697.72858286634</v>
      </c>
      <c r="G40" s="8"/>
    </row>
    <row r="41" spans="1:3" ht="12.75">
      <c r="A41" t="s">
        <v>563</v>
      </c>
      <c r="C41" s="8">
        <f>SUM(C31:V31)+SUM(C33:V33)</f>
        <v>990921.1556747281</v>
      </c>
    </row>
    <row r="42" spans="1:3" ht="12.75">
      <c r="A42" s="106" t="s">
        <v>597</v>
      </c>
      <c r="C42" s="8">
        <f>C41/hh_size</f>
        <v>154831.43057417625</v>
      </c>
    </row>
    <row r="43" spans="1:3" ht="12.75">
      <c r="A43" s="106" t="s">
        <v>567</v>
      </c>
      <c r="C43" s="130">
        <f>C39/G15</f>
        <v>0.9247746897450594</v>
      </c>
    </row>
    <row r="44" spans="1:3" ht="12.75">
      <c r="A44" s="106" t="s">
        <v>568</v>
      </c>
      <c r="C44" s="130">
        <f>C41/V15</f>
        <v>0.7466236598979182</v>
      </c>
    </row>
    <row r="46" ht="12.75">
      <c r="A46" s="1" t="s">
        <v>564</v>
      </c>
    </row>
    <row r="47" spans="1:22" ht="12.75">
      <c r="A47" s="106" t="s">
        <v>565</v>
      </c>
      <c r="E47" s="8">
        <f>E16</f>
        <v>24254.907756197732</v>
      </c>
      <c r="F47" s="8">
        <f>F16</f>
        <v>25043.1922582743</v>
      </c>
      <c r="G47" s="8">
        <f aca="true" t="shared" si="11" ref="G47:V47">G16</f>
        <v>25857.096006668173</v>
      </c>
      <c r="H47" s="8">
        <f t="shared" si="11"/>
        <v>26697.45162688475</v>
      </c>
      <c r="I47" s="8">
        <f t="shared" si="11"/>
        <v>27565.118804758647</v>
      </c>
      <c r="J47" s="8">
        <f t="shared" si="11"/>
        <v>28460.985165913473</v>
      </c>
      <c r="K47" s="8">
        <f t="shared" si="11"/>
        <v>29385.96718380542</v>
      </c>
      <c r="L47" s="8">
        <f t="shared" si="11"/>
        <v>30341.01111727918</v>
      </c>
      <c r="M47" s="8">
        <f t="shared" si="11"/>
        <v>31327.093978590565</v>
      </c>
      <c r="N47" s="8">
        <f t="shared" si="11"/>
        <v>32345.224532895023</v>
      </c>
      <c r="O47" s="8">
        <f t="shared" si="11"/>
        <v>33396.444330213824</v>
      </c>
      <c r="P47" s="8">
        <f t="shared" si="11"/>
        <v>34481.82877094578</v>
      </c>
      <c r="Q47" s="8">
        <f t="shared" si="11"/>
        <v>35602.48820600193</v>
      </c>
      <c r="R47" s="8">
        <f t="shared" si="11"/>
        <v>36759.569072696846</v>
      </c>
      <c r="S47" s="8">
        <f t="shared" si="11"/>
        <v>37954.255067559425</v>
      </c>
      <c r="T47" s="8">
        <f t="shared" si="11"/>
        <v>39187.76835725503</v>
      </c>
      <c r="U47" s="8">
        <f t="shared" si="11"/>
        <v>40461.370828865794</v>
      </c>
      <c r="V47" s="8">
        <f t="shared" si="11"/>
        <v>41776.365380804054</v>
      </c>
    </row>
    <row r="48" spans="1:22" ht="12.75">
      <c r="A48" s="106" t="s">
        <v>569</v>
      </c>
      <c r="C48">
        <v>2424510</v>
      </c>
      <c r="D48">
        <v>2480274</v>
      </c>
      <c r="E48" s="8">
        <v>2537320</v>
      </c>
      <c r="F48" s="8">
        <v>2595678</v>
      </c>
      <c r="G48" s="8">
        <v>2655379</v>
      </c>
      <c r="H48" s="8">
        <v>2716453</v>
      </c>
      <c r="I48" s="8">
        <v>2778931</v>
      </c>
      <c r="J48" s="8">
        <v>2842846</v>
      </c>
      <c r="K48" s="8">
        <v>2908231</v>
      </c>
      <c r="L48" s="8">
        <v>2975120</v>
      </c>
      <c r="M48" s="8">
        <v>3043548</v>
      </c>
      <c r="N48" s="8">
        <v>3113550</v>
      </c>
      <c r="O48" s="8">
        <v>3185162</v>
      </c>
      <c r="P48" s="8">
        <v>3258421</v>
      </c>
      <c r="Q48" s="8">
        <v>3333365</v>
      </c>
      <c r="R48" s="8">
        <v>3410032</v>
      </c>
      <c r="S48" s="8">
        <v>3488463</v>
      </c>
      <c r="T48" s="8">
        <v>3568698</v>
      </c>
      <c r="U48" s="8">
        <v>3650778</v>
      </c>
      <c r="V48" s="8">
        <v>3734746</v>
      </c>
    </row>
    <row r="49" spans="1:22" ht="12.75">
      <c r="A49" s="106" t="s">
        <v>566</v>
      </c>
      <c r="E49">
        <f>E48-D48</f>
        <v>57046</v>
      </c>
      <c r="F49">
        <f aca="true" t="shared" si="12" ref="F49:V49">F48-E48</f>
        <v>58358</v>
      </c>
      <c r="G49">
        <f t="shared" si="12"/>
        <v>59701</v>
      </c>
      <c r="H49">
        <f t="shared" si="12"/>
        <v>61074</v>
      </c>
      <c r="I49">
        <f t="shared" si="12"/>
        <v>62478</v>
      </c>
      <c r="J49">
        <f t="shared" si="12"/>
        <v>63915</v>
      </c>
      <c r="K49">
        <f t="shared" si="12"/>
        <v>65385</v>
      </c>
      <c r="L49">
        <f t="shared" si="12"/>
        <v>66889</v>
      </c>
      <c r="M49">
        <f t="shared" si="12"/>
        <v>68428</v>
      </c>
      <c r="N49">
        <f t="shared" si="12"/>
        <v>70002</v>
      </c>
      <c r="O49">
        <f t="shared" si="12"/>
        <v>71612</v>
      </c>
      <c r="P49">
        <f t="shared" si="12"/>
        <v>73259</v>
      </c>
      <c r="Q49">
        <f t="shared" si="12"/>
        <v>74944</v>
      </c>
      <c r="R49">
        <f t="shared" si="12"/>
        <v>76667</v>
      </c>
      <c r="S49">
        <f t="shared" si="12"/>
        <v>78431</v>
      </c>
      <c r="T49">
        <f t="shared" si="12"/>
        <v>80235</v>
      </c>
      <c r="U49">
        <f t="shared" si="12"/>
        <v>82080</v>
      </c>
      <c r="V49">
        <f t="shared" si="12"/>
        <v>83968</v>
      </c>
    </row>
    <row r="50" spans="1:22" ht="12.75">
      <c r="A50" s="106" t="s">
        <v>570</v>
      </c>
      <c r="E50" s="8">
        <f>E47+E49</f>
        <v>81300.90775619773</v>
      </c>
      <c r="F50" s="8">
        <f aca="true" t="shared" si="13" ref="F50:V50">F47+F49</f>
        <v>83401.1922582743</v>
      </c>
      <c r="G50" s="8">
        <f t="shared" si="13"/>
        <v>85558.09600666817</v>
      </c>
      <c r="H50" s="8">
        <f t="shared" si="13"/>
        <v>87771.45162688475</v>
      </c>
      <c r="I50" s="8">
        <f t="shared" si="13"/>
        <v>90043.11880475865</v>
      </c>
      <c r="J50" s="8">
        <f t="shared" si="13"/>
        <v>92375.98516591347</v>
      </c>
      <c r="K50" s="8">
        <f t="shared" si="13"/>
        <v>94770.96718380542</v>
      </c>
      <c r="L50" s="8">
        <f t="shared" si="13"/>
        <v>97230.01111727918</v>
      </c>
      <c r="M50" s="8">
        <f t="shared" si="13"/>
        <v>99755.09397859056</v>
      </c>
      <c r="N50" s="8">
        <f t="shared" si="13"/>
        <v>102347.22453289502</v>
      </c>
      <c r="O50" s="8">
        <f t="shared" si="13"/>
        <v>105008.44433021382</v>
      </c>
      <c r="P50" s="8">
        <f t="shared" si="13"/>
        <v>107740.82877094578</v>
      </c>
      <c r="Q50" s="8">
        <f t="shared" si="13"/>
        <v>110546.48820600193</v>
      </c>
      <c r="R50" s="8">
        <f t="shared" si="13"/>
        <v>113426.56907269685</v>
      </c>
      <c r="S50" s="8">
        <f t="shared" si="13"/>
        <v>116385.25506755942</v>
      </c>
      <c r="T50" s="8">
        <f t="shared" si="13"/>
        <v>119422.76835725503</v>
      </c>
      <c r="U50" s="8">
        <f t="shared" si="13"/>
        <v>122541.3708288658</v>
      </c>
      <c r="V50" s="8">
        <f t="shared" si="13"/>
        <v>125744.36538080405</v>
      </c>
    </row>
    <row r="51" spans="1:3" ht="12.75">
      <c r="A51" t="s">
        <v>562</v>
      </c>
      <c r="C51" s="8">
        <f>SUM(C50:G50)-SUM(C33:G33)</f>
        <v>175213.23905359174</v>
      </c>
    </row>
    <row r="52" spans="1:3" ht="12.75">
      <c r="A52" s="106" t="s">
        <v>598</v>
      </c>
      <c r="C52" s="8">
        <f>C51/hh_size</f>
        <v>27377.06860212371</v>
      </c>
    </row>
    <row r="53" spans="1:3" ht="12.75">
      <c r="A53" t="s">
        <v>563</v>
      </c>
      <c r="C53" s="8">
        <f>SUM(C50:V50)-SUM(C33:V33)</f>
        <v>1731923.3595620845</v>
      </c>
    </row>
    <row r="54" spans="1:3" ht="12.75">
      <c r="A54" s="106" t="s">
        <v>597</v>
      </c>
      <c r="C54" s="8">
        <f>C53/hh_size</f>
        <v>270613.0249315757</v>
      </c>
    </row>
    <row r="55" spans="1:3" ht="12.75">
      <c r="A55" s="106" t="s">
        <v>567</v>
      </c>
      <c r="C55" s="130">
        <f>C51/(G15+G48)</f>
        <v>0.05039440610593379</v>
      </c>
    </row>
    <row r="56" spans="1:3" ht="12.75">
      <c r="A56" s="106" t="s">
        <v>568</v>
      </c>
      <c r="C56" s="130">
        <f>C53/(V15+V48)</f>
        <v>0.34214555739976343</v>
      </c>
    </row>
    <row r="58" ht="12.75">
      <c r="A58" s="106" t="s">
        <v>633</v>
      </c>
    </row>
    <row r="59" spans="1:3" ht="12.75">
      <c r="A59" s="106" t="s">
        <v>634</v>
      </c>
      <c r="C59" s="8">
        <f>SUM(E33:V33)</f>
        <v>103446.77888352536</v>
      </c>
    </row>
    <row r="60" spans="1:3" ht="12.75">
      <c r="A60" s="106"/>
      <c r="C60" s="8"/>
    </row>
    <row r="61" spans="1:3" ht="12.75">
      <c r="A61" s="106" t="s">
        <v>639</v>
      </c>
      <c r="C61" s="8"/>
    </row>
    <row r="62" spans="1:3" ht="12.75">
      <c r="A62" s="106" t="s">
        <v>640</v>
      </c>
      <c r="C62" s="8"/>
    </row>
    <row r="64" ht="12.75">
      <c r="A64" s="106" t="s">
        <v>628</v>
      </c>
    </row>
    <row r="65" spans="3:6" ht="12.75">
      <c r="C65" s="571" t="s">
        <v>636</v>
      </c>
      <c r="D65" s="571"/>
      <c r="E65" s="571"/>
      <c r="F65" s="571"/>
    </row>
    <row r="66" spans="1:6" ht="12.75">
      <c r="A66" s="106" t="s">
        <v>612</v>
      </c>
      <c r="C66" s="238" t="s">
        <v>599</v>
      </c>
      <c r="D66" s="238" t="s">
        <v>600</v>
      </c>
      <c r="E66" s="239" t="s">
        <v>602</v>
      </c>
      <c r="F66" s="238" t="s">
        <v>601</v>
      </c>
    </row>
    <row r="67" spans="1:7" ht="12.75">
      <c r="A67" s="106" t="s">
        <v>630</v>
      </c>
      <c r="C67" s="130">
        <v>0</v>
      </c>
      <c r="D67" s="236">
        <v>0.03586666027690286</v>
      </c>
      <c r="E67" s="236">
        <v>0.2704085037047246</v>
      </c>
      <c r="F67" s="236">
        <v>0.6937248360183722</v>
      </c>
      <c r="G67" s="130"/>
    </row>
    <row r="68" spans="1:6" ht="12.75">
      <c r="A68" s="106" t="s">
        <v>626</v>
      </c>
      <c r="C68" s="130">
        <v>0</v>
      </c>
      <c r="D68" s="236">
        <v>0.02586666027690286</v>
      </c>
      <c r="E68" s="236">
        <v>0.25040850370472456</v>
      </c>
      <c r="F68" s="236">
        <v>0.7237248360183721</v>
      </c>
    </row>
    <row r="69" spans="1:6" ht="12.75">
      <c r="A69" s="106" t="s">
        <v>627</v>
      </c>
      <c r="C69" s="130">
        <v>0</v>
      </c>
      <c r="D69" s="236">
        <v>0.038</v>
      </c>
      <c r="E69" s="236">
        <v>0.302</v>
      </c>
      <c r="F69" s="236">
        <v>0.66</v>
      </c>
    </row>
    <row r="70" spans="1:6" ht="12.75">
      <c r="A70" s="106"/>
      <c r="C70" s="130"/>
      <c r="D70" s="236"/>
      <c r="E70" s="236"/>
      <c r="F70" s="236"/>
    </row>
    <row r="71" spans="1:6" ht="12.75">
      <c r="A71" s="106" t="s">
        <v>659</v>
      </c>
      <c r="C71">
        <v>0</v>
      </c>
      <c r="D71" s="8">
        <f>2*365</f>
        <v>730</v>
      </c>
      <c r="E71" s="8">
        <f>3*365</f>
        <v>1095</v>
      </c>
      <c r="F71" s="8">
        <f>10.2997441383138*365</f>
        <v>3759.406610484537</v>
      </c>
    </row>
    <row r="72" spans="1:8" ht="12.75">
      <c r="A72" s="106" t="s">
        <v>650</v>
      </c>
      <c r="G72" s="8">
        <v>244.18947566196587</v>
      </c>
      <c r="H72" s="106" t="s">
        <v>651</v>
      </c>
    </row>
    <row r="73" spans="1:8" ht="12.75">
      <c r="A73" s="106" t="s">
        <v>652</v>
      </c>
      <c r="G73" s="8">
        <f>G72*12</f>
        <v>2930.2737079435906</v>
      </c>
      <c r="H73" s="8">
        <f>SUMPRODUCT(D67:F67,D71:F71)</f>
        <v>2930.2737079435824</v>
      </c>
    </row>
    <row r="74" spans="1:7" ht="12.75">
      <c r="A74" s="106"/>
      <c r="G74" s="8"/>
    </row>
    <row r="75" ht="12.75">
      <c r="A75" s="106" t="s">
        <v>629</v>
      </c>
    </row>
    <row r="76" spans="3:6" ht="12.75">
      <c r="C76" s="571" t="s">
        <v>636</v>
      </c>
      <c r="D76" s="571"/>
      <c r="E76" s="571"/>
      <c r="F76" s="571"/>
    </row>
    <row r="77" spans="1:6" ht="12.75">
      <c r="A77" s="106" t="s">
        <v>613</v>
      </c>
      <c r="C77" s="238" t="s">
        <v>599</v>
      </c>
      <c r="D77" s="238" t="s">
        <v>600</v>
      </c>
      <c r="E77" s="239" t="s">
        <v>602</v>
      </c>
      <c r="F77" s="238" t="s">
        <v>601</v>
      </c>
    </row>
    <row r="78" spans="1:7" ht="12.75">
      <c r="A78" s="106" t="s">
        <v>630</v>
      </c>
      <c r="C78" s="242">
        <f>C67</f>
        <v>0</v>
      </c>
      <c r="D78" s="243">
        <f>D67-1%</f>
        <v>0.02586666027690286</v>
      </c>
      <c r="E78" s="243">
        <f>E67-2%</f>
        <v>0.25040850370472456</v>
      </c>
      <c r="F78" s="243">
        <f>F67+3%</f>
        <v>0.7237248360183722</v>
      </c>
      <c r="G78" s="106" t="s">
        <v>631</v>
      </c>
    </row>
    <row r="79" spans="1:7" ht="12.75">
      <c r="A79" s="106" t="s">
        <v>626</v>
      </c>
      <c r="C79" s="242">
        <f>C68</f>
        <v>0</v>
      </c>
      <c r="D79" s="243">
        <f aca="true" t="shared" si="14" ref="D79:F80">D68</f>
        <v>0.02586666027690286</v>
      </c>
      <c r="E79" s="243">
        <f t="shared" si="14"/>
        <v>0.25040850370472456</v>
      </c>
      <c r="F79" s="243">
        <f t="shared" si="14"/>
        <v>0.7237248360183721</v>
      </c>
      <c r="G79" s="106" t="s">
        <v>655</v>
      </c>
    </row>
    <row r="80" spans="1:7" ht="12.75">
      <c r="A80" s="106" t="s">
        <v>627</v>
      </c>
      <c r="C80" s="240">
        <f>C69</f>
        <v>0</v>
      </c>
      <c r="D80" s="240">
        <f t="shared" si="14"/>
        <v>0.038</v>
      </c>
      <c r="E80" s="240">
        <f t="shared" si="14"/>
        <v>0.302</v>
      </c>
      <c r="F80" s="240">
        <f t="shared" si="14"/>
        <v>0.66</v>
      </c>
      <c r="G80" s="106" t="s">
        <v>667</v>
      </c>
    </row>
    <row r="81" ht="12.75">
      <c r="A81" s="106"/>
    </row>
    <row r="82" spans="1:6" ht="12.75">
      <c r="A82" s="106" t="s">
        <v>659</v>
      </c>
      <c r="C82">
        <v>0</v>
      </c>
      <c r="D82" s="8">
        <f>2*365</f>
        <v>730</v>
      </c>
      <c r="E82" s="8">
        <f>3*365</f>
        <v>1095</v>
      </c>
      <c r="F82" s="124">
        <f>10.2934030294063*365</f>
        <v>3757.0921057332994</v>
      </c>
    </row>
    <row r="83" spans="1:7" ht="12.75">
      <c r="A83" s="106" t="s">
        <v>657</v>
      </c>
      <c r="G83" s="8">
        <f>C89</f>
        <v>251.01507014054823</v>
      </c>
    </row>
    <row r="84" spans="1:8" ht="12.75">
      <c r="A84" s="106" t="s">
        <v>658</v>
      </c>
      <c r="G84" s="8">
        <f>C90</f>
        <v>3012.180841686579</v>
      </c>
      <c r="H84" s="8">
        <f>SUMPRODUCT(D78:F78,D82:F82)</f>
        <v>3012.1808416865656</v>
      </c>
    </row>
    <row r="85" ht="12.75">
      <c r="A85" s="106"/>
    </row>
    <row r="86" spans="1:4" ht="12.75">
      <c r="A86" s="106" t="s">
        <v>614</v>
      </c>
      <c r="C86" s="8">
        <v>5906043</v>
      </c>
      <c r="D86" s="106" t="s">
        <v>615</v>
      </c>
    </row>
    <row r="87" spans="1:4" ht="12.75">
      <c r="A87" s="106" t="s">
        <v>621</v>
      </c>
      <c r="C87" s="237">
        <v>0.022</v>
      </c>
      <c r="D87" s="106" t="s">
        <v>622</v>
      </c>
    </row>
    <row r="88" spans="1:3" ht="12.75">
      <c r="A88" s="106" t="s">
        <v>611</v>
      </c>
      <c r="C88" s="8">
        <f>C86*(1+C87)^20</f>
        <v>9126715.662986442</v>
      </c>
    </row>
    <row r="89" spans="1:4" ht="12.75">
      <c r="A89" s="106" t="s">
        <v>653</v>
      </c>
      <c r="C89" s="8">
        <v>251.01507014054823</v>
      </c>
      <c r="D89" s="106" t="s">
        <v>651</v>
      </c>
    </row>
    <row r="90" spans="1:3" ht="12.75">
      <c r="A90" s="106" t="s">
        <v>654</v>
      </c>
      <c r="C90" s="8">
        <f>C89*12</f>
        <v>3012.180841686579</v>
      </c>
    </row>
    <row r="91" spans="1:3" ht="12.75">
      <c r="A91" s="106"/>
      <c r="C91" s="8"/>
    </row>
    <row r="92" spans="3:6" ht="12.75">
      <c r="C92" s="106" t="s">
        <v>617</v>
      </c>
      <c r="D92" s="106" t="s">
        <v>618</v>
      </c>
      <c r="E92" s="106" t="s">
        <v>26</v>
      </c>
      <c r="F92" s="106" t="s">
        <v>619</v>
      </c>
    </row>
    <row r="93" spans="1:6" ht="12.75">
      <c r="A93" s="106" t="s">
        <v>616</v>
      </c>
      <c r="C93" s="8">
        <v>460900</v>
      </c>
      <c r="D93" s="8">
        <v>430100</v>
      </c>
      <c r="E93" s="8">
        <v>891000</v>
      </c>
      <c r="F93" s="237">
        <v>0.149</v>
      </c>
    </row>
    <row r="95" ht="12.75">
      <c r="A95" s="1" t="s">
        <v>668</v>
      </c>
    </row>
    <row r="96" spans="1:3" ht="12.75">
      <c r="A96" s="106" t="s">
        <v>635</v>
      </c>
      <c r="C96" s="132">
        <f>NPV(0.1,CBA_BD!E31:X31)/PPP_conversion_2005</f>
        <v>179953156.33670858</v>
      </c>
    </row>
    <row r="97" spans="3:6" ht="12.75">
      <c r="C97" s="571" t="s">
        <v>636</v>
      </c>
      <c r="D97" s="571"/>
      <c r="E97" s="571"/>
      <c r="F97" s="571"/>
    </row>
    <row r="98" spans="3:6" ht="12.75">
      <c r="C98" s="238" t="s">
        <v>599</v>
      </c>
      <c r="D98" s="238" t="s">
        <v>600</v>
      </c>
      <c r="E98" s="239" t="s">
        <v>602</v>
      </c>
      <c r="F98" s="238" t="s">
        <v>601</v>
      </c>
    </row>
    <row r="99" spans="1:6" ht="12.75">
      <c r="A99" s="106" t="s">
        <v>663</v>
      </c>
      <c r="C99" s="132">
        <f>$C96*C69</f>
        <v>0</v>
      </c>
      <c r="D99" s="132">
        <f>$C96*D69</f>
        <v>6838219.940794926</v>
      </c>
      <c r="E99" s="132">
        <f>$C96*E69</f>
        <v>54345853.21368599</v>
      </c>
      <c r="F99" s="132">
        <f>$C96*F69</f>
        <v>118769083.18222767</v>
      </c>
    </row>
    <row r="100" spans="1:6" ht="12.75">
      <c r="A100" s="106" t="s">
        <v>637</v>
      </c>
      <c r="C100" s="8">
        <f>$C41*C67</f>
        <v>0</v>
      </c>
      <c r="D100" s="8">
        <f>$C41*D67</f>
        <v>35541.03245178145</v>
      </c>
      <c r="E100" s="8">
        <f>$C41*E67</f>
        <v>267953.50699535967</v>
      </c>
      <c r="F100" s="8">
        <f>$C41*F67</f>
        <v>687426.6162275866</v>
      </c>
    </row>
    <row r="101" spans="1:6" ht="12.75">
      <c r="A101" s="106" t="s">
        <v>661</v>
      </c>
      <c r="C101">
        <v>0</v>
      </c>
      <c r="D101" s="8">
        <f>D99/D100</f>
        <v>192.40352542015611</v>
      </c>
      <c r="E101" s="8">
        <f>E99/E100</f>
        <v>202.81821956010873</v>
      </c>
      <c r="F101" s="8">
        <f>F99/F100</f>
        <v>172.7734719292666</v>
      </c>
    </row>
    <row r="104" spans="1:3" ht="12.75">
      <c r="A104" s="106" t="s">
        <v>641</v>
      </c>
      <c r="C104" s="132">
        <f>NPV(0.1,CBA_BD!E32:X32)/PPP_conversion_2005</f>
        <v>72863349.85501954</v>
      </c>
    </row>
    <row r="105" spans="3:6" ht="12.75">
      <c r="C105" s="571" t="s">
        <v>636</v>
      </c>
      <c r="D105" s="571"/>
      <c r="E105" s="571"/>
      <c r="F105" s="571"/>
    </row>
    <row r="106" spans="3:6" ht="12.75">
      <c r="C106" s="238" t="s">
        <v>599</v>
      </c>
      <c r="D106" s="238" t="s">
        <v>600</v>
      </c>
      <c r="E106" s="239" t="s">
        <v>602</v>
      </c>
      <c r="F106" s="238" t="s">
        <v>601</v>
      </c>
    </row>
    <row r="107" spans="1:6" ht="12.75">
      <c r="A107" s="106" t="s">
        <v>663</v>
      </c>
      <c r="C107" s="132">
        <f>$C104*C69</f>
        <v>0</v>
      </c>
      <c r="D107" s="132">
        <f>$C104*D69</f>
        <v>2768807.2944907425</v>
      </c>
      <c r="E107" s="132">
        <f>$C104*E69</f>
        <v>22004731.6562159</v>
      </c>
      <c r="F107" s="132">
        <f>$C104*F69</f>
        <v>48089810.9043129</v>
      </c>
    </row>
    <row r="108" spans="1:6" ht="12.75">
      <c r="A108" s="106" t="s">
        <v>637</v>
      </c>
      <c r="C108" s="8">
        <f>C100</f>
        <v>0</v>
      </c>
      <c r="D108" s="8">
        <f>D100</f>
        <v>35541.03245178145</v>
      </c>
      <c r="E108" s="8">
        <f>E100</f>
        <v>267953.50699535967</v>
      </c>
      <c r="F108" s="8">
        <f>F100</f>
        <v>687426.6162275866</v>
      </c>
    </row>
    <row r="109" spans="1:6" ht="12.75">
      <c r="A109" s="106" t="s">
        <v>638</v>
      </c>
      <c r="C109">
        <v>0</v>
      </c>
      <c r="D109" s="8">
        <f>D107/D108</f>
        <v>77.90452621901701</v>
      </c>
      <c r="E109" s="8">
        <f>E107/E108</f>
        <v>82.12145421405874</v>
      </c>
      <c r="F109" s="8">
        <f>F107/F108</f>
        <v>69.9562829967465</v>
      </c>
    </row>
    <row r="111" spans="1:6" ht="12.75">
      <c r="A111" s="106" t="s">
        <v>647</v>
      </c>
      <c r="C111">
        <f>C109+C101</f>
        <v>0</v>
      </c>
      <c r="D111" s="8">
        <f>D109+D101</f>
        <v>270.30805163917313</v>
      </c>
      <c r="E111" s="8">
        <f>E109+E101</f>
        <v>284.9396737741675</v>
      </c>
      <c r="F111" s="8">
        <f>F109+F101</f>
        <v>242.7297549260131</v>
      </c>
    </row>
    <row r="112" spans="1:6" ht="12.75">
      <c r="A112" s="106" t="s">
        <v>630</v>
      </c>
      <c r="C112" s="16">
        <f>C67</f>
        <v>0</v>
      </c>
      <c r="D112" s="16">
        <f>D67</f>
        <v>0.03586666027690286</v>
      </c>
      <c r="E112" s="16">
        <f>E67</f>
        <v>0.2704085037047246</v>
      </c>
      <c r="F112" s="16">
        <f>F67</f>
        <v>0.6937248360183722</v>
      </c>
    </row>
    <row r="113" ht="12.75">
      <c r="A113" s="106"/>
    </row>
    <row r="114" spans="1:6" ht="12.75">
      <c r="A114" s="106" t="s">
        <v>659</v>
      </c>
      <c r="C114" s="8">
        <f>C71</f>
        <v>0</v>
      </c>
      <c r="D114" s="8">
        <f>D71</f>
        <v>730</v>
      </c>
      <c r="E114" s="8">
        <f>E71</f>
        <v>1095</v>
      </c>
      <c r="F114" s="8">
        <f>F71</f>
        <v>3759.406610484537</v>
      </c>
    </row>
    <row r="115" spans="1:7" ht="12.75">
      <c r="A115" s="106" t="s">
        <v>657</v>
      </c>
      <c r="C115" s="8"/>
      <c r="D115" s="8"/>
      <c r="E115" s="8"/>
      <c r="F115" s="8"/>
      <c r="G115" s="8">
        <f>G72</f>
        <v>244.18947566196587</v>
      </c>
    </row>
    <row r="116" spans="1:8" ht="12.75">
      <c r="A116" s="106" t="s">
        <v>658</v>
      </c>
      <c r="G116" s="246">
        <f>G115*12</f>
        <v>2930.2737079435906</v>
      </c>
      <c r="H116">
        <f>SUMPRODUCT(D112:F112,D114:F114)</f>
        <v>2930.2737079435824</v>
      </c>
    </row>
    <row r="117" ht="12.75">
      <c r="A117" s="106"/>
    </row>
    <row r="118" ht="12.75">
      <c r="A118" s="1" t="s">
        <v>644</v>
      </c>
    </row>
    <row r="119" spans="1:3" ht="12.75">
      <c r="A119" s="106" t="s">
        <v>645</v>
      </c>
      <c r="C119" s="130">
        <f>(SUM(E47:V47)-SUM(E33:V33))/C53</f>
        <v>0.27567695586876767</v>
      </c>
    </row>
    <row r="120" spans="1:3" ht="12.75">
      <c r="A120" s="106" t="s">
        <v>646</v>
      </c>
      <c r="C120" s="16">
        <f>1-C119</f>
        <v>0.7243230441312323</v>
      </c>
    </row>
    <row r="122" spans="1:3" ht="12.75">
      <c r="A122" s="106" t="s">
        <v>643</v>
      </c>
      <c r="C122" s="132">
        <f>NPV(0.1,CBA_BD!E30:X30)/PPP_conversion_2005</f>
        <v>160489444.05925986</v>
      </c>
    </row>
    <row r="123" spans="3:6" ht="12.75">
      <c r="C123" s="571" t="s">
        <v>636</v>
      </c>
      <c r="D123" s="571"/>
      <c r="E123" s="571"/>
      <c r="F123" s="571"/>
    </row>
    <row r="124" spans="3:6" ht="12.75">
      <c r="C124" s="238" t="s">
        <v>599</v>
      </c>
      <c r="D124" s="238" t="s">
        <v>600</v>
      </c>
      <c r="E124" s="239" t="s">
        <v>602</v>
      </c>
      <c r="F124" s="238" t="s">
        <v>601</v>
      </c>
    </row>
    <row r="125" spans="1:6" ht="12.75">
      <c r="A125" s="106" t="s">
        <v>630</v>
      </c>
      <c r="C125" s="244">
        <f>$C119*C67+$C120*C78</f>
        <v>0</v>
      </c>
      <c r="D125" s="244">
        <f>$C119*D67+$C120*D78</f>
        <v>0.028623429835590537</v>
      </c>
      <c r="E125" s="244">
        <f>$C119*E67+$C120*E78</f>
        <v>0.2559220428220999</v>
      </c>
      <c r="F125" s="244">
        <f>$C119*F67+$C120*F78</f>
        <v>0.7154545273423091</v>
      </c>
    </row>
    <row r="126" spans="1:6" ht="12.75">
      <c r="A126" s="106" t="s">
        <v>663</v>
      </c>
      <c r="C126" s="132">
        <f>($C119*C69+$C120*C80)*$C122</f>
        <v>0</v>
      </c>
      <c r="D126" s="132">
        <f>($C119*D69+$C120*D80)*$C122</f>
        <v>6098598.874251873</v>
      </c>
      <c r="E126" s="132">
        <f>($C119*E69+$C120*E80)*$C122</f>
        <v>48467812.10589648</v>
      </c>
      <c r="F126" s="132">
        <f>($C119*F69+$C120*F80)*$C122</f>
        <v>105923033.0791115</v>
      </c>
    </row>
    <row r="127" spans="1:6" ht="12.75">
      <c r="A127" s="106" t="s">
        <v>637</v>
      </c>
      <c r="C127" s="8">
        <f>C125*$C53</f>
        <v>0</v>
      </c>
      <c r="D127" s="8">
        <f>D125*$C53</f>
        <v>49573.58676304557</v>
      </c>
      <c r="E127" s="8">
        <f>E125*$C53</f>
        <v>443237.36419044295</v>
      </c>
      <c r="F127" s="8">
        <f>F125*$C53</f>
        <v>1239112.4086085951</v>
      </c>
    </row>
    <row r="128" spans="1:6" ht="12.75">
      <c r="A128" s="106" t="s">
        <v>661</v>
      </c>
      <c r="C128">
        <v>0</v>
      </c>
      <c r="D128" s="8">
        <f>D126/D127</f>
        <v>123.02113428673773</v>
      </c>
      <c r="E128" s="8">
        <f>E126/E127</f>
        <v>109.34956305956108</v>
      </c>
      <c r="F128" s="8">
        <f>F126/F127</f>
        <v>85.48298955221742</v>
      </c>
    </row>
    <row r="129" spans="1:6" ht="12.75">
      <c r="A129" s="106"/>
      <c r="D129" s="8"/>
      <c r="E129" s="8"/>
      <c r="F129" s="8"/>
    </row>
    <row r="130" spans="1:6" ht="12.75">
      <c r="A130" s="106" t="s">
        <v>659</v>
      </c>
      <c r="C130" s="8">
        <f>$C119*C71+$C120*C82</f>
        <v>0</v>
      </c>
      <c r="D130" s="8">
        <f>$C119*D71+$C120*D82</f>
        <v>729.9999999999999</v>
      </c>
      <c r="E130" s="8">
        <f>$C119*E71+$C120*E82</f>
        <v>1095</v>
      </c>
      <c r="F130" s="8">
        <f>$C119*F71+$C120*F82</f>
        <v>3757.7301613574637</v>
      </c>
    </row>
    <row r="131" spans="1:7" ht="12.75">
      <c r="A131" s="106" t="s">
        <v>657</v>
      </c>
      <c r="C131" s="8"/>
      <c r="D131" s="8"/>
      <c r="E131" s="8"/>
      <c r="F131" s="8"/>
      <c r="G131" s="8">
        <f>C119*G72+C120*G83</f>
        <v>249.13341103269795</v>
      </c>
    </row>
    <row r="132" spans="1:8" ht="12.75">
      <c r="A132" s="106" t="s">
        <v>658</v>
      </c>
      <c r="C132" s="8"/>
      <c r="D132" s="8"/>
      <c r="E132" s="8"/>
      <c r="F132" s="8"/>
      <c r="G132" s="8">
        <f>G131*12</f>
        <v>2989.6009323923754</v>
      </c>
      <c r="H132">
        <f>SUMPRODUCT(D125:F125,D130:F130)</f>
        <v>2989.6147971441237</v>
      </c>
    </row>
    <row r="133" spans="1:7" ht="12.75">
      <c r="A133" s="106"/>
      <c r="C133" s="8"/>
      <c r="D133" s="8"/>
      <c r="E133" s="8"/>
      <c r="F133" s="8"/>
      <c r="G133" s="8"/>
    </row>
    <row r="134" ht="12.75">
      <c r="A134" s="1" t="s">
        <v>666</v>
      </c>
    </row>
    <row r="135" ht="12.75">
      <c r="A135" s="106" t="s">
        <v>648</v>
      </c>
    </row>
    <row r="136" ht="12.75">
      <c r="A136" s="106" t="s">
        <v>649</v>
      </c>
    </row>
    <row r="137" spans="1:3" ht="12.75">
      <c r="A137" s="106" t="s">
        <v>664</v>
      </c>
      <c r="C137" s="237">
        <f>C41/(C41+C53)</f>
        <v>0.3639286599472042</v>
      </c>
    </row>
    <row r="138" spans="1:3" ht="12.75">
      <c r="A138" s="106" t="s">
        <v>665</v>
      </c>
      <c r="C138" s="241">
        <f>1-C137</f>
        <v>0.6360713400527958</v>
      </c>
    </row>
    <row r="140" spans="3:6" ht="12.75">
      <c r="C140" s="571" t="s">
        <v>636</v>
      </c>
      <c r="D140" s="571"/>
      <c r="E140" s="571"/>
      <c r="F140" s="571"/>
    </row>
    <row r="141" spans="3:6" ht="12.75">
      <c r="C141" s="238" t="s">
        <v>599</v>
      </c>
      <c r="D141" s="238" t="s">
        <v>600</v>
      </c>
      <c r="E141" s="239" t="s">
        <v>602</v>
      </c>
      <c r="F141" s="238" t="s">
        <v>601</v>
      </c>
    </row>
    <row r="142" spans="1:6" ht="12.75">
      <c r="A142" s="106" t="s">
        <v>630</v>
      </c>
      <c r="C142" s="245">
        <f>$C137*C112+$C138*C125</f>
        <v>0</v>
      </c>
      <c r="D142" s="245">
        <f>$C137*D112+$C138*D125</f>
        <v>0.031259448983786124</v>
      </c>
      <c r="E142" s="245">
        <f>$C137*E112+$C138*E125</f>
        <v>0.2611940811184911</v>
      </c>
      <c r="F142" s="245">
        <f>$C137*F112+$C138*F125</f>
        <v>0.7075464698977223</v>
      </c>
    </row>
    <row r="143" spans="1:8" ht="12.75">
      <c r="A143" s="106" t="s">
        <v>662</v>
      </c>
      <c r="C143">
        <f>$C137*C111+$C138*C128</f>
        <v>0</v>
      </c>
      <c r="D143" s="8">
        <f>$C137*D111+$C138*D128</f>
        <v>176.62306474656415</v>
      </c>
      <c r="E143" s="8">
        <f>$C137*E111+$C138*E128</f>
        <v>173.251836751909</v>
      </c>
      <c r="F143" s="8">
        <f>$C137*F111+$C138*F128</f>
        <v>142.70959415573532</v>
      </c>
      <c r="H143" s="8">
        <f>SUMPRODUCT(D142:F142,D143:F143)</f>
        <v>151.74716354973802</v>
      </c>
    </row>
    <row r="144" spans="1:8" ht="12.75">
      <c r="A144" s="106" t="s">
        <v>660</v>
      </c>
      <c r="C144" s="8">
        <f>$C137*C114+$C138*C130</f>
        <v>0</v>
      </c>
      <c r="D144" s="8">
        <f>$C137*D114+$C138*D130</f>
        <v>729.9999999999999</v>
      </c>
      <c r="E144" s="8">
        <f>$C137*E114+$C138*E130</f>
        <v>1095</v>
      </c>
      <c r="F144" s="8">
        <f>$C137*F114+$C138*F130</f>
        <v>3758.340269241749</v>
      </c>
      <c r="H144" s="130">
        <f>H143/G147</f>
        <v>0.051127577310248626</v>
      </c>
    </row>
    <row r="145" spans="1:6" ht="12.75">
      <c r="A145" s="106" t="s">
        <v>656</v>
      </c>
      <c r="C145" s="8">
        <v>0</v>
      </c>
      <c r="D145" s="130">
        <f>D143/D144</f>
        <v>0.2419494037624167</v>
      </c>
      <c r="E145" s="130">
        <f>E143/E144</f>
        <v>0.15822085548119544</v>
      </c>
      <c r="F145" s="130">
        <f>F143/F144</f>
        <v>0.037971440564780794</v>
      </c>
    </row>
    <row r="146" spans="1:7" ht="12.75">
      <c r="A146" s="106" t="s">
        <v>657</v>
      </c>
      <c r="D146" s="8"/>
      <c r="E146" s="8"/>
      <c r="F146" s="8"/>
      <c r="G146" s="8">
        <f>C137*G115+C138*G131</f>
        <v>247.33417125836183</v>
      </c>
    </row>
    <row r="147" spans="1:8" ht="12.75">
      <c r="A147" s="106" t="s">
        <v>658</v>
      </c>
      <c r="E147" s="8"/>
      <c r="F147" s="8"/>
      <c r="G147" s="8">
        <f>G146*12</f>
        <v>2968.010055100342</v>
      </c>
      <c r="H147">
        <f>SUMPRODUCT(D142:F142,D144:F144)</f>
        <v>2968.027306759366</v>
      </c>
    </row>
    <row r="148" spans="1:6" ht="12.75">
      <c r="A148" s="106" t="s">
        <v>669</v>
      </c>
      <c r="E148" s="8"/>
      <c r="F148" s="8"/>
    </row>
    <row r="149" spans="1:6" ht="12.75">
      <c r="A149" s="106"/>
      <c r="D149" s="8"/>
      <c r="E149" s="8"/>
      <c r="F149" s="8"/>
    </row>
  </sheetData>
  <sheetProtection/>
  <mergeCells count="6">
    <mergeCell ref="C140:F140"/>
    <mergeCell ref="C97:F97"/>
    <mergeCell ref="C76:F76"/>
    <mergeCell ref="C65:F65"/>
    <mergeCell ref="C105:F105"/>
    <mergeCell ref="C123:F123"/>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IV51"/>
  <sheetViews>
    <sheetView zoomScalePageLayoutView="0" workbookViewId="0" topLeftCell="A5">
      <selection activeCell="M23" sqref="M23"/>
    </sheetView>
  </sheetViews>
  <sheetFormatPr defaultColWidth="9.140625" defaultRowHeight="12.75"/>
  <cols>
    <col min="1" max="1" width="1.8515625" style="142" customWidth="1"/>
    <col min="2" max="2" width="47.7109375" style="142" customWidth="1"/>
    <col min="3" max="3" width="16.8515625" style="142" bestFit="1" customWidth="1"/>
    <col min="4" max="4" width="2.7109375" style="142" customWidth="1"/>
    <col min="5" max="5" width="9.8515625" style="142" bestFit="1" customWidth="1"/>
    <col min="6" max="6" width="9.7109375" style="142" customWidth="1"/>
    <col min="7" max="8" width="9.8515625" style="142" bestFit="1" customWidth="1"/>
    <col min="9" max="9" width="3.00390625" style="142" customWidth="1"/>
    <col min="10" max="10" width="9.140625" style="142" customWidth="1"/>
  </cols>
  <sheetData>
    <row r="1" spans="2:256" s="142" customFormat="1" ht="12.75">
      <c r="B1" s="225"/>
      <c r="D1" s="225"/>
      <c r="E1" s="225"/>
      <c r="F1" s="225"/>
      <c r="G1" s="225"/>
      <c r="H1" s="225"/>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56" s="142" customFormat="1" ht="15.75">
      <c r="B2" s="225"/>
      <c r="D2" s="230"/>
      <c r="E2" s="225"/>
      <c r="F2" s="225"/>
      <c r="G2" s="225"/>
      <c r="H2" s="225"/>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42" customFormat="1" ht="16.5" customHeight="1">
      <c r="A3" s="225"/>
      <c r="B3" s="22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42" customFormat="1" ht="16.5" customHeight="1">
      <c r="A4" s="225"/>
      <c r="B4" s="225"/>
      <c r="C4" s="574" t="s">
        <v>571</v>
      </c>
      <c r="D4" s="574"/>
      <c r="E4" s="574"/>
      <c r="F4" s="574"/>
      <c r="G4" s="574"/>
      <c r="H4" s="574"/>
      <c r="I4" s="57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s="142" customFormat="1" ht="15.75">
      <c r="B5" s="225"/>
      <c r="C5" s="575"/>
      <c r="D5" s="575"/>
      <c r="E5" s="575"/>
      <c r="F5" s="575"/>
      <c r="G5" s="575"/>
      <c r="H5" s="57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256" s="142" customFormat="1" ht="15.75">
      <c r="B6" s="225"/>
      <c r="C6" s="231"/>
      <c r="D6" s="232"/>
      <c r="E6" s="225"/>
      <c r="F6" s="233"/>
      <c r="G6" s="233"/>
      <c r="H6" s="23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42" customFormat="1" ht="15.75">
      <c r="B7" s="576" t="s">
        <v>540</v>
      </c>
      <c r="C7" s="576"/>
      <c r="D7" s="576"/>
      <c r="E7" s="576"/>
      <c r="F7" s="576"/>
      <c r="G7" s="576"/>
      <c r="H7" s="576"/>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256" s="142" customFormat="1" ht="24" customHeight="1" thickBot="1">
      <c r="B8" s="572" t="s">
        <v>670</v>
      </c>
      <c r="C8" s="572"/>
      <c r="D8" s="572"/>
      <c r="E8" s="572"/>
      <c r="F8" s="572"/>
      <c r="G8" s="572"/>
      <c r="H8" s="57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9" ht="12.75">
      <c r="A9" s="143"/>
      <c r="B9" s="144"/>
      <c r="C9" s="145"/>
      <c r="D9" s="146"/>
      <c r="E9" s="146"/>
      <c r="F9" s="146"/>
      <c r="G9" s="146"/>
      <c r="H9" s="146"/>
      <c r="I9" s="147"/>
    </row>
    <row r="10" spans="1:9" ht="12.75">
      <c r="A10" s="225"/>
      <c r="B10" s="164"/>
      <c r="C10" s="234"/>
      <c r="D10" s="225"/>
      <c r="E10" s="225"/>
      <c r="F10" s="225"/>
      <c r="G10" s="225"/>
      <c r="H10" s="225"/>
      <c r="I10" s="151"/>
    </row>
    <row r="11" spans="1:9" ht="12.75">
      <c r="A11" s="148"/>
      <c r="B11" s="149" t="s">
        <v>572</v>
      </c>
      <c r="C11" s="235">
        <f>CBA_BD!C23</f>
        <v>148222651.92000002</v>
      </c>
      <c r="D11" s="150"/>
      <c r="E11" s="150"/>
      <c r="F11" s="150"/>
      <c r="G11" s="150"/>
      <c r="H11" s="150"/>
      <c r="I11" s="151"/>
    </row>
    <row r="12" spans="1:9" ht="12.75">
      <c r="A12" s="148"/>
      <c r="B12" s="149" t="s">
        <v>573</v>
      </c>
      <c r="C12" s="152">
        <f>CBA_BD!D41</f>
        <v>0.21868011203722215</v>
      </c>
      <c r="D12" s="150"/>
      <c r="E12" s="150"/>
      <c r="F12" s="150"/>
      <c r="G12" s="150"/>
      <c r="H12" s="150"/>
      <c r="I12" s="151"/>
    </row>
    <row r="13" spans="1:9" ht="12.75">
      <c r="A13" s="148"/>
      <c r="B13" s="153" t="s">
        <v>605</v>
      </c>
      <c r="C13" s="235">
        <f>CBA_BD!C49</f>
        <v>219633022.71652308</v>
      </c>
      <c r="D13" s="150"/>
      <c r="E13" s="150"/>
      <c r="F13" s="150"/>
      <c r="G13" s="150"/>
      <c r="H13" s="150"/>
      <c r="I13" s="151"/>
    </row>
    <row r="14" spans="1:9" ht="12.75" customHeight="1">
      <c r="A14" s="148"/>
      <c r="B14" s="153" t="s">
        <v>606</v>
      </c>
      <c r="C14" s="235">
        <f>CBA_BD!C51</f>
        <v>413305950.25098795</v>
      </c>
      <c r="D14" s="150"/>
      <c r="E14" s="150"/>
      <c r="F14" s="150"/>
      <c r="G14" s="150"/>
      <c r="H14" s="150"/>
      <c r="I14" s="151"/>
    </row>
    <row r="15" spans="1:9" ht="12.75">
      <c r="A15" s="148"/>
      <c r="B15" s="154"/>
      <c r="C15" s="150"/>
      <c r="D15" s="150"/>
      <c r="E15" s="573" t="s">
        <v>574</v>
      </c>
      <c r="F15" s="573"/>
      <c r="G15" s="573"/>
      <c r="H15" s="573"/>
      <c r="I15" s="151"/>
    </row>
    <row r="16" spans="1:9" ht="13.5">
      <c r="A16" s="148"/>
      <c r="B16" s="155" t="s">
        <v>575</v>
      </c>
      <c r="C16" s="156" t="s">
        <v>26</v>
      </c>
      <c r="D16" s="157"/>
      <c r="E16" s="156" t="s">
        <v>576</v>
      </c>
      <c r="F16" s="156" t="s">
        <v>577</v>
      </c>
      <c r="G16" s="156" t="s">
        <v>28</v>
      </c>
      <c r="H16" s="156" t="s">
        <v>578</v>
      </c>
      <c r="I16" s="151"/>
    </row>
    <row r="17" spans="1:9" ht="12.75">
      <c r="A17" s="148"/>
      <c r="B17" s="158"/>
      <c r="C17" s="159"/>
      <c r="D17" s="160"/>
      <c r="E17" s="159"/>
      <c r="F17" s="159"/>
      <c r="G17" s="159"/>
      <c r="H17" s="159"/>
      <c r="I17" s="151"/>
    </row>
    <row r="18" spans="1:9" ht="12.75">
      <c r="A18" s="148"/>
      <c r="B18" s="150" t="s">
        <v>579</v>
      </c>
      <c r="C18" s="161">
        <f>'BA'!C42+'BA'!C54</f>
        <v>425444.45550575195</v>
      </c>
      <c r="D18" s="162"/>
      <c r="E18" s="163"/>
      <c r="F18" s="163"/>
      <c r="G18" s="163"/>
      <c r="H18" s="163"/>
      <c r="I18" s="151"/>
    </row>
    <row r="19" spans="1:9" ht="12.75">
      <c r="A19" s="148"/>
      <c r="B19" s="164" t="s">
        <v>580</v>
      </c>
      <c r="C19" s="165">
        <f>'BA'!C41+'BA'!C53</f>
        <v>2722844.5152368126</v>
      </c>
      <c r="D19" s="162"/>
      <c r="E19" s="166"/>
      <c r="F19" s="166"/>
      <c r="G19" s="166"/>
      <c r="H19" s="166"/>
      <c r="I19" s="151"/>
    </row>
    <row r="20" spans="1:9" ht="13.5">
      <c r="A20" s="148"/>
      <c r="B20" s="164" t="s">
        <v>581</v>
      </c>
      <c r="C20" s="165">
        <f>'BA'!C88</f>
        <v>9126715.662986442</v>
      </c>
      <c r="D20" s="162"/>
      <c r="E20" s="167"/>
      <c r="F20" s="167"/>
      <c r="G20" s="167"/>
      <c r="H20" s="167"/>
      <c r="I20" s="151"/>
    </row>
    <row r="21" spans="1:9" ht="12.75">
      <c r="A21" s="148"/>
      <c r="B21" s="164"/>
      <c r="C21" s="168"/>
      <c r="D21" s="162"/>
      <c r="E21" s="167"/>
      <c r="F21" s="167"/>
      <c r="G21" s="167"/>
      <c r="H21" s="167"/>
      <c r="I21" s="151"/>
    </row>
    <row r="22" spans="1:9" ht="12.75">
      <c r="A22" s="148"/>
      <c r="B22" s="164" t="s">
        <v>582</v>
      </c>
      <c r="C22" s="162"/>
      <c r="D22" s="162"/>
      <c r="E22" s="169">
        <f>'BA'!C142</f>
        <v>0</v>
      </c>
      <c r="F22" s="169">
        <f>'BA'!D142</f>
        <v>0.031259448983786124</v>
      </c>
      <c r="G22" s="169">
        <f>'BA'!E142</f>
        <v>0.2611940811184911</v>
      </c>
      <c r="H22" s="169">
        <f>'BA'!F142</f>
        <v>0.7075464698977223</v>
      </c>
      <c r="I22" s="170"/>
    </row>
    <row r="23" spans="1:9" ht="13.5">
      <c r="A23" s="148"/>
      <c r="B23" s="171" t="s">
        <v>583</v>
      </c>
      <c r="C23" s="172"/>
      <c r="D23" s="172"/>
      <c r="E23" s="173">
        <f>'BA'!C68</f>
        <v>0</v>
      </c>
      <c r="F23" s="173">
        <f>'BA'!D68</f>
        <v>0.02586666027690286</v>
      </c>
      <c r="G23" s="173">
        <f>'BA'!E68</f>
        <v>0.25040850370472456</v>
      </c>
      <c r="H23" s="173">
        <f>'BA'!F68</f>
        <v>0.7237248360183721</v>
      </c>
      <c r="I23" s="151"/>
    </row>
    <row r="24" spans="1:9" ht="12.75">
      <c r="A24" s="174"/>
      <c r="B24" s="175"/>
      <c r="C24" s="176"/>
      <c r="D24" s="176"/>
      <c r="E24" s="177"/>
      <c r="F24" s="178"/>
      <c r="G24" s="178"/>
      <c r="H24" s="178"/>
      <c r="I24" s="151"/>
    </row>
    <row r="25" spans="1:9" ht="12.75">
      <c r="A25" s="148"/>
      <c r="B25" s="155" t="s">
        <v>584</v>
      </c>
      <c r="C25" s="156"/>
      <c r="D25" s="157"/>
      <c r="E25" s="156"/>
      <c r="F25" s="156"/>
      <c r="G25" s="156"/>
      <c r="H25" s="156"/>
      <c r="I25" s="151"/>
    </row>
    <row r="26" spans="1:9" ht="12.75">
      <c r="A26" s="148"/>
      <c r="B26" s="158"/>
      <c r="C26" s="159"/>
      <c r="D26" s="160"/>
      <c r="E26" s="159"/>
      <c r="F26" s="159"/>
      <c r="G26" s="159"/>
      <c r="H26" s="159"/>
      <c r="I26" s="151"/>
    </row>
    <row r="27" spans="1:9" ht="12.75">
      <c r="A27" s="148"/>
      <c r="B27" s="179" t="s">
        <v>607</v>
      </c>
      <c r="C27" s="180">
        <f>(C14)/C19</f>
        <v>151.79197634611967</v>
      </c>
      <c r="D27" s="181"/>
      <c r="E27" s="180">
        <f>'BA'!C143</f>
        <v>0</v>
      </c>
      <c r="F27" s="180">
        <f>'BA'!D143</f>
        <v>176.62306474656415</v>
      </c>
      <c r="G27" s="180">
        <f>'BA'!E143</f>
        <v>173.251836751909</v>
      </c>
      <c r="H27" s="180">
        <f>'BA'!F143</f>
        <v>142.70959415573532</v>
      </c>
      <c r="I27" s="182"/>
    </row>
    <row r="28" spans="1:9" ht="12.75">
      <c r="A28" s="148"/>
      <c r="B28" s="184" t="s">
        <v>608</v>
      </c>
      <c r="C28" s="185">
        <f>C27/C36</f>
        <v>0.051142675910169015</v>
      </c>
      <c r="D28" s="186"/>
      <c r="E28" s="185">
        <f>'BA'!C145</f>
        <v>0</v>
      </c>
      <c r="F28" s="185">
        <f>'BA'!D145</f>
        <v>0.2419494037624167</v>
      </c>
      <c r="G28" s="185">
        <f>'BA'!E145</f>
        <v>0.15822085548119544</v>
      </c>
      <c r="H28" s="185">
        <f>'BA'!F145</f>
        <v>0.037971440564780794</v>
      </c>
      <c r="I28" s="151"/>
    </row>
    <row r="29" spans="1:9" ht="12.75">
      <c r="A29" s="148"/>
      <c r="B29" s="187"/>
      <c r="C29" s="176"/>
      <c r="D29" s="176"/>
      <c r="E29" s="188"/>
      <c r="F29" s="188"/>
      <c r="G29" s="188"/>
      <c r="H29" s="188"/>
      <c r="I29" s="151"/>
    </row>
    <row r="30" spans="1:9" ht="12.75">
      <c r="A30" s="148"/>
      <c r="B30" s="155" t="s">
        <v>585</v>
      </c>
      <c r="C30" s="247"/>
      <c r="D30" s="186"/>
      <c r="E30" s="189"/>
      <c r="F30" s="189"/>
      <c r="G30" s="189"/>
      <c r="H30" s="189"/>
      <c r="I30" s="151"/>
    </row>
    <row r="31" spans="1:9" ht="12.75">
      <c r="A31" s="148"/>
      <c r="B31" s="154"/>
      <c r="C31" s="190"/>
      <c r="D31" s="190"/>
      <c r="E31" s="191"/>
      <c r="F31" s="191"/>
      <c r="G31" s="191"/>
      <c r="H31" s="191"/>
      <c r="I31" s="151"/>
    </row>
    <row r="32" spans="1:10" ht="12.75">
      <c r="A32" s="192"/>
      <c r="B32" s="193" t="s">
        <v>609</v>
      </c>
      <c r="C32" s="194">
        <f>C14/C13</f>
        <v>1.8818024044792003</v>
      </c>
      <c r="D32" s="195"/>
      <c r="E32" s="196"/>
      <c r="F32" s="196"/>
      <c r="G32" s="196"/>
      <c r="H32" s="196"/>
      <c r="I32" s="197"/>
      <c r="J32" s="183"/>
    </row>
    <row r="33" spans="1:9" ht="12.75">
      <c r="A33" s="199"/>
      <c r="B33" s="200"/>
      <c r="C33" s="201"/>
      <c r="D33" s="201"/>
      <c r="E33" s="202"/>
      <c r="F33" s="202"/>
      <c r="G33" s="202"/>
      <c r="H33" s="202"/>
      <c r="I33" s="203"/>
    </row>
    <row r="34" spans="1:9" ht="12.75">
      <c r="A34" s="199"/>
      <c r="B34" s="205" t="s">
        <v>586</v>
      </c>
      <c r="C34" s="206">
        <v>0.48</v>
      </c>
      <c r="D34" s="207"/>
      <c r="E34" s="208"/>
      <c r="F34" s="208"/>
      <c r="G34" s="208"/>
      <c r="H34" s="208"/>
      <c r="I34" s="203"/>
    </row>
    <row r="35" spans="1:9" ht="12.75">
      <c r="A35" s="199"/>
      <c r="B35" s="210"/>
      <c r="C35" s="211"/>
      <c r="D35" s="207"/>
      <c r="E35" s="208"/>
      <c r="F35" s="208"/>
      <c r="G35" s="208"/>
      <c r="H35" s="208"/>
      <c r="I35" s="203"/>
    </row>
    <row r="36" spans="1:9" ht="12.75">
      <c r="A36" s="192"/>
      <c r="B36" s="179" t="s">
        <v>603</v>
      </c>
      <c r="C36" s="212">
        <f>'BA'!G147</f>
        <v>2968.010055100342</v>
      </c>
      <c r="D36" s="213"/>
      <c r="E36" s="214"/>
      <c r="F36" s="214"/>
      <c r="G36" s="214"/>
      <c r="H36" s="214"/>
      <c r="I36" s="197"/>
    </row>
    <row r="37" spans="1:10" ht="13.5">
      <c r="A37" s="148"/>
      <c r="B37" s="179" t="s">
        <v>610</v>
      </c>
      <c r="C37" s="212">
        <f>'BA'!C90</f>
        <v>3012.180841686579</v>
      </c>
      <c r="D37" s="216"/>
      <c r="E37" s="216"/>
      <c r="F37" s="216"/>
      <c r="G37" s="216"/>
      <c r="H37" s="216"/>
      <c r="I37" s="151"/>
      <c r="J37" s="198"/>
    </row>
    <row r="38" spans="1:10" ht="12.75">
      <c r="A38" s="148"/>
      <c r="B38" s="179" t="s">
        <v>623</v>
      </c>
      <c r="C38" s="217">
        <f>'BA'!C86</f>
        <v>5906043</v>
      </c>
      <c r="D38" s="216"/>
      <c r="E38" s="216"/>
      <c r="F38" s="216"/>
      <c r="G38" s="216"/>
      <c r="H38" s="216"/>
      <c r="I38" s="151"/>
      <c r="J38" s="204"/>
    </row>
    <row r="39" spans="1:10" ht="12.75">
      <c r="A39" s="148"/>
      <c r="B39" s="179"/>
      <c r="C39" s="218"/>
      <c r="D39" s="216"/>
      <c r="E39" s="216"/>
      <c r="F39" s="216"/>
      <c r="G39" s="216"/>
      <c r="H39" s="216"/>
      <c r="I39" s="151"/>
      <c r="J39" s="209"/>
    </row>
    <row r="40" spans="1:10" ht="12.75">
      <c r="A40" s="148"/>
      <c r="B40" s="219" t="s">
        <v>604</v>
      </c>
      <c r="C40" s="220"/>
      <c r="D40" s="216"/>
      <c r="E40" s="221"/>
      <c r="F40" s="221"/>
      <c r="G40" s="221"/>
      <c r="H40" s="221"/>
      <c r="I40" s="151"/>
      <c r="J40" s="209"/>
    </row>
    <row r="41" spans="1:10" ht="12.75">
      <c r="A41" s="148"/>
      <c r="B41" s="219" t="s">
        <v>642</v>
      </c>
      <c r="C41" s="220"/>
      <c r="D41" s="216"/>
      <c r="E41" s="221"/>
      <c r="F41" s="221"/>
      <c r="G41" s="221"/>
      <c r="H41" s="221"/>
      <c r="I41" s="151"/>
      <c r="J41" s="215"/>
    </row>
    <row r="42" spans="1:9" ht="12.75">
      <c r="A42" s="148"/>
      <c r="B42" s="219"/>
      <c r="C42" s="220"/>
      <c r="D42" s="216"/>
      <c r="E42" s="221"/>
      <c r="F42" s="221"/>
      <c r="G42" s="221"/>
      <c r="H42" s="221"/>
      <c r="I42" s="151"/>
    </row>
    <row r="43" spans="1:9" ht="12.75">
      <c r="A43" s="148"/>
      <c r="B43" s="222" t="s">
        <v>625</v>
      </c>
      <c r="C43" s="220"/>
      <c r="D43" s="216"/>
      <c r="E43" s="221"/>
      <c r="F43" s="221"/>
      <c r="G43" s="221"/>
      <c r="H43" s="221"/>
      <c r="I43" s="151"/>
    </row>
    <row r="44" spans="1:9" ht="12.75">
      <c r="A44" s="148"/>
      <c r="B44" s="222" t="s">
        <v>620</v>
      </c>
      <c r="C44" s="223"/>
      <c r="D44" s="223"/>
      <c r="E44" s="223"/>
      <c r="F44" s="223"/>
      <c r="G44" s="223"/>
      <c r="H44" s="223"/>
      <c r="I44" s="151"/>
    </row>
    <row r="45" spans="1:9" ht="12.75">
      <c r="A45" s="148"/>
      <c r="B45" s="224" t="s">
        <v>624</v>
      </c>
      <c r="C45" s="223"/>
      <c r="D45" s="223"/>
      <c r="E45" s="223"/>
      <c r="F45" s="223"/>
      <c r="G45" s="223"/>
      <c r="H45" s="223"/>
      <c r="I45" s="151"/>
    </row>
    <row r="46" spans="1:9" ht="13.5" thickBot="1">
      <c r="A46" s="226"/>
      <c r="B46" s="227"/>
      <c r="C46" s="228"/>
      <c r="D46" s="228"/>
      <c r="E46" s="228"/>
      <c r="F46" s="228"/>
      <c r="G46" s="228"/>
      <c r="H46" s="228"/>
      <c r="I46" s="229"/>
    </row>
    <row r="47" ht="12.75">
      <c r="A47" s="225"/>
    </row>
    <row r="48" ht="12.75">
      <c r="A48" s="225"/>
    </row>
    <row r="50" ht="12.75">
      <c r="J50" s="225"/>
    </row>
    <row r="51" ht="12.75">
      <c r="J51" s="225"/>
    </row>
  </sheetData>
  <sheetProtection/>
  <mergeCells count="5">
    <mergeCell ref="B8:H8"/>
    <mergeCell ref="E15:H15"/>
    <mergeCell ref="C4:I4"/>
    <mergeCell ref="C5:H5"/>
    <mergeCell ref="B7:H7"/>
  </mergeCells>
  <printOptions/>
  <pageMargins left="0.7" right="0.7" top="0.75" bottom="0.75" header="0.3" footer="0.3"/>
  <pageSetup horizontalDpi="600" verticalDpi="600" orientation="portrait" scale="82" r:id="rId2"/>
  <drawing r:id="rId1"/>
</worksheet>
</file>

<file path=xl/worksheets/sheet5.xml><?xml version="1.0" encoding="utf-8"?>
<worksheet xmlns="http://schemas.openxmlformats.org/spreadsheetml/2006/main" xmlns:r="http://schemas.openxmlformats.org/officeDocument/2006/relationships">
  <sheetPr codeName="Sheet5"/>
  <dimension ref="A1:B43"/>
  <sheetViews>
    <sheetView showGridLines="0" tabSelected="1" zoomScale="85" zoomScaleNormal="85" zoomScalePageLayoutView="0" workbookViewId="0" topLeftCell="A1">
      <selection activeCell="A1" sqref="A1"/>
    </sheetView>
  </sheetViews>
  <sheetFormatPr defaultColWidth="9.140625" defaultRowHeight="12.75"/>
  <cols>
    <col min="1" max="1" width="39.7109375" style="0" customWidth="1"/>
    <col min="2" max="2" width="106.421875" style="0" customWidth="1"/>
  </cols>
  <sheetData>
    <row r="1" spans="1:2" ht="12.75">
      <c r="A1" s="306"/>
      <c r="B1" s="344" t="s">
        <v>749</v>
      </c>
    </row>
    <row r="2" spans="1:2" ht="12.75">
      <c r="A2" s="306"/>
      <c r="B2" s="577" t="s">
        <v>746</v>
      </c>
    </row>
    <row r="3" spans="1:2" ht="12.75">
      <c r="A3" s="306"/>
      <c r="B3" s="577"/>
    </row>
    <row r="4" spans="1:2" ht="12.75">
      <c r="A4" s="306"/>
      <c r="B4" s="577"/>
    </row>
    <row r="5" spans="1:2" ht="12.75">
      <c r="A5" s="306"/>
      <c r="B5" s="577"/>
    </row>
    <row r="6" spans="1:2" ht="12.75">
      <c r="A6" s="306"/>
      <c r="B6" s="577"/>
    </row>
    <row r="7" spans="1:2" ht="21" thickBot="1">
      <c r="A7" s="306"/>
      <c r="B7" s="307"/>
    </row>
    <row r="8" spans="1:2" ht="24.75" customHeight="1" thickTop="1">
      <c r="A8" s="316" t="s">
        <v>750</v>
      </c>
      <c r="B8" s="323" t="s">
        <v>670</v>
      </c>
    </row>
    <row r="9" spans="1:2" ht="7.5" customHeight="1" thickBot="1">
      <c r="A9" s="317"/>
      <c r="B9" s="308"/>
    </row>
    <row r="10" spans="1:2" ht="16.5" customHeight="1" thickTop="1">
      <c r="A10" s="318" t="s">
        <v>751</v>
      </c>
      <c r="B10" s="309" t="s">
        <v>752</v>
      </c>
    </row>
    <row r="11" spans="1:2" ht="12.75">
      <c r="A11" s="319" t="s">
        <v>753</v>
      </c>
      <c r="B11" s="310">
        <v>40561</v>
      </c>
    </row>
    <row r="12" spans="1:2" ht="21" customHeight="1">
      <c r="A12" s="337" t="s">
        <v>754</v>
      </c>
      <c r="B12" s="312" t="s">
        <v>763</v>
      </c>
    </row>
    <row r="13" spans="1:2" ht="27.75" customHeight="1">
      <c r="A13" s="339" t="s">
        <v>755</v>
      </c>
      <c r="B13" s="342" t="s">
        <v>770</v>
      </c>
    </row>
    <row r="14" spans="1:2" ht="29.25" customHeight="1">
      <c r="A14" s="340"/>
      <c r="B14" s="318" t="s">
        <v>771</v>
      </c>
    </row>
    <row r="15" spans="1:2" ht="26.25" customHeight="1">
      <c r="A15" s="340"/>
      <c r="B15" s="318" t="s">
        <v>772</v>
      </c>
    </row>
    <row r="16" spans="1:2" ht="25.5" customHeight="1">
      <c r="A16" s="340"/>
      <c r="B16" s="318" t="s">
        <v>773</v>
      </c>
    </row>
    <row r="17" spans="1:2" ht="24" customHeight="1">
      <c r="A17" s="340"/>
      <c r="B17" s="318" t="s">
        <v>774</v>
      </c>
    </row>
    <row r="18" spans="1:2" ht="29.25" customHeight="1">
      <c r="A18" s="341"/>
      <c r="B18" s="338" t="s">
        <v>775</v>
      </c>
    </row>
    <row r="19" spans="1:2" ht="31.5" customHeight="1">
      <c r="A19" s="578" t="s">
        <v>756</v>
      </c>
      <c r="B19" s="545" t="s">
        <v>806</v>
      </c>
    </row>
    <row r="20" spans="1:2" ht="31.5" customHeight="1">
      <c r="A20" s="579"/>
      <c r="B20" s="545" t="s">
        <v>808</v>
      </c>
    </row>
    <row r="21" spans="1:2" ht="31.5" customHeight="1">
      <c r="A21" s="579"/>
      <c r="B21" s="545" t="s">
        <v>807</v>
      </c>
    </row>
    <row r="22" spans="1:2" ht="31.5" customHeight="1">
      <c r="A22" s="580"/>
      <c r="B22" s="545"/>
    </row>
    <row r="23" spans="1:2" ht="32.25" customHeight="1">
      <c r="A23" s="319" t="s">
        <v>757</v>
      </c>
      <c r="B23" s="311" t="s">
        <v>758</v>
      </c>
    </row>
    <row r="24" spans="1:2" ht="22.5" customHeight="1">
      <c r="A24" s="320" t="s">
        <v>759</v>
      </c>
      <c r="B24" s="312" t="s">
        <v>764</v>
      </c>
    </row>
    <row r="25" spans="1:2" s="253" customFormat="1" ht="22.5" customHeight="1">
      <c r="A25" s="546"/>
      <c r="B25" s="547"/>
    </row>
    <row r="26" spans="1:2" ht="14.25" customHeight="1">
      <c r="A26" s="321" t="s">
        <v>760</v>
      </c>
      <c r="B26" s="313"/>
    </row>
    <row r="27" spans="1:2" ht="12.75">
      <c r="A27" s="322"/>
      <c r="B27" s="315" t="s">
        <v>743</v>
      </c>
    </row>
    <row r="28" spans="1:2" ht="12.75" customHeight="1">
      <c r="A28" s="322"/>
      <c r="B28" s="314" t="s">
        <v>761</v>
      </c>
    </row>
    <row r="29" spans="1:2" ht="12.75">
      <c r="A29" s="322"/>
      <c r="B29" s="314"/>
    </row>
    <row r="30" spans="1:2" ht="12.75">
      <c r="A30" s="353"/>
      <c r="B30" s="315" t="s">
        <v>762</v>
      </c>
    </row>
    <row r="31" spans="1:2" ht="28.5" customHeight="1">
      <c r="A31" s="353"/>
      <c r="B31" s="355" t="s">
        <v>796</v>
      </c>
    </row>
    <row r="32" spans="1:2" ht="12.75">
      <c r="A32" s="353"/>
      <c r="B32" s="356"/>
    </row>
    <row r="33" spans="1:2" ht="12.75">
      <c r="A33" s="353"/>
      <c r="B33" s="315" t="s">
        <v>805</v>
      </c>
    </row>
    <row r="34" spans="1:2" ht="12.75">
      <c r="A34" s="353"/>
      <c r="B34" s="357" t="s">
        <v>785</v>
      </c>
    </row>
    <row r="35" spans="1:2" ht="12.75">
      <c r="A35" s="353"/>
      <c r="B35" s="356"/>
    </row>
    <row r="36" spans="1:2" ht="12.75">
      <c r="A36" s="353"/>
      <c r="B36" s="315" t="s">
        <v>786</v>
      </c>
    </row>
    <row r="37" spans="1:2" ht="12.75">
      <c r="A37" s="353"/>
      <c r="B37" s="357" t="s">
        <v>787</v>
      </c>
    </row>
    <row r="38" spans="1:2" ht="12.75">
      <c r="A38" s="353"/>
      <c r="B38" s="356"/>
    </row>
    <row r="39" spans="1:2" ht="12.75">
      <c r="A39" s="353"/>
      <c r="B39" s="315" t="s">
        <v>791</v>
      </c>
    </row>
    <row r="40" spans="1:2" ht="12.75">
      <c r="A40" s="353"/>
      <c r="B40" s="357" t="s">
        <v>792</v>
      </c>
    </row>
    <row r="41" spans="1:2" ht="12.75">
      <c r="A41" s="353"/>
      <c r="B41" s="356"/>
    </row>
    <row r="42" spans="1:2" ht="12.75">
      <c r="A42" s="353"/>
      <c r="B42" s="315" t="s">
        <v>793</v>
      </c>
    </row>
    <row r="43" spans="1:2" ht="13.5" thickBot="1">
      <c r="A43" s="354"/>
      <c r="B43" s="358" t="s">
        <v>794</v>
      </c>
    </row>
    <row r="44" ht="13.5" thickTop="1"/>
  </sheetData>
  <sheetProtection/>
  <mergeCells count="2">
    <mergeCell ref="B2:B6"/>
    <mergeCell ref="A19:A22"/>
  </mergeCells>
  <hyperlinks>
    <hyperlink ref="B27" location="'Activity Description'!A1" display="Activity Description"/>
    <hyperlink ref="B30" location="'ERR &amp; Sensitivity Analysis'!A1" display="ERR &amp; Sensitivity Analysis"/>
    <hyperlink ref="B33" location="'ERR Cost Benefit Analysis'!A1" display="ERR Cost Benefit Analysis"/>
    <hyperlink ref="B36" location="CBA_BD_Rescaled!A1" display="CBA_BD_Rescaled"/>
    <hyperlink ref="B39" location="Heli!A1" display="Heli"/>
    <hyperlink ref="B42" location="Hsehold!A1" display="Household"/>
  </hyperlinks>
  <printOptions/>
  <pageMargins left="0.7" right="0.7" top="0.75" bottom="0.75" header="0.3" footer="0.3"/>
  <pageSetup horizontalDpi="200" verticalDpi="2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C22"/>
  <sheetViews>
    <sheetView showGridLines="0" zoomScale="85" zoomScaleNormal="85" zoomScalePageLayoutView="0" workbookViewId="0" topLeftCell="A1">
      <selection activeCell="A1" sqref="A1"/>
    </sheetView>
  </sheetViews>
  <sheetFormatPr defaultColWidth="9.140625" defaultRowHeight="12.75"/>
  <cols>
    <col min="1" max="1" width="5.7109375" style="0" customWidth="1"/>
    <col min="2" max="2" width="94.7109375" style="0" customWidth="1"/>
  </cols>
  <sheetData>
    <row r="1" spans="2:3" ht="20.25">
      <c r="B1" s="548"/>
      <c r="C1" s="325"/>
    </row>
    <row r="2" spans="2:3" ht="18">
      <c r="B2" s="581" t="s">
        <v>766</v>
      </c>
      <c r="C2" s="581"/>
    </row>
    <row r="3" spans="2:3" ht="12.75">
      <c r="B3" s="324"/>
      <c r="C3" s="324"/>
    </row>
    <row r="4" spans="2:3" ht="20.25">
      <c r="B4" s="582" t="s">
        <v>746</v>
      </c>
      <c r="C4" s="582"/>
    </row>
    <row r="5" spans="2:3" ht="12.75">
      <c r="B5" s="326"/>
      <c r="C5" s="324"/>
    </row>
    <row r="6" spans="2:3" ht="18">
      <c r="B6" s="327" t="s">
        <v>767</v>
      </c>
      <c r="C6" s="324"/>
    </row>
    <row r="7" spans="1:3" ht="12.75">
      <c r="A7" s="326"/>
      <c r="B7" s="326"/>
      <c r="C7" s="326"/>
    </row>
    <row r="8" spans="1:3" ht="18">
      <c r="A8" s="327"/>
      <c r="B8" s="328" t="s">
        <v>737</v>
      </c>
      <c r="C8" s="326"/>
    </row>
    <row r="9" spans="1:3" ht="12.75">
      <c r="A9" s="326"/>
      <c r="B9" s="326"/>
      <c r="C9" s="326"/>
    </row>
    <row r="10" spans="1:3" ht="12.75">
      <c r="A10" s="329"/>
      <c r="B10" s="330"/>
      <c r="C10" s="326"/>
    </row>
    <row r="11" spans="1:3" ht="52.5" customHeight="1">
      <c r="A11" s="329"/>
      <c r="B11" s="331" t="s">
        <v>765</v>
      </c>
      <c r="C11" s="326"/>
    </row>
    <row r="12" spans="1:3" ht="12.75">
      <c r="A12" s="329"/>
      <c r="B12" s="332" t="s">
        <v>768</v>
      </c>
      <c r="C12" s="326"/>
    </row>
    <row r="13" spans="1:3" ht="12.75">
      <c r="A13" s="329"/>
      <c r="B13" s="330"/>
      <c r="C13" s="326"/>
    </row>
    <row r="14" spans="1:3" ht="12.75">
      <c r="A14" s="329"/>
      <c r="B14" s="333" t="s">
        <v>776</v>
      </c>
      <c r="C14" s="326"/>
    </row>
    <row r="15" spans="1:3" ht="25.5">
      <c r="A15" s="329"/>
      <c r="B15" s="334" t="s">
        <v>777</v>
      </c>
      <c r="C15" s="326"/>
    </row>
    <row r="16" spans="1:3" ht="25.5">
      <c r="A16" s="329"/>
      <c r="B16" s="334" t="s">
        <v>778</v>
      </c>
      <c r="C16" s="326"/>
    </row>
    <row r="17" spans="1:3" ht="27.75" customHeight="1">
      <c r="A17" s="329"/>
      <c r="B17" s="334" t="s">
        <v>779</v>
      </c>
      <c r="C17" s="326"/>
    </row>
    <row r="18" spans="1:3" ht="12.75">
      <c r="A18" s="329"/>
      <c r="B18" s="335" t="s">
        <v>769</v>
      </c>
      <c r="C18" s="326"/>
    </row>
    <row r="19" spans="1:3" ht="76.5">
      <c r="A19" s="329"/>
      <c r="B19" s="336" t="s">
        <v>780</v>
      </c>
      <c r="C19" s="326"/>
    </row>
    <row r="20" spans="1:3" ht="12.75">
      <c r="A20" s="326"/>
      <c r="B20" s="336"/>
      <c r="C20" s="326"/>
    </row>
    <row r="21" spans="1:3" ht="12.75">
      <c r="A21" s="326"/>
      <c r="B21" s="336"/>
      <c r="C21" s="326"/>
    </row>
    <row r="22" spans="1:3" ht="12.75">
      <c r="A22" s="326"/>
      <c r="B22" s="343" t="str">
        <f>'User''s Guide'!B1</f>
        <v>LAST UPDATED: 1/10/2011</v>
      </c>
      <c r="C22" s="326"/>
    </row>
  </sheetData>
  <sheetProtection/>
  <mergeCells count="2">
    <mergeCell ref="B2:C2"/>
    <mergeCell ref="B4:C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M85"/>
  <sheetViews>
    <sheetView showGridLines="0" zoomScale="85" zoomScaleNormal="85" zoomScalePageLayoutView="0" workbookViewId="0" topLeftCell="A1">
      <selection activeCell="A1" sqref="A1"/>
    </sheetView>
  </sheetViews>
  <sheetFormatPr defaultColWidth="9.140625" defaultRowHeight="12.75"/>
  <cols>
    <col min="1" max="1" width="4.28125" style="0" customWidth="1"/>
    <col min="2" max="2" width="25.00390625" style="0" customWidth="1"/>
    <col min="3" max="3" width="57.28125" style="0" customWidth="1"/>
    <col min="4" max="4" width="21.421875" style="0" customWidth="1"/>
    <col min="5" max="5" width="17.140625" style="0" customWidth="1"/>
    <col min="6" max="6" width="21.7109375" style="0" customWidth="1"/>
    <col min="7" max="7" width="18.28125" style="0" customWidth="1"/>
    <col min="9" max="9" width="18.00390625" style="0" customWidth="1"/>
  </cols>
  <sheetData>
    <row r="1" spans="1:12" ht="20.25">
      <c r="A1" s="254"/>
      <c r="B1" s="585"/>
      <c r="C1" s="585"/>
      <c r="D1" s="585"/>
      <c r="E1" s="585"/>
      <c r="F1" s="585"/>
      <c r="G1" s="585"/>
      <c r="H1" s="254"/>
      <c r="I1" s="254"/>
      <c r="J1" s="254"/>
      <c r="K1" s="254"/>
      <c r="L1" s="254"/>
    </row>
    <row r="2" spans="1:12" ht="12.75">
      <c r="A2" s="254"/>
      <c r="B2" s="586" t="s">
        <v>746</v>
      </c>
      <c r="C2" s="586"/>
      <c r="D2" s="586"/>
      <c r="E2" s="586"/>
      <c r="F2" s="586"/>
      <c r="G2" s="586"/>
      <c r="H2" s="254"/>
      <c r="I2" s="254"/>
      <c r="J2" s="254"/>
      <c r="K2" s="254"/>
      <c r="L2" s="254"/>
    </row>
    <row r="3" spans="1:12" ht="12.75">
      <c r="A3" s="254"/>
      <c r="B3" s="586"/>
      <c r="C3" s="586"/>
      <c r="D3" s="586"/>
      <c r="E3" s="586"/>
      <c r="F3" s="586"/>
      <c r="G3" s="586"/>
      <c r="H3" s="254"/>
      <c r="I3" s="254"/>
      <c r="J3" s="254"/>
      <c r="K3" s="254"/>
      <c r="L3" s="254"/>
    </row>
    <row r="4" spans="1:12" ht="12.75">
      <c r="A4" s="254"/>
      <c r="B4" s="586"/>
      <c r="C4" s="586"/>
      <c r="D4" s="586"/>
      <c r="E4" s="586"/>
      <c r="F4" s="586"/>
      <c r="G4" s="586"/>
      <c r="H4" s="254"/>
      <c r="I4" s="254"/>
      <c r="J4" s="254"/>
      <c r="K4" s="254"/>
      <c r="L4" s="254"/>
    </row>
    <row r="5" spans="1:12" ht="12.75">
      <c r="A5" s="254"/>
      <c r="B5" s="586"/>
      <c r="C5" s="586"/>
      <c r="D5" s="586"/>
      <c r="E5" s="586"/>
      <c r="F5" s="586"/>
      <c r="G5" s="586"/>
      <c r="H5" s="254"/>
      <c r="I5" s="254"/>
      <c r="J5" s="254"/>
      <c r="K5" s="254"/>
      <c r="L5" s="254"/>
    </row>
    <row r="6" spans="1:12" ht="12.75">
      <c r="A6" s="254"/>
      <c r="B6" s="586"/>
      <c r="C6" s="586"/>
      <c r="D6" s="586"/>
      <c r="E6" s="586"/>
      <c r="F6" s="586"/>
      <c r="G6" s="586"/>
      <c r="H6" s="254"/>
      <c r="I6" s="254"/>
      <c r="J6" s="254"/>
      <c r="K6" s="254"/>
      <c r="L6" s="254"/>
    </row>
    <row r="7" spans="1:12" ht="12.75">
      <c r="A7" s="254"/>
      <c r="B7" s="587" t="str">
        <f>'User''s Guide'!B1</f>
        <v>LAST UPDATED: 1/10/2011</v>
      </c>
      <c r="C7" s="587"/>
      <c r="D7" s="587"/>
      <c r="E7" s="587"/>
      <c r="F7" s="587"/>
      <c r="G7" s="587"/>
      <c r="H7" s="254"/>
      <c r="I7" s="254"/>
      <c r="J7" s="254"/>
      <c r="K7" s="254"/>
      <c r="L7" s="254"/>
    </row>
    <row r="8" spans="1:12" ht="12.75">
      <c r="A8" s="254"/>
      <c r="B8" s="254"/>
      <c r="C8" s="255"/>
      <c r="D8" s="254"/>
      <c r="E8" s="256"/>
      <c r="F8" s="254"/>
      <c r="G8" s="254"/>
      <c r="H8" s="254"/>
      <c r="I8" s="254"/>
      <c r="J8" s="254"/>
      <c r="K8" s="254"/>
      <c r="L8" s="254"/>
    </row>
    <row r="9" spans="1:12" ht="12.75">
      <c r="A9" s="254"/>
      <c r="B9" s="254"/>
      <c r="C9" s="255"/>
      <c r="D9" s="254"/>
      <c r="E9" s="256"/>
      <c r="F9" s="257"/>
      <c r="G9" s="254"/>
      <c r="H9" s="254"/>
      <c r="I9" s="254"/>
      <c r="J9" s="254"/>
      <c r="K9" s="254"/>
      <c r="L9" s="254"/>
    </row>
    <row r="10" spans="1:12" ht="18">
      <c r="A10" s="254"/>
      <c r="B10" s="588" t="s">
        <v>726</v>
      </c>
      <c r="C10" s="588"/>
      <c r="D10" s="588"/>
      <c r="E10" s="588"/>
      <c r="F10" s="588"/>
      <c r="G10" s="588" t="s">
        <v>727</v>
      </c>
      <c r="H10" s="254"/>
      <c r="I10" s="254"/>
      <c r="J10" s="254"/>
      <c r="K10" s="254"/>
      <c r="L10" s="254"/>
    </row>
    <row r="11" spans="1:12" ht="13.5" thickBot="1">
      <c r="A11" s="254"/>
      <c r="B11" s="254"/>
      <c r="C11" s="255"/>
      <c r="D11" s="254"/>
      <c r="E11" s="256"/>
      <c r="F11" s="254"/>
      <c r="G11" s="254"/>
      <c r="H11" s="254"/>
      <c r="I11" s="254"/>
      <c r="J11" s="254"/>
      <c r="K11" s="254"/>
      <c r="L11" s="254"/>
    </row>
    <row r="12" spans="1:12" ht="13.5" thickTop="1">
      <c r="A12" s="254"/>
      <c r="B12" s="258" t="s">
        <v>728</v>
      </c>
      <c r="C12" s="259"/>
      <c r="D12" s="260"/>
      <c r="E12" s="261"/>
      <c r="F12" s="260"/>
      <c r="G12" s="262"/>
      <c r="H12" s="254"/>
      <c r="I12" s="254"/>
      <c r="J12" s="254"/>
      <c r="K12" s="254"/>
      <c r="L12" s="254"/>
    </row>
    <row r="13" spans="1:12" ht="12.75">
      <c r="A13" s="254"/>
      <c r="B13" s="589" t="s">
        <v>795</v>
      </c>
      <c r="C13" s="590"/>
      <c r="D13" s="590"/>
      <c r="E13" s="590"/>
      <c r="F13" s="590"/>
      <c r="G13" s="591"/>
      <c r="H13" s="254"/>
      <c r="I13" s="254"/>
      <c r="J13" s="254"/>
      <c r="K13" s="254"/>
      <c r="L13" s="254"/>
    </row>
    <row r="14" spans="1:12" ht="12.75">
      <c r="A14" s="254"/>
      <c r="B14" s="589"/>
      <c r="C14" s="590"/>
      <c r="D14" s="590"/>
      <c r="E14" s="590"/>
      <c r="F14" s="590"/>
      <c r="G14" s="591"/>
      <c r="H14" s="254"/>
      <c r="I14" s="254"/>
      <c r="J14" s="254"/>
      <c r="K14" s="254"/>
      <c r="L14" s="254"/>
    </row>
    <row r="15" spans="1:12" ht="12.75" customHeight="1" thickBot="1">
      <c r="A15" s="254"/>
      <c r="B15" s="592"/>
      <c r="C15" s="593"/>
      <c r="D15" s="593"/>
      <c r="E15" s="593"/>
      <c r="F15" s="593"/>
      <c r="G15" s="594"/>
      <c r="H15" s="254"/>
      <c r="I15" s="254"/>
      <c r="J15" s="254"/>
      <c r="K15" s="254"/>
      <c r="L15" s="254"/>
    </row>
    <row r="16" spans="1:12" ht="13.5" thickTop="1">
      <c r="A16" s="254"/>
      <c r="B16" s="254"/>
      <c r="C16" s="255"/>
      <c r="D16" s="254"/>
      <c r="E16" s="256"/>
      <c r="F16" s="254"/>
      <c r="G16" s="254"/>
      <c r="H16" s="254"/>
      <c r="I16" s="254"/>
      <c r="J16" s="254"/>
      <c r="K16" s="254"/>
      <c r="L16" s="254"/>
    </row>
    <row r="17" spans="1:12" ht="12.75">
      <c r="A17" s="254"/>
      <c r="B17" s="359">
        <f>IF('ERR &amp; Sensitivity Analysis'!$I$20="N","NOTE: Current calculations are based on USER INPUT and are not the original MCC estimates.",IF('ERR &amp; Sensitivity Analysis'!$I$24="N","NOTE: Current calculations are based on USER INPUT and are not the original MCC estimates.",""))</f>
      </c>
      <c r="C17" s="255"/>
      <c r="D17" s="254"/>
      <c r="E17" s="254"/>
      <c r="F17" s="254"/>
      <c r="G17" s="254"/>
      <c r="H17" s="254"/>
      <c r="I17" s="254"/>
      <c r="J17" s="254"/>
      <c r="K17" s="254"/>
      <c r="L17" s="254"/>
    </row>
    <row r="18" spans="1:12" ht="15.75">
      <c r="A18" s="254"/>
      <c r="B18" s="595" t="s">
        <v>729</v>
      </c>
      <c r="C18" s="597" t="s">
        <v>730</v>
      </c>
      <c r="D18" s="599" t="s">
        <v>731</v>
      </c>
      <c r="E18" s="600"/>
      <c r="F18" s="600"/>
      <c r="G18" s="601"/>
      <c r="H18" s="254"/>
      <c r="I18" s="254"/>
      <c r="J18" s="254"/>
      <c r="K18" s="254"/>
      <c r="L18" s="254"/>
    </row>
    <row r="19" spans="1:13" ht="45.75" thickBot="1">
      <c r="A19" s="254"/>
      <c r="B19" s="596"/>
      <c r="C19" s="598"/>
      <c r="D19" s="263" t="s">
        <v>732</v>
      </c>
      <c r="E19" s="264" t="s">
        <v>733</v>
      </c>
      <c r="F19" s="264" t="s">
        <v>734</v>
      </c>
      <c r="G19" s="264" t="s">
        <v>735</v>
      </c>
      <c r="H19" s="254"/>
      <c r="I19" s="265" t="s">
        <v>736</v>
      </c>
      <c r="J19" s="254"/>
      <c r="K19" s="254"/>
      <c r="L19" s="254"/>
      <c r="M19" s="106"/>
    </row>
    <row r="20" spans="1:12" ht="36" customHeight="1">
      <c r="A20" s="254"/>
      <c r="B20" s="266" t="s">
        <v>737</v>
      </c>
      <c r="C20" s="267" t="s">
        <v>738</v>
      </c>
      <c r="D20" s="268">
        <v>1</v>
      </c>
      <c r="E20" s="269">
        <v>1</v>
      </c>
      <c r="F20" s="270" t="s">
        <v>739</v>
      </c>
      <c r="G20" s="271">
        <f>D20</f>
        <v>1</v>
      </c>
      <c r="H20" s="254"/>
      <c r="I20" s="272" t="str">
        <f>IF(D20=E20,IF(D21=E21,"Y","N"),"N")</f>
        <v>Y</v>
      </c>
      <c r="J20" s="254"/>
      <c r="K20" s="254"/>
      <c r="L20" s="254"/>
    </row>
    <row r="21" spans="1:12" ht="27" customHeight="1">
      <c r="A21" s="254"/>
      <c r="B21" s="273" t="s">
        <v>737</v>
      </c>
      <c r="C21" s="274" t="s">
        <v>740</v>
      </c>
      <c r="D21" s="268">
        <v>1</v>
      </c>
      <c r="E21" s="269">
        <v>1</v>
      </c>
      <c r="F21" s="270" t="s">
        <v>739</v>
      </c>
      <c r="G21" s="271">
        <f>D21</f>
        <v>1</v>
      </c>
      <c r="H21" s="254"/>
      <c r="J21" s="254"/>
      <c r="K21" s="254"/>
      <c r="L21" s="254"/>
    </row>
    <row r="22" spans="1:12" ht="12.75">
      <c r="A22" s="275"/>
      <c r="B22" s="276"/>
      <c r="C22" s="277"/>
      <c r="D22" s="278"/>
      <c r="E22" s="279"/>
      <c r="F22" s="279"/>
      <c r="G22" s="280"/>
      <c r="H22" s="254"/>
      <c r="I22" s="254"/>
      <c r="J22" s="254"/>
      <c r="K22" s="254"/>
      <c r="L22" s="254"/>
    </row>
    <row r="23" spans="1:12" ht="40.5" customHeight="1">
      <c r="A23" s="254"/>
      <c r="B23" s="281" t="s">
        <v>741</v>
      </c>
      <c r="C23" s="282" t="s">
        <v>782</v>
      </c>
      <c r="D23" s="283">
        <v>0.765</v>
      </c>
      <c r="E23" s="284">
        <v>0.765</v>
      </c>
      <c r="F23" s="284" t="s">
        <v>781</v>
      </c>
      <c r="G23" s="285">
        <f>IF(I20="Y",D23,E23)</f>
        <v>0.765</v>
      </c>
      <c r="H23" s="254"/>
      <c r="I23" s="265" t="s">
        <v>797</v>
      </c>
      <c r="J23" s="254"/>
      <c r="K23" s="254"/>
      <c r="L23" s="254"/>
    </row>
    <row r="24" spans="1:12" ht="40.5" customHeight="1">
      <c r="A24" s="287"/>
      <c r="B24" s="288" t="s">
        <v>741</v>
      </c>
      <c r="C24" s="289" t="s">
        <v>783</v>
      </c>
      <c r="D24" s="290">
        <v>0.5</v>
      </c>
      <c r="E24" s="291">
        <v>0.5</v>
      </c>
      <c r="F24" s="292" t="s">
        <v>784</v>
      </c>
      <c r="G24" s="293">
        <f>IF(I20="Y",D24,E24)</f>
        <v>0.5</v>
      </c>
      <c r="H24" s="287"/>
      <c r="I24" s="272" t="str">
        <f>IF(D23=E23,IF(D24=E24,"Y","N"),"N")</f>
        <v>Y</v>
      </c>
      <c r="J24" s="287"/>
      <c r="K24" s="287"/>
      <c r="L24" s="287"/>
    </row>
    <row r="25" spans="1:12" ht="50.25" customHeight="1">
      <c r="A25" s="254"/>
      <c r="B25" s="583">
        <f>IF($I$20="N",IF($I$24="N","Reminder: Please reset all summary parameters to original values before changing specific parameters.  Specific parameters will only be used in ERR computation when all summary parameters are set to initial values.",0),0)</f>
        <v>0</v>
      </c>
      <c r="C25" s="583"/>
      <c r="D25" s="583"/>
      <c r="E25" s="583"/>
      <c r="F25" s="583"/>
      <c r="G25" s="583"/>
      <c r="H25" s="254"/>
      <c r="I25" s="254"/>
      <c r="J25" s="254"/>
      <c r="K25" s="254"/>
      <c r="L25" s="254"/>
    </row>
    <row r="26" spans="1:12" ht="12.75">
      <c r="A26" s="254"/>
      <c r="B26" s="254"/>
      <c r="C26" s="254"/>
      <c r="D26" s="295"/>
      <c r="E26" s="254"/>
      <c r="F26" s="254"/>
      <c r="G26" s="254"/>
      <c r="H26" s="296"/>
      <c r="J26" s="254"/>
      <c r="K26" s="254"/>
      <c r="L26" s="254"/>
    </row>
    <row r="27" spans="1:12" ht="12.75">
      <c r="A27" s="254"/>
      <c r="B27" s="254"/>
      <c r="C27" s="298" t="s">
        <v>745</v>
      </c>
      <c r="D27" s="299">
        <f>'Combined Cost-Benefit'!B23</f>
        <v>0.19429385640467123</v>
      </c>
      <c r="E27" s="256"/>
      <c r="F27" s="254"/>
      <c r="G27" s="300"/>
      <c r="H27" s="296"/>
      <c r="I27" s="254"/>
      <c r="J27" s="254"/>
      <c r="K27" s="254"/>
      <c r="L27" s="254"/>
    </row>
    <row r="28" spans="1:12" ht="12.75">
      <c r="A28" s="254"/>
      <c r="B28" s="254"/>
      <c r="C28" s="298"/>
      <c r="D28" s="301"/>
      <c r="E28" s="256"/>
      <c r="F28" s="254"/>
      <c r="G28" s="302"/>
      <c r="H28" s="254"/>
      <c r="I28" s="286" t="s">
        <v>742</v>
      </c>
      <c r="J28" s="254"/>
      <c r="K28" s="254"/>
      <c r="L28" s="254"/>
    </row>
    <row r="29" spans="1:12" ht="12.75">
      <c r="A29" s="254"/>
      <c r="B29" s="254"/>
      <c r="C29" s="549" t="s">
        <v>798</v>
      </c>
      <c r="D29" s="550"/>
      <c r="E29" s="556" t="s">
        <v>799</v>
      </c>
      <c r="F29" s="254"/>
      <c r="G29" s="303"/>
      <c r="H29" s="254"/>
      <c r="I29" s="294" t="s">
        <v>743</v>
      </c>
      <c r="J29" s="254"/>
      <c r="K29" s="254"/>
      <c r="L29" s="254"/>
    </row>
    <row r="30" spans="1:12" ht="12.75">
      <c r="A30" s="254"/>
      <c r="B30" s="254"/>
      <c r="C30" s="549"/>
      <c r="D30" s="551" t="s">
        <v>538</v>
      </c>
      <c r="E30" s="557">
        <v>0.19</v>
      </c>
      <c r="F30" s="254"/>
      <c r="G30" s="254"/>
      <c r="H30" s="254"/>
      <c r="I30" s="297" t="s">
        <v>744</v>
      </c>
      <c r="J30" s="254"/>
      <c r="K30" s="254"/>
      <c r="L30" s="254"/>
    </row>
    <row r="31" spans="1:12" ht="15.75">
      <c r="A31" s="254"/>
      <c r="B31" s="304"/>
      <c r="C31" s="552"/>
      <c r="D31" s="551" t="s">
        <v>800</v>
      </c>
      <c r="E31" s="558">
        <v>40553</v>
      </c>
      <c r="F31" s="304"/>
      <c r="G31" s="304"/>
      <c r="H31" s="254"/>
      <c r="I31" s="254"/>
      <c r="J31" s="254"/>
      <c r="K31" s="254"/>
      <c r="L31" s="254"/>
    </row>
    <row r="32" spans="1:12" ht="12.75">
      <c r="A32" s="254"/>
      <c r="B32" s="254"/>
      <c r="C32" s="552"/>
      <c r="D32" s="552"/>
      <c r="E32" s="552"/>
      <c r="F32" s="254"/>
      <c r="G32" s="254"/>
      <c r="H32" s="254"/>
      <c r="I32" s="254"/>
      <c r="J32" s="254"/>
      <c r="K32" s="254"/>
      <c r="L32" s="254"/>
    </row>
    <row r="33" spans="1:12" ht="12.75">
      <c r="A33" s="254"/>
      <c r="B33" s="254"/>
      <c r="C33" s="553" t="s">
        <v>801</v>
      </c>
      <c r="D33" s="554">
        <f>'Combined Cost-Benefit'!B24</f>
        <v>101879916.73686855</v>
      </c>
      <c r="E33" s="552"/>
      <c r="F33" s="254"/>
      <c r="G33" s="254"/>
      <c r="H33" s="254"/>
      <c r="I33" s="254"/>
      <c r="J33" s="254"/>
      <c r="K33" s="254"/>
      <c r="L33" s="254"/>
    </row>
    <row r="34" spans="1:12" ht="12.75">
      <c r="A34" s="254"/>
      <c r="B34" s="254"/>
      <c r="C34" s="553"/>
      <c r="D34" s="555"/>
      <c r="E34" s="552"/>
      <c r="F34" s="254"/>
      <c r="G34" s="254"/>
      <c r="H34" s="254"/>
      <c r="I34" s="254"/>
      <c r="J34" s="254"/>
      <c r="K34" s="254"/>
      <c r="L34" s="254"/>
    </row>
    <row r="35" spans="1:12" ht="12.75">
      <c r="A35" s="254"/>
      <c r="B35" s="254"/>
      <c r="C35" s="553" t="s">
        <v>802</v>
      </c>
      <c r="D35" s="554">
        <f>'Combined Cost-Benefit'!B25</f>
        <v>61470576.02003429</v>
      </c>
      <c r="E35" s="552"/>
      <c r="F35" s="254"/>
      <c r="G35" s="254"/>
      <c r="H35" s="254"/>
      <c r="I35" s="254"/>
      <c r="J35" s="254"/>
      <c r="K35" s="254"/>
      <c r="L35" s="254"/>
    </row>
    <row r="36" spans="1:12" ht="12.75">
      <c r="A36" s="254"/>
      <c r="B36" s="254"/>
      <c r="C36" s="255"/>
      <c r="D36" s="254"/>
      <c r="E36" s="256"/>
      <c r="F36" s="254"/>
      <c r="G36" s="254"/>
      <c r="H36" s="254"/>
      <c r="I36" s="254"/>
      <c r="J36" s="254"/>
      <c r="K36" s="254"/>
      <c r="L36" s="254"/>
    </row>
    <row r="37" spans="1:12" ht="12.75">
      <c r="A37" s="254"/>
      <c r="B37" s="254"/>
      <c r="C37" s="255"/>
      <c r="D37" s="254"/>
      <c r="E37" s="256"/>
      <c r="F37" s="254"/>
      <c r="G37" s="254"/>
      <c r="H37" s="254"/>
      <c r="I37" s="254"/>
      <c r="J37" s="254"/>
      <c r="K37" s="254"/>
      <c r="L37" s="254"/>
    </row>
    <row r="38" spans="1:12" ht="12.75">
      <c r="A38" s="254"/>
      <c r="B38" s="254"/>
      <c r="C38" s="255"/>
      <c r="D38" s="254"/>
      <c r="E38" s="256"/>
      <c r="F38" s="254"/>
      <c r="G38" s="254"/>
      <c r="H38" s="254"/>
      <c r="I38" s="254"/>
      <c r="J38" s="254"/>
      <c r="K38" s="254"/>
      <c r="L38" s="254"/>
    </row>
    <row r="39" spans="1:12" ht="12.75">
      <c r="A39" s="254"/>
      <c r="B39" s="254"/>
      <c r="C39" s="255"/>
      <c r="D39" s="254"/>
      <c r="E39" s="256"/>
      <c r="F39" s="254"/>
      <c r="G39" s="254"/>
      <c r="H39" s="254"/>
      <c r="I39" s="254"/>
      <c r="J39" s="254"/>
      <c r="K39" s="254"/>
      <c r="L39" s="254"/>
    </row>
    <row r="40" spans="1:12" ht="12.75">
      <c r="A40" s="254"/>
      <c r="B40" s="254"/>
      <c r="C40" s="255"/>
      <c r="D40" s="254"/>
      <c r="E40" s="256"/>
      <c r="F40" s="254"/>
      <c r="G40" s="254"/>
      <c r="H40" s="254"/>
      <c r="I40" s="254"/>
      <c r="J40" s="254"/>
      <c r="K40" s="254"/>
      <c r="L40" s="254"/>
    </row>
    <row r="41" spans="1:12" ht="12.75">
      <c r="A41" s="254"/>
      <c r="B41" s="254"/>
      <c r="C41" s="255"/>
      <c r="D41" s="254"/>
      <c r="E41" s="256"/>
      <c r="F41" s="254"/>
      <c r="G41" s="254"/>
      <c r="H41" s="254"/>
      <c r="I41" s="254"/>
      <c r="J41" s="254"/>
      <c r="K41" s="254"/>
      <c r="L41" s="254"/>
    </row>
    <row r="42" spans="1:12" ht="12.75">
      <c r="A42" s="254"/>
      <c r="B42" s="254"/>
      <c r="C42" s="255"/>
      <c r="D42" s="254"/>
      <c r="E42" s="256"/>
      <c r="F42" s="254"/>
      <c r="G42" s="254"/>
      <c r="H42" s="254"/>
      <c r="I42" s="254"/>
      <c r="J42" s="254"/>
      <c r="K42" s="254"/>
      <c r="L42" s="254"/>
    </row>
    <row r="43" spans="1:12" ht="12.75">
      <c r="A43" s="254"/>
      <c r="B43" s="254"/>
      <c r="C43" s="255"/>
      <c r="D43" s="254"/>
      <c r="E43" s="256"/>
      <c r="F43" s="254"/>
      <c r="G43" s="254"/>
      <c r="H43" s="254"/>
      <c r="I43" s="254"/>
      <c r="J43" s="254"/>
      <c r="K43" s="254"/>
      <c r="L43" s="254"/>
    </row>
    <row r="44" spans="1:12" ht="12.75">
      <c r="A44" s="254"/>
      <c r="B44" s="254"/>
      <c r="C44" s="255"/>
      <c r="D44" s="254"/>
      <c r="E44" s="256"/>
      <c r="F44" s="254"/>
      <c r="G44" s="254"/>
      <c r="H44" s="254"/>
      <c r="I44" s="254"/>
      <c r="J44" s="254"/>
      <c r="K44" s="254"/>
      <c r="L44" s="254"/>
    </row>
    <row r="45" spans="1:12" ht="12.75">
      <c r="A45" s="254"/>
      <c r="B45" s="254"/>
      <c r="C45" s="255"/>
      <c r="D45" s="254"/>
      <c r="E45" s="256"/>
      <c r="F45" s="254"/>
      <c r="G45" s="254"/>
      <c r="H45" s="254"/>
      <c r="I45" s="254"/>
      <c r="J45" s="254"/>
      <c r="K45" s="254"/>
      <c r="L45" s="254"/>
    </row>
    <row r="46" spans="1:12" ht="12.75">
      <c r="A46" s="254"/>
      <c r="B46" s="254"/>
      <c r="C46" s="255"/>
      <c r="D46" s="254"/>
      <c r="E46" s="256"/>
      <c r="F46" s="254"/>
      <c r="G46" s="254"/>
      <c r="H46" s="254"/>
      <c r="I46" s="254"/>
      <c r="J46" s="254"/>
      <c r="K46" s="254"/>
      <c r="L46" s="254"/>
    </row>
    <row r="47" spans="1:12" ht="12.75">
      <c r="A47" s="254"/>
      <c r="B47" s="254"/>
      <c r="C47" s="255"/>
      <c r="D47" s="254"/>
      <c r="E47" s="256"/>
      <c r="F47" s="254"/>
      <c r="G47" s="254"/>
      <c r="H47" s="254"/>
      <c r="I47" s="254"/>
      <c r="J47" s="254"/>
      <c r="K47" s="254"/>
      <c r="L47" s="254"/>
    </row>
    <row r="48" spans="1:12" ht="12.75">
      <c r="A48" s="254"/>
      <c r="B48" s="254"/>
      <c r="C48" s="255"/>
      <c r="D48" s="254"/>
      <c r="E48" s="256"/>
      <c r="F48" s="254"/>
      <c r="G48" s="254"/>
      <c r="H48" s="254"/>
      <c r="I48" s="254"/>
      <c r="J48" s="254"/>
      <c r="K48" s="254"/>
      <c r="L48" s="254"/>
    </row>
    <row r="49" spans="1:12" ht="12.75">
      <c r="A49" s="254"/>
      <c r="B49" s="254"/>
      <c r="C49" s="255"/>
      <c r="D49" s="254"/>
      <c r="E49" s="256"/>
      <c r="F49" s="254"/>
      <c r="G49" s="254"/>
      <c r="H49" s="254"/>
      <c r="I49" s="254"/>
      <c r="J49" s="254"/>
      <c r="K49" s="254"/>
      <c r="L49" s="254"/>
    </row>
    <row r="50" spans="1:12" ht="12.75">
      <c r="A50" s="254"/>
      <c r="B50" s="254"/>
      <c r="C50" s="255"/>
      <c r="D50" s="254"/>
      <c r="E50" s="256"/>
      <c r="F50" s="254"/>
      <c r="G50" s="254"/>
      <c r="H50" s="254"/>
      <c r="I50" s="254"/>
      <c r="J50" s="254"/>
      <c r="K50" s="254"/>
      <c r="L50" s="254"/>
    </row>
    <row r="51" spans="1:12" ht="12.75">
      <c r="A51" s="254"/>
      <c r="B51" s="254"/>
      <c r="C51" s="255"/>
      <c r="D51" s="254"/>
      <c r="E51" s="256"/>
      <c r="F51" s="254"/>
      <c r="G51" s="254"/>
      <c r="H51" s="254"/>
      <c r="I51" s="254"/>
      <c r="J51" s="254"/>
      <c r="K51" s="254"/>
      <c r="L51" s="254"/>
    </row>
    <row r="52" spans="1:12" ht="12.75">
      <c r="A52" s="254"/>
      <c r="B52" s="254"/>
      <c r="C52" s="255"/>
      <c r="D52" s="254"/>
      <c r="E52" s="256"/>
      <c r="F52" s="254"/>
      <c r="G52" s="254"/>
      <c r="H52" s="254"/>
      <c r="I52" s="254"/>
      <c r="J52" s="254"/>
      <c r="K52" s="254"/>
      <c r="L52" s="254"/>
    </row>
    <row r="53" spans="1:12" ht="12.75">
      <c r="A53" s="254"/>
      <c r="B53" s="254"/>
      <c r="C53" s="255"/>
      <c r="D53" s="254"/>
      <c r="E53" s="256"/>
      <c r="F53" s="254"/>
      <c r="G53" s="254"/>
      <c r="H53" s="254"/>
      <c r="I53" s="254"/>
      <c r="J53" s="254"/>
      <c r="K53" s="254"/>
      <c r="L53" s="254"/>
    </row>
    <row r="54" spans="1:12" ht="12.75">
      <c r="A54" s="254"/>
      <c r="B54" s="254"/>
      <c r="C54" s="255"/>
      <c r="D54" s="254"/>
      <c r="E54" s="256"/>
      <c r="F54" s="254"/>
      <c r="G54" s="254"/>
      <c r="H54" s="254"/>
      <c r="I54" s="254"/>
      <c r="J54" s="254"/>
      <c r="K54" s="254"/>
      <c r="L54" s="254"/>
    </row>
    <row r="55" spans="1:12" ht="12.75">
      <c r="A55" s="254"/>
      <c r="B55" s="254"/>
      <c r="C55" s="255"/>
      <c r="D55" s="254"/>
      <c r="E55" s="256"/>
      <c r="F55" s="254"/>
      <c r="G55" s="254"/>
      <c r="H55" s="254"/>
      <c r="I55" s="254"/>
      <c r="J55" s="254"/>
      <c r="K55" s="254"/>
      <c r="L55" s="254"/>
    </row>
    <row r="56" spans="1:12" ht="12.75">
      <c r="A56" s="254"/>
      <c r="B56" s="254"/>
      <c r="C56" s="255"/>
      <c r="D56" s="254"/>
      <c r="E56" s="256"/>
      <c r="F56" s="254"/>
      <c r="G56" s="254"/>
      <c r="H56" s="254"/>
      <c r="I56" s="254"/>
      <c r="J56" s="254"/>
      <c r="K56" s="254"/>
      <c r="L56" s="254"/>
    </row>
    <row r="57" spans="1:12" ht="12.75">
      <c r="A57" s="254"/>
      <c r="B57" s="254"/>
      <c r="C57" s="255"/>
      <c r="D57" s="254"/>
      <c r="E57" s="256"/>
      <c r="F57" s="254"/>
      <c r="G57" s="254"/>
      <c r="H57" s="254"/>
      <c r="I57" s="254"/>
      <c r="J57" s="254"/>
      <c r="K57" s="254"/>
      <c r="L57" s="254"/>
    </row>
    <row r="58" spans="1:12" ht="12.75">
      <c r="A58" s="254"/>
      <c r="B58" s="254"/>
      <c r="C58" s="255"/>
      <c r="D58" s="254"/>
      <c r="E58" s="256"/>
      <c r="F58" s="254"/>
      <c r="G58" s="254"/>
      <c r="H58" s="254"/>
      <c r="I58" s="254"/>
      <c r="J58" s="254"/>
      <c r="K58" s="254"/>
      <c r="L58" s="254"/>
    </row>
    <row r="59" spans="1:12" ht="12.75">
      <c r="A59" s="254"/>
      <c r="B59" s="254"/>
      <c r="C59" s="255"/>
      <c r="D59" s="254"/>
      <c r="E59" s="256"/>
      <c r="F59" s="254"/>
      <c r="G59" s="254"/>
      <c r="H59" s="254"/>
      <c r="I59" s="254"/>
      <c r="J59" s="254"/>
      <c r="K59" s="254"/>
      <c r="L59" s="254"/>
    </row>
    <row r="60" spans="1:12" ht="12.75">
      <c r="A60" s="254"/>
      <c r="B60" s="254"/>
      <c r="C60" s="255"/>
      <c r="D60" s="254"/>
      <c r="E60" s="256"/>
      <c r="F60" s="254"/>
      <c r="G60" s="254"/>
      <c r="H60" s="254"/>
      <c r="I60" s="254"/>
      <c r="J60" s="254"/>
      <c r="K60" s="254"/>
      <c r="L60" s="254"/>
    </row>
    <row r="61" spans="1:12" ht="12.75">
      <c r="A61" s="254"/>
      <c r="B61" s="254"/>
      <c r="C61" s="255"/>
      <c r="D61" s="254"/>
      <c r="E61" s="256"/>
      <c r="F61" s="254"/>
      <c r="G61" s="254"/>
      <c r="H61" s="254"/>
      <c r="I61" s="254"/>
      <c r="J61" s="254"/>
      <c r="K61" s="254"/>
      <c r="L61" s="254"/>
    </row>
    <row r="62" spans="1:12" ht="12.75">
      <c r="A62" s="254"/>
      <c r="B62" s="254"/>
      <c r="C62" s="255"/>
      <c r="D62" s="254"/>
      <c r="E62" s="256"/>
      <c r="F62" s="254"/>
      <c r="G62" s="254"/>
      <c r="H62" s="254"/>
      <c r="I62" s="254"/>
      <c r="J62" s="254"/>
      <c r="K62" s="254"/>
      <c r="L62" s="254"/>
    </row>
    <row r="63" spans="1:12" ht="12.75">
      <c r="A63" s="254"/>
      <c r="B63" s="254"/>
      <c r="C63" s="255"/>
      <c r="D63" s="254"/>
      <c r="E63" s="256"/>
      <c r="F63" s="254"/>
      <c r="G63" s="254"/>
      <c r="H63" s="254"/>
      <c r="I63" s="254"/>
      <c r="J63" s="254"/>
      <c r="K63" s="254"/>
      <c r="L63" s="254"/>
    </row>
    <row r="64" spans="1:12" ht="12.75">
      <c r="A64" s="254"/>
      <c r="B64" s="254"/>
      <c r="C64" s="255"/>
      <c r="D64" s="254"/>
      <c r="E64" s="256"/>
      <c r="F64" s="254"/>
      <c r="G64" s="254"/>
      <c r="H64" s="254"/>
      <c r="I64" s="254"/>
      <c r="J64" s="254"/>
      <c r="K64" s="254"/>
      <c r="L64" s="254"/>
    </row>
    <row r="65" spans="1:12" ht="12.75">
      <c r="A65" s="254"/>
      <c r="B65" s="254"/>
      <c r="C65" s="255"/>
      <c r="D65" s="254"/>
      <c r="E65" s="256"/>
      <c r="F65" s="254"/>
      <c r="G65" s="254"/>
      <c r="H65" s="254"/>
      <c r="I65" s="254"/>
      <c r="J65" s="254"/>
      <c r="K65" s="254"/>
      <c r="L65" s="254"/>
    </row>
    <row r="66" spans="1:12" ht="12.75">
      <c r="A66" s="254"/>
      <c r="B66" s="254"/>
      <c r="C66" s="255"/>
      <c r="D66" s="254"/>
      <c r="E66" s="256"/>
      <c r="F66" s="254"/>
      <c r="G66" s="254"/>
      <c r="H66" s="254"/>
      <c r="I66" s="254"/>
      <c r="J66" s="254"/>
      <c r="K66" s="254"/>
      <c r="L66" s="254"/>
    </row>
    <row r="67" spans="1:12" ht="12.75">
      <c r="A67" s="254"/>
      <c r="B67" s="254"/>
      <c r="C67" s="255"/>
      <c r="D67" s="254"/>
      <c r="E67" s="256"/>
      <c r="F67" s="254"/>
      <c r="G67" s="254"/>
      <c r="H67" s="254"/>
      <c r="I67" s="254"/>
      <c r="J67" s="254"/>
      <c r="K67" s="254"/>
      <c r="L67" s="254"/>
    </row>
    <row r="68" spans="1:12" ht="12.75">
      <c r="A68" s="254"/>
      <c r="F68" s="254"/>
      <c r="G68" s="254"/>
      <c r="H68" s="254"/>
      <c r="I68" s="254"/>
      <c r="J68" s="254"/>
      <c r="K68" s="254"/>
      <c r="L68" s="254"/>
    </row>
    <row r="69" spans="1:12" ht="12.75">
      <c r="A69" s="254"/>
      <c r="B69" s="254"/>
      <c r="C69" s="255"/>
      <c r="D69" s="254"/>
      <c r="E69" s="256"/>
      <c r="F69" s="254"/>
      <c r="G69" s="254"/>
      <c r="H69" s="254"/>
      <c r="I69" s="254"/>
      <c r="J69" s="254"/>
      <c r="K69" s="254"/>
      <c r="L69" s="254"/>
    </row>
    <row r="70" spans="1:12" ht="12.75">
      <c r="A70" s="254"/>
      <c r="B70" s="254"/>
      <c r="C70" s="255"/>
      <c r="D70" s="254"/>
      <c r="E70" s="256"/>
      <c r="F70" s="254"/>
      <c r="G70" s="254"/>
      <c r="H70" s="254"/>
      <c r="I70" s="254"/>
      <c r="J70" s="254"/>
      <c r="K70" s="254"/>
      <c r="L70" s="254"/>
    </row>
    <row r="71" spans="1:12" ht="12.75">
      <c r="A71" s="254"/>
      <c r="B71" s="254"/>
      <c r="C71" s="255"/>
      <c r="D71" s="254"/>
      <c r="E71" s="256"/>
      <c r="F71" s="254"/>
      <c r="G71" s="254"/>
      <c r="H71" s="254"/>
      <c r="I71" s="254"/>
      <c r="J71" s="254"/>
      <c r="K71" s="254"/>
      <c r="L71" s="254"/>
    </row>
    <row r="72" spans="1:12" ht="12.75">
      <c r="A72" s="254"/>
      <c r="B72" s="584"/>
      <c r="C72" s="584"/>
      <c r="D72" s="584"/>
      <c r="E72" s="584"/>
      <c r="F72" s="254"/>
      <c r="G72" s="254"/>
      <c r="H72" s="254"/>
      <c r="I72" s="254"/>
      <c r="J72" s="254"/>
      <c r="K72" s="254"/>
      <c r="L72" s="254"/>
    </row>
    <row r="73" spans="1:12" ht="12.75">
      <c r="A73" s="254"/>
      <c r="B73" s="254"/>
      <c r="C73" s="255"/>
      <c r="D73" s="254"/>
      <c r="E73" s="256"/>
      <c r="F73" s="254"/>
      <c r="G73" s="254"/>
      <c r="H73" s="254"/>
      <c r="I73" s="254"/>
      <c r="J73" s="254"/>
      <c r="K73" s="254"/>
      <c r="L73" s="254"/>
    </row>
    <row r="74" spans="1:12" ht="12.75">
      <c r="A74" s="254"/>
      <c r="B74" s="254"/>
      <c r="C74" s="255"/>
      <c r="D74" s="254"/>
      <c r="E74" s="256"/>
      <c r="F74" s="254"/>
      <c r="G74" s="254"/>
      <c r="H74" s="254"/>
      <c r="I74" s="254"/>
      <c r="J74" s="254"/>
      <c r="K74" s="254"/>
      <c r="L74" s="254"/>
    </row>
    <row r="75" spans="1:12" ht="12.75">
      <c r="A75" s="254"/>
      <c r="B75" s="254"/>
      <c r="C75" s="255"/>
      <c r="D75" s="254"/>
      <c r="E75" s="256"/>
      <c r="F75" s="254"/>
      <c r="G75" s="254"/>
      <c r="H75" s="254"/>
      <c r="I75" s="254"/>
      <c r="J75" s="254"/>
      <c r="K75" s="254"/>
      <c r="L75" s="254"/>
    </row>
    <row r="76" spans="1:12" ht="12.75">
      <c r="A76" s="254"/>
      <c r="B76" s="254"/>
      <c r="C76" s="255"/>
      <c r="D76" s="254"/>
      <c r="E76" s="256"/>
      <c r="F76" s="254"/>
      <c r="G76" s="254"/>
      <c r="H76" s="254"/>
      <c r="I76" s="254"/>
      <c r="J76" s="254"/>
      <c r="K76" s="254"/>
      <c r="L76" s="254"/>
    </row>
    <row r="77" spans="1:12" ht="12.75">
      <c r="A77" s="254"/>
      <c r="B77" s="254"/>
      <c r="C77" s="255"/>
      <c r="D77" s="254"/>
      <c r="E77" s="256"/>
      <c r="F77" s="254"/>
      <c r="G77" s="254"/>
      <c r="H77" s="254"/>
      <c r="I77" s="254"/>
      <c r="J77" s="254"/>
      <c r="K77" s="254"/>
      <c r="L77" s="254"/>
    </row>
    <row r="78" spans="1:12" ht="12.75">
      <c r="A78" s="254"/>
      <c r="B78" s="254"/>
      <c r="C78" s="255"/>
      <c r="D78" s="254"/>
      <c r="E78" s="256"/>
      <c r="F78" s="254"/>
      <c r="G78" s="254"/>
      <c r="H78" s="254"/>
      <c r="I78" s="254"/>
      <c r="J78" s="254"/>
      <c r="K78" s="254"/>
      <c r="L78" s="254"/>
    </row>
    <row r="79" spans="1:12" ht="12.75">
      <c r="A79" s="254"/>
      <c r="B79" s="254"/>
      <c r="C79" s="255"/>
      <c r="D79" s="254"/>
      <c r="E79" s="256"/>
      <c r="F79" s="254"/>
      <c r="G79" s="254"/>
      <c r="H79" s="254"/>
      <c r="I79" s="254"/>
      <c r="J79" s="254"/>
      <c r="K79" s="254"/>
      <c r="L79" s="254"/>
    </row>
    <row r="80" spans="1:12" ht="12.75">
      <c r="A80" s="254"/>
      <c r="B80" s="254"/>
      <c r="C80" s="255"/>
      <c r="D80" s="254"/>
      <c r="E80" s="256"/>
      <c r="F80" s="254"/>
      <c r="G80" s="254"/>
      <c r="H80" s="254"/>
      <c r="I80" s="254"/>
      <c r="J80" s="254"/>
      <c r="K80" s="254"/>
      <c r="L80" s="254"/>
    </row>
    <row r="81" spans="1:12" ht="12.75">
      <c r="A81" s="254"/>
      <c r="B81" s="254"/>
      <c r="C81" s="255"/>
      <c r="D81" s="254"/>
      <c r="E81" s="256"/>
      <c r="F81" s="254"/>
      <c r="G81" s="254"/>
      <c r="H81" s="254"/>
      <c r="I81" s="254"/>
      <c r="J81" s="254"/>
      <c r="K81" s="254"/>
      <c r="L81" s="254"/>
    </row>
    <row r="82" spans="1:12" ht="12.75">
      <c r="A82" s="254"/>
      <c r="B82" s="254"/>
      <c r="C82" s="255"/>
      <c r="D82" s="254"/>
      <c r="E82" s="256"/>
      <c r="F82" s="254"/>
      <c r="G82" s="254"/>
      <c r="H82" s="254"/>
      <c r="I82" s="254"/>
      <c r="J82" s="254"/>
      <c r="K82" s="254"/>
      <c r="L82" s="254"/>
    </row>
    <row r="83" spans="1:12" ht="12.75">
      <c r="A83" s="254"/>
      <c r="B83" s="254"/>
      <c r="C83" s="255"/>
      <c r="D83" s="254"/>
      <c r="E83" s="256"/>
      <c r="F83" s="254"/>
      <c r="G83" s="254"/>
      <c r="H83" s="254"/>
      <c r="I83" s="254"/>
      <c r="J83" s="254"/>
      <c r="K83" s="254"/>
      <c r="L83" s="254"/>
    </row>
    <row r="84" spans="1:12" ht="12.75">
      <c r="A84" s="254"/>
      <c r="B84" s="254"/>
      <c r="C84" s="255"/>
      <c r="D84" s="254"/>
      <c r="E84" s="256"/>
      <c r="F84" s="254"/>
      <c r="G84" s="254"/>
      <c r="H84" s="254"/>
      <c r="I84" s="254"/>
      <c r="J84" s="254"/>
      <c r="K84" s="254"/>
      <c r="L84" s="254"/>
    </row>
    <row r="85" spans="1:12" ht="12.75">
      <c r="A85" s="254"/>
      <c r="B85" s="254"/>
      <c r="C85" s="255"/>
      <c r="D85" s="254"/>
      <c r="E85" s="256"/>
      <c r="F85" s="254"/>
      <c r="G85" s="254"/>
      <c r="H85" s="254"/>
      <c r="I85" s="254"/>
      <c r="J85" s="254"/>
      <c r="K85" s="254"/>
      <c r="L85" s="254"/>
    </row>
  </sheetData>
  <sheetProtection/>
  <mergeCells count="10">
    <mergeCell ref="B25:G25"/>
    <mergeCell ref="B72:E72"/>
    <mergeCell ref="B1:G1"/>
    <mergeCell ref="B2:G6"/>
    <mergeCell ref="B7:G7"/>
    <mergeCell ref="B10:G10"/>
    <mergeCell ref="B13:G15"/>
    <mergeCell ref="B18:B19"/>
    <mergeCell ref="C18:C19"/>
    <mergeCell ref="D18:G18"/>
  </mergeCells>
  <conditionalFormatting sqref="B31 B25">
    <cfRule type="cellIs" priority="1" dxfId="1" operator="equal" stopIfTrue="1">
      <formula>0</formula>
    </cfRule>
    <cfRule type="cellIs" priority="2" dxfId="0" operator="notEqual" stopIfTrue="1">
      <formula>0</formula>
    </cfRule>
  </conditionalFormatting>
  <hyperlinks>
    <hyperlink ref="I29" location="'Activity Description'!A1" display="Activity Description"/>
    <hyperlink ref="I30" location="'User''s Guide'!A1" display="User's Guide"/>
  </hyperlinks>
  <printOptions/>
  <pageMargins left="0.7" right="0.7" top="0.75" bottom="0.75" header="0.3" footer="0.3"/>
  <pageSetup horizontalDpi="600" verticalDpi="6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Sheet8"/>
  <dimension ref="A1:V25"/>
  <sheetViews>
    <sheetView zoomScale="85" zoomScaleNormal="85" zoomScalePageLayoutView="0" workbookViewId="0" topLeftCell="A1">
      <selection activeCell="A1" sqref="A1:E1"/>
    </sheetView>
  </sheetViews>
  <sheetFormatPr defaultColWidth="9.140625" defaultRowHeight="12.75"/>
  <cols>
    <col min="1" max="1" width="59.140625" style="204" customWidth="1"/>
    <col min="2" max="2" width="16.28125" style="204" bestFit="1" customWidth="1"/>
    <col min="3" max="3" width="9.8515625" style="204" bestFit="1" customWidth="1"/>
    <col min="4" max="4" width="13.28125" style="204" customWidth="1"/>
    <col min="5" max="5" width="15.140625" style="204" customWidth="1"/>
    <col min="6" max="6" width="9.140625" style="204" customWidth="1"/>
    <col min="7" max="7" width="9.28125" style="204" bestFit="1" customWidth="1"/>
    <col min="8" max="16384" width="9.140625" style="204" customWidth="1"/>
  </cols>
  <sheetData>
    <row r="1" spans="1:5" ht="18">
      <c r="A1" s="603" t="s">
        <v>788</v>
      </c>
      <c r="B1" s="603"/>
      <c r="C1" s="603"/>
      <c r="D1" s="603"/>
      <c r="E1" s="603"/>
    </row>
    <row r="2" spans="1:5" ht="20.25">
      <c r="A2" s="602" t="s">
        <v>746</v>
      </c>
      <c r="B2" s="602"/>
      <c r="C2" s="602"/>
      <c r="D2" s="602"/>
      <c r="E2" s="602"/>
    </row>
    <row r="3" spans="2:5" ht="12.75">
      <c r="B3" s="360"/>
      <c r="C3" s="360"/>
      <c r="D3" s="360"/>
      <c r="E3" s="360" t="str">
        <f>'User''s Guide'!B1</f>
        <v>LAST UPDATED: 1/10/2011</v>
      </c>
    </row>
    <row r="4" ht="12.75">
      <c r="A4" s="361">
        <f>IF('ERR &amp; Sensitivity Analysis'!$I$20="N","NOTE: Current calculations are based on USER INPUT and are not the original MCC estimates.",IF('ERR &amp; Sensitivity Analysis'!$I$24="N","NOTE: Current calculations are based on USER INPUT and are not the original MCC estimates.",""))</f>
      </c>
    </row>
    <row r="5" ht="12.75"/>
    <row r="6" spans="1:22" ht="12.75">
      <c r="A6" s="568" t="s">
        <v>718</v>
      </c>
      <c r="B6" s="569"/>
      <c r="C6" s="569">
        <v>1</v>
      </c>
      <c r="D6" s="569">
        <v>2</v>
      </c>
      <c r="E6" s="569">
        <v>3</v>
      </c>
      <c r="F6" s="569">
        <v>4</v>
      </c>
      <c r="G6" s="569">
        <v>5</v>
      </c>
      <c r="H6" s="569">
        <v>6</v>
      </c>
      <c r="I6" s="569">
        <v>7</v>
      </c>
      <c r="J6" s="569">
        <v>8</v>
      </c>
      <c r="K6" s="569">
        <v>9</v>
      </c>
      <c r="L6" s="569">
        <v>10</v>
      </c>
      <c r="M6" s="569">
        <v>11</v>
      </c>
      <c r="N6" s="569">
        <v>12</v>
      </c>
      <c r="O6" s="569">
        <v>13</v>
      </c>
      <c r="P6" s="569">
        <v>14</v>
      </c>
      <c r="Q6" s="569">
        <v>15</v>
      </c>
      <c r="R6" s="569">
        <v>16</v>
      </c>
      <c r="S6" s="569">
        <v>17</v>
      </c>
      <c r="T6" s="569">
        <v>18</v>
      </c>
      <c r="U6" s="569">
        <v>19</v>
      </c>
      <c r="V6" s="570">
        <v>20</v>
      </c>
    </row>
    <row r="7" spans="1:22" ht="12.75">
      <c r="A7" s="560" t="s">
        <v>535</v>
      </c>
      <c r="B7" s="370" t="s">
        <v>723</v>
      </c>
      <c r="C7" s="426"/>
      <c r="D7" s="426"/>
      <c r="E7" s="426"/>
      <c r="F7" s="426"/>
      <c r="G7" s="426"/>
      <c r="H7" s="426"/>
      <c r="I7" s="426"/>
      <c r="J7" s="426"/>
      <c r="K7" s="426"/>
      <c r="L7" s="426"/>
      <c r="M7" s="426"/>
      <c r="N7" s="426"/>
      <c r="O7" s="426"/>
      <c r="P7" s="426"/>
      <c r="Q7" s="426"/>
      <c r="R7" s="426"/>
      <c r="S7" s="426"/>
      <c r="T7" s="426"/>
      <c r="U7" s="426"/>
      <c r="V7" s="432"/>
    </row>
    <row r="8" spans="1:22" ht="12.75">
      <c r="A8" s="509" t="s">
        <v>595</v>
      </c>
      <c r="B8" s="462">
        <f>'ERR &amp; Sensitivity Analysis'!$D$21</f>
        <v>1</v>
      </c>
      <c r="C8" s="426">
        <f>CBA_BD_Rescaled!E33*$B$8</f>
        <v>0</v>
      </c>
      <c r="D8" s="426">
        <f>CBA_BD_Rescaled!F33*$B$8</f>
        <v>0</v>
      </c>
      <c r="E8" s="426">
        <f>CBA_BD_Rescaled!G33*$B$8</f>
        <v>0</v>
      </c>
      <c r="F8" s="426">
        <f>CBA_BD_Rescaled!H33*$B$8</f>
        <v>6082104.83551221</v>
      </c>
      <c r="G8" s="426">
        <f>CBA_BD_Rescaled!I33*$B$8</f>
        <v>5506947.889542017</v>
      </c>
      <c r="H8" s="426">
        <f>CBA_BD_Rescaled!J33*$B$8</f>
        <v>5663917.585823633</v>
      </c>
      <c r="I8" s="426">
        <f>CBA_BD_Rescaled!K33*$B$8</f>
        <v>5824062.606986966</v>
      </c>
      <c r="J8" s="426">
        <f>CBA_BD_Rescaled!L33*$B$8</f>
        <v>5987346.329291483</v>
      </c>
      <c r="K8" s="426">
        <f>CBA_BD_Rescaled!M33*$B$8</f>
        <v>6153721.733527247</v>
      </c>
      <c r="L8" s="426">
        <f>CBA_BD_Rescaled!N33*$B$8</f>
        <v>6323130.500941815</v>
      </c>
      <c r="M8" s="426">
        <f>CBA_BD_Rescaled!O33*$B$8</f>
        <v>6566635.080738258</v>
      </c>
      <c r="N8" s="426">
        <f>CBA_BD_Rescaled!P33*$B$8</f>
        <v>6819548.332688681</v>
      </c>
      <c r="O8" s="426">
        <f>CBA_BD_Rescaled!Q33*$B$8</f>
        <v>7082238.314929899</v>
      </c>
      <c r="P8" s="426">
        <f>CBA_BD_Rescaled!R33*$B$8</f>
        <v>7355087.781786304</v>
      </c>
      <c r="Q8" s="426">
        <f>CBA_BD_Rescaled!S33*$B$8</f>
        <v>7638494.787591865</v>
      </c>
      <c r="R8" s="426">
        <f>CBA_BD_Rescaled!T33*$B$8</f>
        <v>7932873.316258083</v>
      </c>
      <c r="S8" s="426">
        <f>CBA_BD_Rescaled!U33*$B$8</f>
        <v>8238653.937737139</v>
      </c>
      <c r="T8" s="426">
        <f>CBA_BD_Rescaled!V33*$B$8</f>
        <v>8556284.492584001</v>
      </c>
      <c r="U8" s="426">
        <f>CBA_BD_Rescaled!W33*$B$8</f>
        <v>8886230.805877779</v>
      </c>
      <c r="V8" s="432">
        <f>CBA_BD_Rescaled!X33*$B$8</f>
        <v>8886230.805877779</v>
      </c>
    </row>
    <row r="9" spans="1:22" ht="12.75">
      <c r="A9" s="561" t="s">
        <v>159</v>
      </c>
      <c r="B9" s="462">
        <f>'ERR &amp; Sensitivity Analysis'!$D$21</f>
        <v>1</v>
      </c>
      <c r="C9" s="426">
        <f>CBA_BD_Rescaled!E34*$B$9</f>
        <v>0</v>
      </c>
      <c r="D9" s="426">
        <f>CBA_BD_Rescaled!F34*$B$9</f>
        <v>0</v>
      </c>
      <c r="E9" s="426">
        <f>CBA_BD_Rescaled!G34*$B$9</f>
        <v>1810109.6232130367</v>
      </c>
      <c r="F9" s="426">
        <f>CBA_BD_Rescaled!H34*$B$9</f>
        <v>3739777.0141667044</v>
      </c>
      <c r="G9" s="426">
        <f>CBA_BD_Rescaled!I34*$B$9</f>
        <v>5794924.767124284</v>
      </c>
      <c r="H9" s="426">
        <f>CBA_BD_Rescaled!J34*$B$9</f>
        <v>6119331.138781304</v>
      </c>
      <c r="I9" s="426">
        <f>CBA_BD_Rescaled!K34*$B$9</f>
        <v>6458844.314960831</v>
      </c>
      <c r="J9" s="426">
        <f>CBA_BD_Rescaled!L34*$B$9</f>
        <v>6814108.2861554185</v>
      </c>
      <c r="K9" s="426">
        <f>CBA_BD_Rescaled!M34*$B$9</f>
        <v>7185793.102186024</v>
      </c>
      <c r="L9" s="426">
        <f>CBA_BD_Rescaled!N34*$B$9</f>
        <v>7574595.891052112</v>
      </c>
      <c r="M9" s="426">
        <f>CBA_BD_Rescaled!O34*$B$9</f>
        <v>7824746.977112875</v>
      </c>
      <c r="N9" s="426">
        <f>CBA_BD_Rescaled!P34*$B$9</f>
        <v>8083159.304665257</v>
      </c>
      <c r="O9" s="426">
        <f>CBA_BD_Rescaled!Q34*$B$9</f>
        <v>8350105.701271417</v>
      </c>
      <c r="P9" s="426">
        <f>CBA_BD_Rescaled!R34*$B$9</f>
        <v>8625868.004625807</v>
      </c>
      <c r="Q9" s="426">
        <f>CBA_BD_Rescaled!S34*$B$9</f>
        <v>8910737.360114845</v>
      </c>
      <c r="R9" s="426">
        <f>CBA_BD_Rescaled!T34*$B$9</f>
        <v>9205014.528203527</v>
      </c>
      <c r="S9" s="426">
        <f>CBA_BD_Rescaled!U34*$B$9</f>
        <v>9509010.201973446</v>
      </c>
      <c r="T9" s="426">
        <f>CBA_BD_Rescaled!V34*$B$9</f>
        <v>9823045.335147545</v>
      </c>
      <c r="U9" s="426">
        <f>CBA_BD_Rescaled!W34*$B$9</f>
        <v>10052677.104531432</v>
      </c>
      <c r="V9" s="432">
        <f>CBA_BD_Rescaled!X34*$B$9</f>
        <v>10052677.104531432</v>
      </c>
    </row>
    <row r="10" spans="1:22" ht="12.75">
      <c r="A10" s="509" t="s">
        <v>215</v>
      </c>
      <c r="B10" s="462">
        <f>'ERR &amp; Sensitivity Analysis'!$D$21</f>
        <v>1</v>
      </c>
      <c r="C10" s="375">
        <f>CBA_BD_Rescaled!E35*$B$10</f>
        <v>0</v>
      </c>
      <c r="D10" s="375">
        <f>CBA_BD_Rescaled!F35*$B$10</f>
        <v>0</v>
      </c>
      <c r="E10" s="375">
        <f>CBA_BD_Rescaled!G35*$B$10</f>
        <v>0</v>
      </c>
      <c r="F10" s="375">
        <f>CBA_BD_Rescaled!H35*$B$10</f>
        <v>0</v>
      </c>
      <c r="G10" s="375">
        <f>CBA_BD_Rescaled!I35*$B$10</f>
        <v>2789973.6082469234</v>
      </c>
      <c r="H10" s="375">
        <f>CBA_BD_Rescaled!J35*$B$10</f>
        <v>2880647.750514948</v>
      </c>
      <c r="I10" s="375">
        <f>CBA_BD_Rescaled!K35*$B$10</f>
        <v>2974268.8024066836</v>
      </c>
      <c r="J10" s="375">
        <f>CBA_BD_Rescaled!L35*$B$10</f>
        <v>3070932.538484901</v>
      </c>
      <c r="K10" s="375">
        <f>CBA_BD_Rescaled!M35*$B$10</f>
        <v>3170737.845985661</v>
      </c>
      <c r="L10" s="375">
        <f>CBA_BD_Rescaled!N35*$B$10</f>
        <v>3273786.825980195</v>
      </c>
      <c r="M10" s="375">
        <f>CBA_BD_Rescaled!O35*$B$10</f>
        <v>3380184.8978245505</v>
      </c>
      <c r="N10" s="375">
        <f>CBA_BD_Rescaled!P35*$B$10</f>
        <v>3490040.907003849</v>
      </c>
      <c r="O10" s="375">
        <f>CBA_BD_Rescaled!Q35*$B$10</f>
        <v>3603467.2364814733</v>
      </c>
      <c r="P10" s="375">
        <f>CBA_BD_Rescaled!R35*$B$10</f>
        <v>3720579.9216671204</v>
      </c>
      <c r="Q10" s="375">
        <f>CBA_BD_Rescaled!S35*$B$10</f>
        <v>3841498.7691213028</v>
      </c>
      <c r="R10" s="375">
        <f>CBA_BD_Rescaled!T35*$B$10</f>
        <v>3966347.4791177455</v>
      </c>
      <c r="S10" s="375">
        <f>CBA_BD_Rescaled!U35*$B$10</f>
        <v>4095253.7721890723</v>
      </c>
      <c r="T10" s="375">
        <f>CBA_BD_Rescaled!V35*$B$10</f>
        <v>4228349.519785217</v>
      </c>
      <c r="U10" s="375">
        <f>CBA_BD_Rescaled!W35*$B$10</f>
        <v>4365770.879178235</v>
      </c>
      <c r="V10" s="376">
        <f>CBA_BD_Rescaled!X35*$B$10</f>
        <v>4365770.879178235</v>
      </c>
    </row>
    <row r="11" spans="1:22" ht="12.75">
      <c r="A11" s="542" t="s">
        <v>537</v>
      </c>
      <c r="B11" s="562">
        <v>1</v>
      </c>
      <c r="C11" s="420">
        <f>C8+C9+C10</f>
        <v>0</v>
      </c>
      <c r="D11" s="420">
        <f aca="true" t="shared" si="0" ref="D11:V11">D8+D9+D10</f>
        <v>0</v>
      </c>
      <c r="E11" s="420">
        <f t="shared" si="0"/>
        <v>1810109.6232130367</v>
      </c>
      <c r="F11" s="420">
        <f t="shared" si="0"/>
        <v>9821881.849678915</v>
      </c>
      <c r="G11" s="420">
        <f t="shared" si="0"/>
        <v>14091846.264913224</v>
      </c>
      <c r="H11" s="420">
        <f t="shared" si="0"/>
        <v>14663896.475119885</v>
      </c>
      <c r="I11" s="420">
        <f t="shared" si="0"/>
        <v>15257175.72435448</v>
      </c>
      <c r="J11" s="420">
        <f t="shared" si="0"/>
        <v>15872387.153931804</v>
      </c>
      <c r="K11" s="420">
        <f t="shared" si="0"/>
        <v>16510252.681698931</v>
      </c>
      <c r="L11" s="420">
        <f t="shared" si="0"/>
        <v>17171513.217974123</v>
      </c>
      <c r="M11" s="420">
        <f t="shared" si="0"/>
        <v>17771566.955675684</v>
      </c>
      <c r="N11" s="420">
        <f t="shared" si="0"/>
        <v>18392748.544357788</v>
      </c>
      <c r="O11" s="420">
        <f t="shared" si="0"/>
        <v>19035811.25268279</v>
      </c>
      <c r="P11" s="420">
        <f t="shared" si="0"/>
        <v>19701535.70807923</v>
      </c>
      <c r="Q11" s="420">
        <f t="shared" si="0"/>
        <v>20390730.916828014</v>
      </c>
      <c r="R11" s="420">
        <f t="shared" si="0"/>
        <v>21104235.323579356</v>
      </c>
      <c r="S11" s="420">
        <f t="shared" si="0"/>
        <v>21842917.911899656</v>
      </c>
      <c r="T11" s="420">
        <f t="shared" si="0"/>
        <v>22607679.347516764</v>
      </c>
      <c r="U11" s="420">
        <f t="shared" si="0"/>
        <v>23304678.789587446</v>
      </c>
      <c r="V11" s="559">
        <f t="shared" si="0"/>
        <v>23304678.789587446</v>
      </c>
    </row>
    <row r="12" spans="1:22" ht="12.75">
      <c r="A12" s="560" t="s">
        <v>719</v>
      </c>
      <c r="B12" s="424"/>
      <c r="C12" s="424"/>
      <c r="D12" s="424"/>
      <c r="E12" s="424"/>
      <c r="F12" s="424"/>
      <c r="G12" s="424"/>
      <c r="H12" s="424"/>
      <c r="I12" s="424"/>
      <c r="J12" s="424"/>
      <c r="K12" s="424"/>
      <c r="L12" s="424"/>
      <c r="M12" s="424"/>
      <c r="N12" s="424"/>
      <c r="O12" s="424"/>
      <c r="P12" s="424"/>
      <c r="Q12" s="424"/>
      <c r="R12" s="424"/>
      <c r="S12" s="424"/>
      <c r="T12" s="424"/>
      <c r="U12" s="424"/>
      <c r="V12" s="438"/>
    </row>
    <row r="13" spans="1:22" ht="12.75">
      <c r="A13" s="509" t="s">
        <v>721</v>
      </c>
      <c r="B13" s="462">
        <f>'ERR &amp; Sensitivity Analysis'!$D$20</f>
        <v>1</v>
      </c>
      <c r="C13" s="426">
        <f>CBA_BD_Rescaled!E16*$B$13</f>
        <v>4344424.949390813</v>
      </c>
      <c r="D13" s="426">
        <f>CBA_BD_Rescaled!F16*$B$13</f>
        <v>15581925.451508777</v>
      </c>
      <c r="E13" s="426">
        <f>CBA_BD_Rescaled!G16*$B$13</f>
        <v>13819666.060682038</v>
      </c>
      <c r="F13" s="426">
        <f>CBA_BD_Rescaled!H16*$B$13</f>
        <v>13139322.056648137</v>
      </c>
      <c r="G13" s="426">
        <f>CBA_BD_Rescaled!I16+CBA_BD_Rescaled!I20*$B$13</f>
        <v>14790111.249166153</v>
      </c>
      <c r="H13" s="426">
        <f>CBA_BD_Rescaled!J20*$B$13</f>
        <v>2364225.2776</v>
      </c>
      <c r="I13" s="426">
        <f>CBA_BD_Rescaled!K20*$B$13</f>
        <v>2364225.2776</v>
      </c>
      <c r="J13" s="426">
        <f>CBA_BD_Rescaled!L20*$B$13</f>
        <v>2364225.2776</v>
      </c>
      <c r="K13" s="426">
        <f>CBA_BD_Rescaled!M20*$B$13</f>
        <v>2364225.2776</v>
      </c>
      <c r="L13" s="426">
        <f>CBA_BD_Rescaled!N22*$B$13</f>
        <v>141136.0464</v>
      </c>
      <c r="M13" s="426">
        <f>CBA_BD_Rescaled!O22*$B$13</f>
        <v>141136.0464</v>
      </c>
      <c r="N13" s="426">
        <f>CBA_BD_Rescaled!P22*$B$13</f>
        <v>141136.0464</v>
      </c>
      <c r="O13" s="426">
        <f>CBA_BD_Rescaled!Q22*$B$13</f>
        <v>141136.0464</v>
      </c>
      <c r="P13" s="426">
        <f>CBA_BD_Rescaled!R22*$B$13</f>
        <v>141136.0464</v>
      </c>
      <c r="Q13" s="426">
        <f>CBA_BD_Rescaled!S22*$B$13</f>
        <v>0</v>
      </c>
      <c r="R13" s="426">
        <f>CBA_BD_Rescaled!T22*$B$13</f>
        <v>0</v>
      </c>
      <c r="S13" s="426">
        <f>CBA_BD_Rescaled!U22*$B$13</f>
        <v>0</v>
      </c>
      <c r="T13" s="426">
        <f>CBA_BD_Rescaled!V22*$B$13</f>
        <v>0</v>
      </c>
      <c r="U13" s="426">
        <f>CBA_BD_Rescaled!W22*$B$13</f>
        <v>0</v>
      </c>
      <c r="V13" s="432">
        <f>CBA_BD_Rescaled!X22*$B$13</f>
        <v>0</v>
      </c>
    </row>
    <row r="14" spans="1:22" ht="12.75">
      <c r="A14" s="509" t="s">
        <v>722</v>
      </c>
      <c r="B14" s="462">
        <f>'ERR &amp; Sensitivity Analysis'!$D$20</f>
        <v>1</v>
      </c>
      <c r="C14" s="426">
        <f>CBA_BD_Rescaled!E17*$B$14</f>
        <v>0</v>
      </c>
      <c r="D14" s="426">
        <f>CBA_BD_Rescaled!F17*$B$14</f>
        <v>0</v>
      </c>
      <c r="E14" s="426">
        <f>CBA_BD_Rescaled!G17*$B$14</f>
        <v>0</v>
      </c>
      <c r="F14" s="426">
        <f>CBA_BD_Rescaled!H17*$B$14</f>
        <v>0</v>
      </c>
      <c r="G14" s="426">
        <f>CBA_BD_Rescaled!I21*$B$14</f>
        <v>2280580.7445</v>
      </c>
      <c r="H14" s="426">
        <f>CBA_BD_Rescaled!J21*$B$14</f>
        <v>2280580.7445</v>
      </c>
      <c r="I14" s="426">
        <f>CBA_BD_Rescaled!K21*$B$14</f>
        <v>2280580.7445</v>
      </c>
      <c r="J14" s="426">
        <f>CBA_BD_Rescaled!L21*$B$14</f>
        <v>2280580.7445</v>
      </c>
      <c r="K14" s="426">
        <f>CBA_BD_Rescaled!M21*$B$14</f>
        <v>2280580.7445</v>
      </c>
      <c r="L14" s="426">
        <f>CBA_BD_Rescaled!N23*$B$14</f>
        <v>2503533.798</v>
      </c>
      <c r="M14" s="426">
        <f>CBA_BD_Rescaled!O23*$B$14</f>
        <v>2503533.798</v>
      </c>
      <c r="N14" s="426">
        <f>CBA_BD_Rescaled!P23*$B$14</f>
        <v>2503533.798</v>
      </c>
      <c r="O14" s="426">
        <f>CBA_BD_Rescaled!Q23*$B$14</f>
        <v>2503533.798</v>
      </c>
      <c r="P14" s="426">
        <f>CBA_BD_Rescaled!R23*$B$14</f>
        <v>2503533.798</v>
      </c>
      <c r="Q14" s="426">
        <f>CBA_BD_Rescaled!S23*$B$14</f>
        <v>0</v>
      </c>
      <c r="R14" s="426">
        <f>CBA_BD_Rescaled!T23*$B$14</f>
        <v>0</v>
      </c>
      <c r="S14" s="426">
        <f>CBA_BD_Rescaled!U23*$B$14</f>
        <v>0</v>
      </c>
      <c r="T14" s="426">
        <f>CBA_BD_Rescaled!V23*$B$14</f>
        <v>0</v>
      </c>
      <c r="U14" s="426">
        <f>CBA_BD_Rescaled!W23*$B$14</f>
        <v>0</v>
      </c>
      <c r="V14" s="432">
        <f>CBA_BD_Rescaled!X23*$B$14</f>
        <v>0</v>
      </c>
    </row>
    <row r="15" spans="1:22" ht="12.75">
      <c r="A15" s="563" t="s">
        <v>674</v>
      </c>
      <c r="B15" s="462">
        <f>'ERR &amp; Sensitivity Analysis'!$D$20</f>
        <v>1</v>
      </c>
      <c r="C15" s="426">
        <f>CBA_BD_Rescaled!E40*$B$15</f>
        <v>1477857.142857143</v>
      </c>
      <c r="D15" s="426">
        <f>CBA_BD_Rescaled!F40*$B$15</f>
        <v>1477857.142857143</v>
      </c>
      <c r="E15" s="426">
        <f>CBA_BD_Rescaled!G40*$B$15</f>
        <v>1477857.142857143</v>
      </c>
      <c r="F15" s="426">
        <f>CBA_BD_Rescaled!H40*$B$15</f>
        <v>1477857.142857143</v>
      </c>
      <c r="G15" s="426">
        <f>CBA_BD_Rescaled!I40*$B$15</f>
        <v>1477857.142857143</v>
      </c>
      <c r="H15" s="426">
        <f>CBA_BD_Rescaled!J40*$B$15</f>
        <v>0</v>
      </c>
      <c r="I15" s="426">
        <f>CBA_BD_Rescaled!K40*$B$15</f>
        <v>0</v>
      </c>
      <c r="J15" s="426">
        <f>CBA_BD_Rescaled!L40*$B$15</f>
        <v>0</v>
      </c>
      <c r="K15" s="426">
        <f>CBA_BD_Rescaled!M40*$B$15</f>
        <v>0</v>
      </c>
      <c r="L15" s="426">
        <f>CBA_BD_Rescaled!N40*$B$15</f>
        <v>0</v>
      </c>
      <c r="M15" s="426">
        <f>CBA_BD_Rescaled!O40*$B$15</f>
        <v>0</v>
      </c>
      <c r="N15" s="426">
        <f>CBA_BD_Rescaled!P40*$B$15</f>
        <v>0</v>
      </c>
      <c r="O15" s="426">
        <f>CBA_BD_Rescaled!Q40*$B$15</f>
        <v>0</v>
      </c>
      <c r="P15" s="426">
        <f>CBA_BD_Rescaled!R40*$B$15</f>
        <v>0</v>
      </c>
      <c r="Q15" s="426">
        <f>CBA_BD_Rescaled!S40*$B$15</f>
        <v>0</v>
      </c>
      <c r="R15" s="426">
        <f>CBA_BD_Rescaled!T40*$B$15</f>
        <v>0</v>
      </c>
      <c r="S15" s="426">
        <f>CBA_BD_Rescaled!U40*$B$15</f>
        <v>0</v>
      </c>
      <c r="T15" s="426">
        <f>CBA_BD_Rescaled!V40*$B$15</f>
        <v>0</v>
      </c>
      <c r="U15" s="426">
        <f>CBA_BD_Rescaled!W40*$B$15</f>
        <v>0</v>
      </c>
      <c r="V15" s="432">
        <f>CBA_BD_Rescaled!X40*$B$15</f>
        <v>0</v>
      </c>
    </row>
    <row r="16" spans="1:22" ht="12.75">
      <c r="A16" s="563" t="s">
        <v>686</v>
      </c>
      <c r="B16" s="462">
        <f>'ERR &amp; Sensitivity Analysis'!$D$20</f>
        <v>1</v>
      </c>
      <c r="C16" s="426">
        <f>CBA_BD_Rescaled!E25*$B$16</f>
        <v>387899.42412015377</v>
      </c>
      <c r="D16" s="426">
        <f>CBA_BD_Rescaled!F25*$B$16</f>
        <v>1391258.907619283</v>
      </c>
      <c r="E16" s="426">
        <f>CBA_BD_Rescaled!G25*$B$16</f>
        <v>1233912.558950542</v>
      </c>
      <c r="F16" s="426">
        <f>CBA_BD_Rescaled!H25*$B$16</f>
        <v>1173166.8790406254</v>
      </c>
      <c r="G16" s="426">
        <f>CBA_BD_Rescaled!I25*$B$16</f>
        <v>1109466.5159836817</v>
      </c>
      <c r="H16" s="426">
        <f>CBA_BD_Rescaled!J25*$B$16</f>
        <v>0</v>
      </c>
      <c r="I16" s="426">
        <f>CBA_BD_Rescaled!K25*$B$16</f>
        <v>0</v>
      </c>
      <c r="J16" s="426">
        <f>CBA_BD_Rescaled!L25*$B$16</f>
        <v>0</v>
      </c>
      <c r="K16" s="426">
        <f>CBA_BD_Rescaled!M25*$B$16</f>
        <v>0</v>
      </c>
      <c r="L16" s="426">
        <f>CBA_BD_Rescaled!N25*$B$16</f>
        <v>0</v>
      </c>
      <c r="M16" s="426">
        <f>CBA_BD_Rescaled!O25*$B$16</f>
        <v>0</v>
      </c>
      <c r="N16" s="426">
        <f>CBA_BD_Rescaled!P25*$B$16</f>
        <v>0</v>
      </c>
      <c r="O16" s="426">
        <f>CBA_BD_Rescaled!Q25*$B$16</f>
        <v>0</v>
      </c>
      <c r="P16" s="426">
        <f>CBA_BD_Rescaled!R25*$B$16</f>
        <v>0</v>
      </c>
      <c r="Q16" s="426">
        <f>CBA_BD_Rescaled!S25*$B$16</f>
        <v>0</v>
      </c>
      <c r="R16" s="426">
        <f>CBA_BD_Rescaled!T25*$B$16</f>
        <v>0</v>
      </c>
      <c r="S16" s="426">
        <f>CBA_BD_Rescaled!U25*$B$16</f>
        <v>0</v>
      </c>
      <c r="T16" s="426">
        <f>CBA_BD_Rescaled!V25*$B$16</f>
        <v>0</v>
      </c>
      <c r="U16" s="426">
        <f>CBA_BD_Rescaled!W25*$B$16</f>
        <v>0</v>
      </c>
      <c r="V16" s="432">
        <f>CBA_BD_Rescaled!X25*$B$16</f>
        <v>0</v>
      </c>
    </row>
    <row r="17" spans="1:22" ht="12.75">
      <c r="A17" s="563" t="s">
        <v>685</v>
      </c>
      <c r="B17" s="462">
        <f>'ERR &amp; Sensitivity Analysis'!$D$20</f>
        <v>1</v>
      </c>
      <c r="C17" s="426">
        <f>CBA_BD_Rescaled!E26*$B$17</f>
        <v>292991.75572665787</v>
      </c>
      <c r="D17" s="426">
        <f>CBA_BD_Rescaled!F26*$B$17</f>
        <v>1050858.456256592</v>
      </c>
      <c r="E17" s="426">
        <f>CBA_BD_Rescaled!G26*$B$17</f>
        <v>932010.1670171801</v>
      </c>
      <c r="F17" s="426">
        <f>CBA_BD_Rescaled!H26*$B$17</f>
        <v>886127.1821429798</v>
      </c>
      <c r="G17" s="426">
        <f>CBA_BD_Rescaled!I26*$B$17</f>
        <v>838012.4388565904</v>
      </c>
      <c r="H17" s="426">
        <f>CBA_BD_Rescaled!J26*$B$17</f>
        <v>0</v>
      </c>
      <c r="I17" s="426">
        <f>CBA_BD_Rescaled!K26*$B$17</f>
        <v>0</v>
      </c>
      <c r="J17" s="426">
        <f>CBA_BD_Rescaled!L26*$B$17</f>
        <v>0</v>
      </c>
      <c r="K17" s="426">
        <f>CBA_BD_Rescaled!M26*$B$17</f>
        <v>0</v>
      </c>
      <c r="L17" s="426">
        <f>CBA_BD_Rescaled!N26*$B$17</f>
        <v>0</v>
      </c>
      <c r="M17" s="426">
        <f>CBA_BD_Rescaled!O26*$B$17</f>
        <v>0</v>
      </c>
      <c r="N17" s="426">
        <f>CBA_BD_Rescaled!P26*$B$17</f>
        <v>0</v>
      </c>
      <c r="O17" s="426">
        <f>CBA_BD_Rescaled!Q26*$B$17</f>
        <v>0</v>
      </c>
      <c r="P17" s="426">
        <f>CBA_BD_Rescaled!R26*$B$17</f>
        <v>0</v>
      </c>
      <c r="Q17" s="426">
        <f>CBA_BD_Rescaled!S26*$B$17</f>
        <v>0</v>
      </c>
      <c r="R17" s="426">
        <f>CBA_BD_Rescaled!T26*$B$17</f>
        <v>0</v>
      </c>
      <c r="S17" s="426">
        <f>CBA_BD_Rescaled!U26*$B$17</f>
        <v>0</v>
      </c>
      <c r="T17" s="426">
        <f>CBA_BD_Rescaled!V26*$B$17</f>
        <v>0</v>
      </c>
      <c r="U17" s="426">
        <f>CBA_BD_Rescaled!W26*$B$17</f>
        <v>0</v>
      </c>
      <c r="V17" s="432">
        <f>CBA_BD_Rescaled!X26*$B$17</f>
        <v>0</v>
      </c>
    </row>
    <row r="18" spans="1:22" ht="12.75">
      <c r="A18" s="509" t="s">
        <v>720</v>
      </c>
      <c r="B18" s="462">
        <v>1</v>
      </c>
      <c r="C18" s="426">
        <f>CBA_BD_Rescaled!D10*$B$18</f>
        <v>1471153.8461538462</v>
      </c>
      <c r="D18" s="426">
        <f>CBA_BD_Rescaled!E10*$B$18</f>
        <v>1471153.8461538462</v>
      </c>
      <c r="E18" s="426">
        <f>CBA_BD_Rescaled!F10*$B$18</f>
        <v>1471153.8461538462</v>
      </c>
      <c r="F18" s="426">
        <f>CBA_BD_Rescaled!G10*$B$18</f>
        <v>1471153.8461538462</v>
      </c>
      <c r="G18" s="426">
        <f>CBA_BD_Rescaled!H10*$B$18</f>
        <v>1471153.8461538462</v>
      </c>
      <c r="H18" s="426">
        <f>CBA_BD_Rescaled!I10*$B$18</f>
        <v>1471153.8461538462</v>
      </c>
      <c r="I18" s="426">
        <f>CBA_BD_Rescaled!J10*$B$18</f>
        <v>1471153.8461538462</v>
      </c>
      <c r="J18" s="426">
        <f>CBA_BD_Rescaled!K10*$B$18</f>
        <v>1471153.8461538462</v>
      </c>
      <c r="K18" s="426">
        <f>CBA_BD_Rescaled!L10*$B$18</f>
        <v>1471153.8461538462</v>
      </c>
      <c r="L18" s="426">
        <f>CBA_BD_Rescaled!M10*$B$18</f>
        <v>1471153.8461538462</v>
      </c>
      <c r="M18" s="426">
        <f>CBA_BD_Rescaled!N10*$B$18</f>
        <v>1471153.8461538462</v>
      </c>
      <c r="N18" s="426">
        <f>CBA_BD_Rescaled!O10*$B$18</f>
        <v>1471153.8461538462</v>
      </c>
      <c r="O18" s="426">
        <f>CBA_BD_Rescaled!P10*$B$18</f>
        <v>1471153.8461538462</v>
      </c>
      <c r="P18" s="426">
        <f>CBA_BD_Rescaled!Q10*$B$18</f>
        <v>1471153.8461538462</v>
      </c>
      <c r="Q18" s="426">
        <f>CBA_BD_Rescaled!R10*$B$18</f>
        <v>1471153.8461538462</v>
      </c>
      <c r="R18" s="426">
        <f>CBA_BD_Rescaled!S10*$B$18</f>
        <v>0</v>
      </c>
      <c r="S18" s="426">
        <f>CBA_BD_Rescaled!T10*$B$18</f>
        <v>0</v>
      </c>
      <c r="T18" s="426">
        <f>CBA_BD_Rescaled!U10*$B$18</f>
        <v>0</v>
      </c>
      <c r="U18" s="426">
        <f>CBA_BD_Rescaled!V10*$B$18</f>
        <v>0</v>
      </c>
      <c r="V18" s="432">
        <f>CBA_BD_Rescaled!W10*$B$18</f>
        <v>0</v>
      </c>
    </row>
    <row r="19" spans="1:22" ht="12.75">
      <c r="A19" s="512" t="s">
        <v>725</v>
      </c>
      <c r="B19" s="399">
        <v>1</v>
      </c>
      <c r="C19" s="424">
        <f aca="true" t="shared" si="1" ref="C19:V19">C13+C14+C16+C17-C18+C15</f>
        <v>5032019.425940921</v>
      </c>
      <c r="D19" s="424">
        <f t="shared" si="1"/>
        <v>18030746.11208795</v>
      </c>
      <c r="E19" s="424">
        <f t="shared" si="1"/>
        <v>15992292.083353058</v>
      </c>
      <c r="F19" s="424">
        <f t="shared" si="1"/>
        <v>15205319.41453504</v>
      </c>
      <c r="G19" s="424">
        <f t="shared" si="1"/>
        <v>19024874.24520972</v>
      </c>
      <c r="H19" s="424">
        <f t="shared" si="1"/>
        <v>3173652.1759461537</v>
      </c>
      <c r="I19" s="424">
        <f t="shared" si="1"/>
        <v>3173652.1759461537</v>
      </c>
      <c r="J19" s="424">
        <f t="shared" si="1"/>
        <v>3173652.1759461537</v>
      </c>
      <c r="K19" s="424">
        <f t="shared" si="1"/>
        <v>3173652.1759461537</v>
      </c>
      <c r="L19" s="424">
        <f t="shared" si="1"/>
        <v>1173515.9982461536</v>
      </c>
      <c r="M19" s="424">
        <f t="shared" si="1"/>
        <v>1173515.9982461536</v>
      </c>
      <c r="N19" s="424">
        <f t="shared" si="1"/>
        <v>1173515.9982461536</v>
      </c>
      <c r="O19" s="424">
        <f t="shared" si="1"/>
        <v>1173515.9982461536</v>
      </c>
      <c r="P19" s="424">
        <f t="shared" si="1"/>
        <v>1173515.9982461536</v>
      </c>
      <c r="Q19" s="424">
        <f t="shared" si="1"/>
        <v>-1471153.8461538462</v>
      </c>
      <c r="R19" s="424">
        <f t="shared" si="1"/>
        <v>0</v>
      </c>
      <c r="S19" s="424">
        <f t="shared" si="1"/>
        <v>0</v>
      </c>
      <c r="T19" s="424">
        <f t="shared" si="1"/>
        <v>0</v>
      </c>
      <c r="U19" s="424">
        <f t="shared" si="1"/>
        <v>0</v>
      </c>
      <c r="V19" s="438">
        <f t="shared" si="1"/>
        <v>0</v>
      </c>
    </row>
    <row r="20" spans="1:22" ht="12.75">
      <c r="A20" s="509" t="s">
        <v>747</v>
      </c>
      <c r="B20" s="564">
        <v>1</v>
      </c>
      <c r="C20" s="375">
        <f aca="true" t="shared" si="2" ref="C20:V20">C19/PPP_conversion_2005</f>
        <v>10206935.955255417</v>
      </c>
      <c r="D20" s="375">
        <f t="shared" si="2"/>
        <v>36573521.52553337</v>
      </c>
      <c r="E20" s="375">
        <f t="shared" si="2"/>
        <v>32438726.33540174</v>
      </c>
      <c r="F20" s="375">
        <f t="shared" si="2"/>
        <v>30842432.88952341</v>
      </c>
      <c r="G20" s="375">
        <f t="shared" si="2"/>
        <v>38590008.61097306</v>
      </c>
      <c r="H20" s="375">
        <f t="shared" si="2"/>
        <v>6437428.34877516</v>
      </c>
      <c r="I20" s="375">
        <f t="shared" si="2"/>
        <v>6437428.34877516</v>
      </c>
      <c r="J20" s="375">
        <f t="shared" si="2"/>
        <v>6437428.34877516</v>
      </c>
      <c r="K20" s="375">
        <f t="shared" si="2"/>
        <v>6437428.34877516</v>
      </c>
      <c r="L20" s="375">
        <f t="shared" si="2"/>
        <v>2380356.9944141046</v>
      </c>
      <c r="M20" s="375">
        <f t="shared" si="2"/>
        <v>2380356.9944141046</v>
      </c>
      <c r="N20" s="375">
        <f t="shared" si="2"/>
        <v>2380356.9944141046</v>
      </c>
      <c r="O20" s="375">
        <f t="shared" si="2"/>
        <v>2380356.9944141046</v>
      </c>
      <c r="P20" s="375">
        <f t="shared" si="2"/>
        <v>2380356.9944141046</v>
      </c>
      <c r="Q20" s="375">
        <f t="shared" si="2"/>
        <v>-2984084.880636605</v>
      </c>
      <c r="R20" s="375">
        <f t="shared" si="2"/>
        <v>0</v>
      </c>
      <c r="S20" s="375">
        <f t="shared" si="2"/>
        <v>0</v>
      </c>
      <c r="T20" s="375">
        <f t="shared" si="2"/>
        <v>0</v>
      </c>
      <c r="U20" s="375">
        <f t="shared" si="2"/>
        <v>0</v>
      </c>
      <c r="V20" s="376">
        <f t="shared" si="2"/>
        <v>0</v>
      </c>
    </row>
    <row r="21" spans="1:22" ht="12.75">
      <c r="A21" s="560" t="s">
        <v>724</v>
      </c>
      <c r="B21" s="462">
        <v>1</v>
      </c>
      <c r="C21" s="426">
        <f aca="true" t="shared" si="3" ref="C21:V21">C11-C19</f>
        <v>-5032019.425940921</v>
      </c>
      <c r="D21" s="426">
        <f t="shared" si="3"/>
        <v>-18030746.11208795</v>
      </c>
      <c r="E21" s="426">
        <f t="shared" si="3"/>
        <v>-14182182.460140022</v>
      </c>
      <c r="F21" s="426">
        <f t="shared" si="3"/>
        <v>-5383437.564856125</v>
      </c>
      <c r="G21" s="426">
        <f t="shared" si="3"/>
        <v>-4933027.980296496</v>
      </c>
      <c r="H21" s="426">
        <f t="shared" si="3"/>
        <v>11490244.299173731</v>
      </c>
      <c r="I21" s="426">
        <f t="shared" si="3"/>
        <v>12083523.548408326</v>
      </c>
      <c r="J21" s="426">
        <f t="shared" si="3"/>
        <v>12698734.97798565</v>
      </c>
      <c r="K21" s="426">
        <f t="shared" si="3"/>
        <v>13336600.505752778</v>
      </c>
      <c r="L21" s="426">
        <f t="shared" si="3"/>
        <v>15997997.219727969</v>
      </c>
      <c r="M21" s="426">
        <f t="shared" si="3"/>
        <v>16598050.95742953</v>
      </c>
      <c r="N21" s="426">
        <f t="shared" si="3"/>
        <v>17219232.546111636</v>
      </c>
      <c r="O21" s="426">
        <f t="shared" si="3"/>
        <v>17862295.25443664</v>
      </c>
      <c r="P21" s="426">
        <f t="shared" si="3"/>
        <v>18528019.709833078</v>
      </c>
      <c r="Q21" s="426">
        <f t="shared" si="3"/>
        <v>21861884.76298186</v>
      </c>
      <c r="R21" s="426">
        <f t="shared" si="3"/>
        <v>21104235.323579356</v>
      </c>
      <c r="S21" s="426">
        <f t="shared" si="3"/>
        <v>21842917.911899656</v>
      </c>
      <c r="T21" s="426">
        <f t="shared" si="3"/>
        <v>22607679.347516764</v>
      </c>
      <c r="U21" s="426">
        <f t="shared" si="3"/>
        <v>23304678.789587446</v>
      </c>
      <c r="V21" s="432">
        <f t="shared" si="3"/>
        <v>23304678.789587446</v>
      </c>
    </row>
    <row r="22" spans="1:22" ht="12.75">
      <c r="A22" s="565" t="s">
        <v>748</v>
      </c>
      <c r="B22" s="564">
        <v>1</v>
      </c>
      <c r="C22" s="375">
        <f aca="true" t="shared" si="4" ref="C22:V22">C21/PPP_conversion_2005</f>
        <v>-10206935.955255417</v>
      </c>
      <c r="D22" s="375">
        <f t="shared" si="4"/>
        <v>-36573521.52553337</v>
      </c>
      <c r="E22" s="375">
        <f t="shared" si="4"/>
        <v>-28767104.38162276</v>
      </c>
      <c r="F22" s="375">
        <f t="shared" si="4"/>
        <v>-10919751.652852181</v>
      </c>
      <c r="G22" s="375">
        <f t="shared" si="4"/>
        <v>-10006141.947863076</v>
      </c>
      <c r="H22" s="375">
        <f t="shared" si="4"/>
        <v>23306783.568303715</v>
      </c>
      <c r="I22" s="375">
        <f t="shared" si="4"/>
        <v>24510189.753363743</v>
      </c>
      <c r="J22" s="375">
        <f t="shared" si="4"/>
        <v>25758083.119646348</v>
      </c>
      <c r="K22" s="375">
        <f t="shared" si="4"/>
        <v>27051928.00355533</v>
      </c>
      <c r="L22" s="375">
        <f t="shared" si="4"/>
        <v>32450298.620137867</v>
      </c>
      <c r="M22" s="375">
        <f t="shared" si="4"/>
        <v>33667446.16111466</v>
      </c>
      <c r="N22" s="375">
        <f t="shared" si="4"/>
        <v>34927449.38359358</v>
      </c>
      <c r="O22" s="375">
        <f t="shared" si="4"/>
        <v>36231836.21589582</v>
      </c>
      <c r="P22" s="375">
        <f t="shared" si="4"/>
        <v>37582190.08079732</v>
      </c>
      <c r="Q22" s="375">
        <f t="shared" si="4"/>
        <v>44344593.8397198</v>
      </c>
      <c r="R22" s="375">
        <f t="shared" si="4"/>
        <v>42807779.561012894</v>
      </c>
      <c r="S22" s="375">
        <f t="shared" si="4"/>
        <v>44306121.52515143</v>
      </c>
      <c r="T22" s="375">
        <f t="shared" si="4"/>
        <v>45857361.759668894</v>
      </c>
      <c r="U22" s="375">
        <f t="shared" si="4"/>
        <v>47271153.7314147</v>
      </c>
      <c r="V22" s="376">
        <f t="shared" si="4"/>
        <v>47271153.7314147</v>
      </c>
    </row>
    <row r="23" spans="1:2" ht="17.25" customHeight="1">
      <c r="A23" s="511" t="s">
        <v>538</v>
      </c>
      <c r="B23" s="566">
        <f>IRR(C21:V21)</f>
        <v>0.19429385640467123</v>
      </c>
    </row>
    <row r="24" spans="1:2" ht="17.25" customHeight="1">
      <c r="A24" s="511" t="s">
        <v>803</v>
      </c>
      <c r="B24" s="567">
        <f>NPV(0.1,C11:V11)</f>
        <v>101879916.73686855</v>
      </c>
    </row>
    <row r="25" spans="1:2" ht="17.25" customHeight="1">
      <c r="A25" s="511" t="s">
        <v>804</v>
      </c>
      <c r="B25" s="567">
        <f>NPV(0.1,C19:V19)</f>
        <v>61470576.02003429</v>
      </c>
    </row>
  </sheetData>
  <sheetProtection/>
  <mergeCells count="2">
    <mergeCell ref="A2:E2"/>
    <mergeCell ref="A1:E1"/>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A1:X156"/>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7" sqref="B7"/>
    </sheetView>
  </sheetViews>
  <sheetFormatPr defaultColWidth="9.140625" defaultRowHeight="12.75"/>
  <cols>
    <col min="1" max="1" width="58.140625" style="0" customWidth="1"/>
    <col min="2" max="2" width="7.140625" style="0" customWidth="1"/>
    <col min="3" max="3" width="11.7109375" style="0" customWidth="1"/>
    <col min="4" max="4" width="14.00390625" style="0" customWidth="1"/>
    <col min="5" max="5" width="10.57421875" style="0" customWidth="1"/>
    <col min="6" max="7" width="10.7109375" style="0" customWidth="1"/>
    <col min="8" max="8" width="11.140625" style="0" customWidth="1"/>
    <col min="9" max="9" width="10.421875" style="0" customWidth="1"/>
    <col min="10" max="10" width="10.8515625" style="0" customWidth="1"/>
    <col min="11" max="11" width="11.00390625" style="0" customWidth="1"/>
    <col min="12" max="12" width="10.7109375" style="0" customWidth="1"/>
    <col min="13" max="13" width="10.28125" style="0" customWidth="1"/>
    <col min="14" max="14" width="10.7109375" style="0" customWidth="1"/>
    <col min="15" max="15" width="10.140625" style="0" bestFit="1" customWidth="1"/>
    <col min="16" max="16" width="12.57421875" style="0" bestFit="1" customWidth="1"/>
    <col min="17" max="17" width="10.140625" style="0" customWidth="1"/>
    <col min="18" max="18" width="10.57421875" style="0" customWidth="1"/>
    <col min="19" max="19" width="11.28125" style="0" customWidth="1"/>
    <col min="20" max="20" width="10.57421875" style="0" customWidth="1"/>
    <col min="21" max="21" width="11.421875" style="0" customWidth="1"/>
    <col min="22" max="22" width="10.421875" style="0" customWidth="1"/>
    <col min="23" max="23" width="11.28125" style="0" customWidth="1"/>
    <col min="24" max="24" width="13.8515625" style="0" bestFit="1" customWidth="1"/>
  </cols>
  <sheetData>
    <row r="1" spans="1:23" ht="12.75">
      <c r="A1" s="1" t="s">
        <v>115</v>
      </c>
      <c r="B1" s="1"/>
      <c r="C1" s="4" t="s">
        <v>483</v>
      </c>
      <c r="D1" t="s">
        <v>104</v>
      </c>
      <c r="E1" t="s">
        <v>104</v>
      </c>
      <c r="F1" t="s">
        <v>104</v>
      </c>
      <c r="G1" t="s">
        <v>104</v>
      </c>
      <c r="H1" t="s">
        <v>104</v>
      </c>
      <c r="I1" t="s">
        <v>104</v>
      </c>
      <c r="J1" t="s">
        <v>104</v>
      </c>
      <c r="K1" t="s">
        <v>104</v>
      </c>
      <c r="L1" t="s">
        <v>104</v>
      </c>
      <c r="M1" t="s">
        <v>104</v>
      </c>
      <c r="N1" t="s">
        <v>104</v>
      </c>
      <c r="O1" t="s">
        <v>104</v>
      </c>
      <c r="P1" t="s">
        <v>104</v>
      </c>
      <c r="Q1" t="s">
        <v>104</v>
      </c>
      <c r="R1" t="s">
        <v>104</v>
      </c>
      <c r="S1" t="s">
        <v>104</v>
      </c>
      <c r="T1" t="s">
        <v>104</v>
      </c>
      <c r="U1" t="s">
        <v>104</v>
      </c>
      <c r="V1" t="s">
        <v>104</v>
      </c>
      <c r="W1" t="s">
        <v>104</v>
      </c>
    </row>
    <row r="2" spans="1:23" ht="12.75">
      <c r="A2" s="1"/>
      <c r="B2" s="1"/>
      <c r="C2" s="4" t="s">
        <v>452</v>
      </c>
      <c r="D2">
        <v>1</v>
      </c>
      <c r="E2">
        <f>D2+1</f>
        <v>2</v>
      </c>
      <c r="F2">
        <f aca="true" t="shared" si="0" ref="F2:W2">E2+1</f>
        <v>3</v>
      </c>
      <c r="G2">
        <f t="shared" si="0"/>
        <v>4</v>
      </c>
      <c r="H2">
        <f t="shared" si="0"/>
        <v>5</v>
      </c>
      <c r="I2">
        <f t="shared" si="0"/>
        <v>6</v>
      </c>
      <c r="J2">
        <f t="shared" si="0"/>
        <v>7</v>
      </c>
      <c r="K2">
        <f t="shared" si="0"/>
        <v>8</v>
      </c>
      <c r="L2">
        <f t="shared" si="0"/>
        <v>9</v>
      </c>
      <c r="M2">
        <f t="shared" si="0"/>
        <v>10</v>
      </c>
      <c r="N2">
        <f t="shared" si="0"/>
        <v>11</v>
      </c>
      <c r="O2">
        <f t="shared" si="0"/>
        <v>12</v>
      </c>
      <c r="P2">
        <f t="shared" si="0"/>
        <v>13</v>
      </c>
      <c r="Q2">
        <f t="shared" si="0"/>
        <v>14</v>
      </c>
      <c r="R2">
        <f t="shared" si="0"/>
        <v>15</v>
      </c>
      <c r="S2">
        <f t="shared" si="0"/>
        <v>16</v>
      </c>
      <c r="T2">
        <f t="shared" si="0"/>
        <v>17</v>
      </c>
      <c r="U2">
        <f t="shared" si="0"/>
        <v>18</v>
      </c>
      <c r="V2">
        <f t="shared" si="0"/>
        <v>19</v>
      </c>
      <c r="W2">
        <f t="shared" si="0"/>
        <v>20</v>
      </c>
    </row>
    <row r="3" spans="1:23" ht="12.75">
      <c r="A3" s="1"/>
      <c r="B3" s="1"/>
      <c r="C3" s="4" t="s">
        <v>484</v>
      </c>
      <c r="D3">
        <v>2010</v>
      </c>
      <c r="E3">
        <f>D3+1</f>
        <v>2011</v>
      </c>
      <c r="F3">
        <f aca="true" t="shared" si="1" ref="F3:W3">E3+1</f>
        <v>2012</v>
      </c>
      <c r="G3">
        <f t="shared" si="1"/>
        <v>2013</v>
      </c>
      <c r="H3">
        <f t="shared" si="1"/>
        <v>2014</v>
      </c>
      <c r="I3">
        <f t="shared" si="1"/>
        <v>2015</v>
      </c>
      <c r="J3">
        <f t="shared" si="1"/>
        <v>2016</v>
      </c>
      <c r="K3">
        <f t="shared" si="1"/>
        <v>2017</v>
      </c>
      <c r="L3">
        <f t="shared" si="1"/>
        <v>2018</v>
      </c>
      <c r="M3">
        <f t="shared" si="1"/>
        <v>2019</v>
      </c>
      <c r="N3">
        <f t="shared" si="1"/>
        <v>2020</v>
      </c>
      <c r="O3">
        <f t="shared" si="1"/>
        <v>2021</v>
      </c>
      <c r="P3">
        <f t="shared" si="1"/>
        <v>2022</v>
      </c>
      <c r="Q3">
        <f t="shared" si="1"/>
        <v>2023</v>
      </c>
      <c r="R3">
        <f t="shared" si="1"/>
        <v>2024</v>
      </c>
      <c r="S3">
        <f t="shared" si="1"/>
        <v>2025</v>
      </c>
      <c r="T3">
        <f t="shared" si="1"/>
        <v>2026</v>
      </c>
      <c r="U3">
        <f t="shared" si="1"/>
        <v>2027</v>
      </c>
      <c r="V3">
        <f t="shared" si="1"/>
        <v>2028</v>
      </c>
      <c r="W3">
        <f t="shared" si="1"/>
        <v>2029</v>
      </c>
    </row>
    <row r="4" spans="1:3" ht="12.75">
      <c r="A4" s="1"/>
      <c r="B4" s="1"/>
      <c r="C4" s="4" t="s">
        <v>485</v>
      </c>
    </row>
    <row r="5" spans="1:16" ht="12.75">
      <c r="A5" s="1" t="s">
        <v>305</v>
      </c>
      <c r="B5" s="1"/>
      <c r="C5" s="1"/>
      <c r="D5" s="7">
        <f>$B$7*50000000/13</f>
        <v>2942080.683295071</v>
      </c>
      <c r="E5" s="7">
        <f aca="true" t="shared" si="2" ref="E5:P5">$B$7*50000000/13</f>
        <v>2942080.683295071</v>
      </c>
      <c r="F5" s="7">
        <f t="shared" si="2"/>
        <v>2942080.683295071</v>
      </c>
      <c r="G5" s="7">
        <f t="shared" si="2"/>
        <v>2942080.683295071</v>
      </c>
      <c r="H5" s="7">
        <f t="shared" si="2"/>
        <v>2942080.683295071</v>
      </c>
      <c r="I5" s="7">
        <f t="shared" si="2"/>
        <v>2942080.683295071</v>
      </c>
      <c r="J5" s="7">
        <f t="shared" si="2"/>
        <v>2942080.683295071</v>
      </c>
      <c r="K5" s="7">
        <f t="shared" si="2"/>
        <v>2942080.683295071</v>
      </c>
      <c r="L5" s="7">
        <f t="shared" si="2"/>
        <v>2942080.683295071</v>
      </c>
      <c r="M5" s="7">
        <f t="shared" si="2"/>
        <v>2942080.683295071</v>
      </c>
      <c r="N5" s="7">
        <f t="shared" si="2"/>
        <v>2942080.683295071</v>
      </c>
      <c r="O5" s="7">
        <f t="shared" si="2"/>
        <v>2942080.683295071</v>
      </c>
      <c r="P5" s="7">
        <f t="shared" si="2"/>
        <v>2942080.683295071</v>
      </c>
    </row>
    <row r="6" spans="1:23" ht="12.75">
      <c r="A6" s="106" t="s">
        <v>323</v>
      </c>
      <c r="B6" s="1"/>
      <c r="C6" s="1"/>
      <c r="D6">
        <v>0</v>
      </c>
      <c r="E6">
        <v>0</v>
      </c>
      <c r="F6">
        <v>0</v>
      </c>
      <c r="G6">
        <v>0</v>
      </c>
      <c r="H6">
        <v>0</v>
      </c>
      <c r="I6">
        <v>0</v>
      </c>
      <c r="J6">
        <v>0</v>
      </c>
      <c r="K6">
        <v>0</v>
      </c>
      <c r="L6">
        <v>0</v>
      </c>
      <c r="M6">
        <v>0</v>
      </c>
      <c r="N6">
        <v>0</v>
      </c>
      <c r="O6">
        <v>0</v>
      </c>
      <c r="P6">
        <v>0</v>
      </c>
      <c r="Q6">
        <v>0</v>
      </c>
      <c r="R6">
        <v>0</v>
      </c>
      <c r="S6">
        <v>0</v>
      </c>
      <c r="T6">
        <v>0</v>
      </c>
      <c r="U6">
        <v>0</v>
      </c>
      <c r="V6">
        <v>0</v>
      </c>
      <c r="W6">
        <v>0</v>
      </c>
    </row>
    <row r="7" spans="1:23" ht="12.75">
      <c r="A7" s="106" t="s">
        <v>492</v>
      </c>
      <c r="B7" s="12">
        <f>643668/(854325-12864)</f>
        <v>0.7649409776567185</v>
      </c>
      <c r="C7" s="9"/>
      <c r="D7">
        <v>0</v>
      </c>
      <c r="E7">
        <v>0</v>
      </c>
      <c r="F7">
        <v>0</v>
      </c>
      <c r="G7">
        <v>0</v>
      </c>
      <c r="H7">
        <v>0</v>
      </c>
      <c r="I7">
        <v>0</v>
      </c>
      <c r="J7">
        <v>0</v>
      </c>
      <c r="K7">
        <v>0</v>
      </c>
      <c r="L7">
        <v>0</v>
      </c>
      <c r="M7">
        <v>0</v>
      </c>
      <c r="N7">
        <v>0</v>
      </c>
      <c r="O7">
        <v>0</v>
      </c>
      <c r="P7">
        <v>0</v>
      </c>
      <c r="Q7">
        <v>0</v>
      </c>
      <c r="R7">
        <v>0</v>
      </c>
      <c r="S7">
        <v>0</v>
      </c>
      <c r="T7">
        <v>0</v>
      </c>
      <c r="U7">
        <v>0</v>
      </c>
      <c r="V7">
        <v>0</v>
      </c>
      <c r="W7">
        <v>0</v>
      </c>
    </row>
    <row r="8" spans="1:3" ht="12.75">
      <c r="A8" s="106" t="s">
        <v>491</v>
      </c>
      <c r="B8" s="1"/>
      <c r="C8" s="1"/>
    </row>
    <row r="9" spans="1:3" ht="12.75">
      <c r="A9" s="106"/>
      <c r="B9" s="1"/>
      <c r="C9" s="1"/>
    </row>
    <row r="10" spans="1:24" ht="12.75">
      <c r="A10" s="6" t="s">
        <v>304</v>
      </c>
      <c r="B10" s="1"/>
      <c r="C10" s="61">
        <f aca="true" t="shared" si="3" ref="C10:C18">SUM(D10:W10)</f>
        <v>179157503.4355813</v>
      </c>
      <c r="D10" s="7">
        <f>SUM(D11:D18)</f>
        <v>932013.8784214598</v>
      </c>
      <c r="E10" s="7">
        <f>SUM(E11:E18)</f>
        <v>11794191.51368584</v>
      </c>
      <c r="F10" s="7">
        <f>SUM(F11:F18)</f>
        <v>29705025.485020697</v>
      </c>
      <c r="G10" s="7">
        <f aca="true" t="shared" si="4" ref="G10:W10">SUM(G11:G18)</f>
        <v>25658472</v>
      </c>
      <c r="H10" s="7">
        <f t="shared" si="4"/>
        <v>24395302</v>
      </c>
      <c r="I10" s="7">
        <f t="shared" si="4"/>
        <v>23070691.135129195</v>
      </c>
      <c r="J10" s="7">
        <f t="shared" si="4"/>
        <v>9289260.135129195</v>
      </c>
      <c r="K10" s="7">
        <f t="shared" si="4"/>
        <v>9289260.135129195</v>
      </c>
      <c r="L10" s="7">
        <f t="shared" si="4"/>
        <v>9289260.135129195</v>
      </c>
      <c r="M10" s="7">
        <f t="shared" si="4"/>
        <v>9289260.135129195</v>
      </c>
      <c r="N10" s="7">
        <f t="shared" si="4"/>
        <v>5288953.376561458</v>
      </c>
      <c r="O10" s="7">
        <f t="shared" si="4"/>
        <v>5288953.376561458</v>
      </c>
      <c r="P10" s="7">
        <f t="shared" si="4"/>
        <v>5288953.376561458</v>
      </c>
      <c r="Q10" s="7">
        <f t="shared" si="4"/>
        <v>5288953.376561458</v>
      </c>
      <c r="R10" s="7">
        <f t="shared" si="4"/>
        <v>5288953.376561458</v>
      </c>
      <c r="S10" s="7">
        <f t="shared" si="4"/>
        <v>0</v>
      </c>
      <c r="T10" s="7">
        <f t="shared" si="4"/>
        <v>0</v>
      </c>
      <c r="U10" s="7">
        <f t="shared" si="4"/>
        <v>0</v>
      </c>
      <c r="V10" s="7">
        <f t="shared" si="4"/>
        <v>0</v>
      </c>
      <c r="W10" s="7">
        <f t="shared" si="4"/>
        <v>0</v>
      </c>
      <c r="X10" s="7"/>
    </row>
    <row r="11" spans="1:24" ht="12.75">
      <c r="A11" s="106" t="s">
        <v>451</v>
      </c>
      <c r="B11" s="1" t="s">
        <v>487</v>
      </c>
      <c r="C11" s="61">
        <f>SUM(E11:W11)</f>
        <v>100831736</v>
      </c>
      <c r="D11">
        <v>0</v>
      </c>
      <c r="E11" s="107">
        <f>3*1263170+2*1236916+1802794</f>
        <v>8066136</v>
      </c>
      <c r="F11" s="7">
        <f>4*1263170+4*1236916+4*1802794+4*1672913+3*1675741</f>
        <v>28930395</v>
      </c>
      <c r="G11" s="7">
        <f>4*1263170+4*1802794+4*1672913+4*1675741</f>
        <v>25658472</v>
      </c>
      <c r="H11" s="7">
        <f>3*1263170+4*1802794+4*1672913+4*1675741</f>
        <v>24395302</v>
      </c>
      <c r="I11" s="7">
        <f>3*1802794+2*1672913+3*1675741</f>
        <v>13781431</v>
      </c>
      <c r="J11" s="7">
        <v>0</v>
      </c>
      <c r="K11" s="7">
        <v>0</v>
      </c>
      <c r="L11" s="7">
        <v>0</v>
      </c>
      <c r="M11" s="7">
        <v>0</v>
      </c>
      <c r="N11" s="7">
        <v>0</v>
      </c>
      <c r="O11" s="7">
        <v>0</v>
      </c>
      <c r="P11" s="7">
        <v>0</v>
      </c>
      <c r="Q11" s="7">
        <v>0</v>
      </c>
      <c r="R11" s="7">
        <v>0</v>
      </c>
      <c r="S11" s="7">
        <v>0</v>
      </c>
      <c r="T11" s="7">
        <v>0</v>
      </c>
      <c r="U11" s="7">
        <v>0</v>
      </c>
      <c r="V11" s="7">
        <v>0</v>
      </c>
      <c r="W11" s="7">
        <v>0</v>
      </c>
      <c r="X11" s="7"/>
    </row>
    <row r="12" spans="1:24" ht="12.75">
      <c r="A12" s="106" t="s">
        <v>456</v>
      </c>
      <c r="B12" s="1" t="s">
        <v>487</v>
      </c>
      <c r="C12" s="61">
        <f t="shared" si="3"/>
        <v>4647782.910124177</v>
      </c>
      <c r="D12" s="107">
        <f>1012667*$B$7</f>
        <v>774630.4850206962</v>
      </c>
      <c r="E12" s="7">
        <f>4*1012667*$B$7</f>
        <v>3098521.9400827847</v>
      </c>
      <c r="F12" s="7">
        <f>1012667*$B$7</f>
        <v>774630.4850206962</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row>
    <row r="13" spans="1:24" ht="12.75" hidden="1">
      <c r="A13" s="106" t="s">
        <v>453</v>
      </c>
      <c r="B13" s="1" t="s">
        <v>488</v>
      </c>
      <c r="C13" s="61"/>
      <c r="D13" s="7"/>
      <c r="E13" s="7"/>
      <c r="F13" s="7"/>
      <c r="G13" s="7"/>
      <c r="H13" s="7"/>
      <c r="I13" s="7"/>
      <c r="J13" s="7"/>
      <c r="K13" s="7"/>
      <c r="L13" s="7"/>
      <c r="M13" s="7"/>
      <c r="N13" s="7"/>
      <c r="O13" s="7"/>
      <c r="P13" s="7"/>
      <c r="Q13" s="7"/>
      <c r="X13" s="7"/>
    </row>
    <row r="14" spans="1:24" ht="12.75">
      <c r="A14" s="106" t="s">
        <v>479</v>
      </c>
      <c r="B14" s="1" t="s">
        <v>487</v>
      </c>
      <c r="C14" s="61">
        <f t="shared" si="3"/>
        <v>786916.9670038184</v>
      </c>
      <c r="D14" s="7">
        <f>$B$7*1028729/5</f>
        <v>157383.39340076369</v>
      </c>
      <c r="E14" s="7">
        <f>$B$7*4*1028729/5</f>
        <v>629533.5736030547</v>
      </c>
      <c r="F14" s="7">
        <v>0</v>
      </c>
      <c r="G14" s="7">
        <v>0</v>
      </c>
      <c r="H14" s="7">
        <v>0</v>
      </c>
      <c r="I14" s="7">
        <v>0</v>
      </c>
      <c r="J14" s="7">
        <v>0</v>
      </c>
      <c r="K14" s="7">
        <v>0</v>
      </c>
      <c r="L14" s="7">
        <v>0</v>
      </c>
      <c r="M14" s="7">
        <v>0</v>
      </c>
      <c r="N14" s="7">
        <v>0</v>
      </c>
      <c r="O14" s="7">
        <v>0</v>
      </c>
      <c r="P14" s="7">
        <v>0</v>
      </c>
      <c r="Q14" s="7">
        <v>0</v>
      </c>
      <c r="R14" s="7">
        <v>0</v>
      </c>
      <c r="S14" s="7">
        <v>0</v>
      </c>
      <c r="T14" s="7">
        <v>0</v>
      </c>
      <c r="U14" s="7">
        <v>0</v>
      </c>
      <c r="V14" s="7">
        <v>0</v>
      </c>
      <c r="W14" s="7">
        <v>0</v>
      </c>
      <c r="X14" s="7"/>
    </row>
    <row r="15" spans="1:24" ht="12.75">
      <c r="A15" s="106" t="s">
        <v>480</v>
      </c>
      <c r="B15" s="1" t="s">
        <v>489</v>
      </c>
      <c r="C15" s="61">
        <f t="shared" si="3"/>
        <v>23642252.776</v>
      </c>
      <c r="D15">
        <v>0</v>
      </c>
      <c r="E15">
        <v>0</v>
      </c>
      <c r="F15">
        <v>0</v>
      </c>
      <c r="G15">
        <v>0</v>
      </c>
      <c r="H15">
        <v>0</v>
      </c>
      <c r="I15" s="7">
        <f>(80476+0.8*5319600+8622030+0.75*11926148+0.612*2842248)/5</f>
        <v>4728450.5552</v>
      </c>
      <c r="J15" s="7">
        <f>(80476+0.8*5319600+8622030+0.75*11926148+0.612*2842248)/5</f>
        <v>4728450.5552</v>
      </c>
      <c r="K15" s="7">
        <f>(80476+0.8*5319600+8622030+0.75*11926148+0.612*2842248)/5</f>
        <v>4728450.5552</v>
      </c>
      <c r="L15" s="7">
        <f>(80476+0.8*5319600+8622030+0.75*11926148+0.612*2842248)/5</f>
        <v>4728450.5552</v>
      </c>
      <c r="M15" s="7">
        <f>(80476+0.8*5319600+8622030+0.75*11926148+0.612*2842248)/5</f>
        <v>4728450.5552</v>
      </c>
      <c r="N15" s="7">
        <v>0</v>
      </c>
      <c r="O15" s="7">
        <v>0</v>
      </c>
      <c r="P15" s="7">
        <v>0</v>
      </c>
      <c r="Q15" s="7">
        <v>0</v>
      </c>
      <c r="R15" s="7">
        <v>0</v>
      </c>
      <c r="S15" s="7">
        <v>0</v>
      </c>
      <c r="T15" s="7">
        <v>0</v>
      </c>
      <c r="U15" s="7">
        <v>0</v>
      </c>
      <c r="V15" s="7">
        <v>0</v>
      </c>
      <c r="W15" s="7">
        <v>0</v>
      </c>
      <c r="X15" s="7"/>
    </row>
    <row r="16" spans="1:24" ht="12.75">
      <c r="A16" s="106" t="s">
        <v>457</v>
      </c>
      <c r="B16" s="1" t="s">
        <v>487</v>
      </c>
      <c r="C16" s="61">
        <f t="shared" si="3"/>
        <v>22804047.899645973</v>
      </c>
      <c r="D16">
        <v>0</v>
      </c>
      <c r="E16">
        <v>0</v>
      </c>
      <c r="F16">
        <v>0</v>
      </c>
      <c r="G16">
        <v>0</v>
      </c>
      <c r="H16">
        <v>0</v>
      </c>
      <c r="I16" s="7">
        <f>$B$7*29811513/5</f>
        <v>4560809.579929194</v>
      </c>
      <c r="J16" s="7">
        <f>$B$7*29811513/5</f>
        <v>4560809.579929194</v>
      </c>
      <c r="K16" s="7">
        <f>$B$7*29811513/5</f>
        <v>4560809.579929194</v>
      </c>
      <c r="L16" s="7">
        <f>$B$7*29811513/5</f>
        <v>4560809.579929194</v>
      </c>
      <c r="M16" s="7">
        <f>$B$7*29811513/5</f>
        <v>4560809.579929194</v>
      </c>
      <c r="N16" s="7">
        <v>0</v>
      </c>
      <c r="O16" s="7">
        <v>0</v>
      </c>
      <c r="P16" s="7">
        <v>0</v>
      </c>
      <c r="Q16" s="7">
        <v>0</v>
      </c>
      <c r="R16" s="7">
        <v>0</v>
      </c>
      <c r="S16" s="7">
        <v>0</v>
      </c>
      <c r="T16" s="7">
        <v>0</v>
      </c>
      <c r="U16" s="7">
        <v>0</v>
      </c>
      <c r="V16" s="7">
        <v>0</v>
      </c>
      <c r="W16" s="7">
        <v>0</v>
      </c>
      <c r="X16" s="7"/>
    </row>
    <row r="17" spans="1:24" ht="12.75">
      <c r="A17" s="106" t="s">
        <v>454</v>
      </c>
      <c r="B17" s="1" t="s">
        <v>489</v>
      </c>
      <c r="C17" s="61">
        <f t="shared" si="3"/>
        <v>1411360.464</v>
      </c>
      <c r="D17">
        <v>0</v>
      </c>
      <c r="E17">
        <v>0</v>
      </c>
      <c r="F17">
        <v>0</v>
      </c>
      <c r="G17">
        <v>0</v>
      </c>
      <c r="H17">
        <v>0</v>
      </c>
      <c r="I17">
        <v>0</v>
      </c>
      <c r="J17">
        <v>0</v>
      </c>
      <c r="K17">
        <v>0</v>
      </c>
      <c r="L17">
        <v>0</v>
      </c>
      <c r="M17">
        <v>0</v>
      </c>
      <c r="N17" s="7">
        <f>(0.8*740652+0.612*1337972)/5</f>
        <v>282272.0928</v>
      </c>
      <c r="O17" s="7">
        <f>(0.8*740652+0.612*1337972)/5</f>
        <v>282272.0928</v>
      </c>
      <c r="P17" s="7">
        <f>(0.8*740652+0.612*1337972)/5</f>
        <v>282272.0928</v>
      </c>
      <c r="Q17" s="7">
        <f>(0.8*740652+0.612*1337972)/5</f>
        <v>282272.0928</v>
      </c>
      <c r="R17" s="7">
        <f>(0.8*740652+0.612*1337972)/5</f>
        <v>282272.0928</v>
      </c>
      <c r="S17">
        <v>0</v>
      </c>
      <c r="T17">
        <v>0</v>
      </c>
      <c r="U17">
        <v>0</v>
      </c>
      <c r="V17">
        <v>0</v>
      </c>
      <c r="W17">
        <v>0</v>
      </c>
      <c r="X17" s="7"/>
    </row>
    <row r="18" spans="1:24" ht="12.75">
      <c r="A18" s="106" t="s">
        <v>455</v>
      </c>
      <c r="B18" s="1" t="s">
        <v>487</v>
      </c>
      <c r="C18" s="61">
        <f t="shared" si="3"/>
        <v>25033406.41880729</v>
      </c>
      <c r="D18">
        <v>0</v>
      </c>
      <c r="E18">
        <v>0</v>
      </c>
      <c r="F18">
        <v>0</v>
      </c>
      <c r="G18">
        <v>0</v>
      </c>
      <c r="H18">
        <v>0</v>
      </c>
      <c r="I18">
        <v>0</v>
      </c>
      <c r="J18">
        <v>0</v>
      </c>
      <c r="K18">
        <v>0</v>
      </c>
      <c r="L18">
        <v>0</v>
      </c>
      <c r="M18">
        <v>0</v>
      </c>
      <c r="N18" s="7">
        <f>$B$7*32725932/5</f>
        <v>5006681.2837614585</v>
      </c>
      <c r="O18" s="7">
        <f>$B$7*32725932/5</f>
        <v>5006681.2837614585</v>
      </c>
      <c r="P18" s="7">
        <f>$B$7*32725932/5</f>
        <v>5006681.2837614585</v>
      </c>
      <c r="Q18" s="7">
        <f>$B$7*32725932/5</f>
        <v>5006681.2837614585</v>
      </c>
      <c r="R18" s="7">
        <f>$B$7*32725932/5</f>
        <v>5006681.2837614585</v>
      </c>
      <c r="S18">
        <v>0</v>
      </c>
      <c r="T18">
        <v>0</v>
      </c>
      <c r="U18">
        <v>0</v>
      </c>
      <c r="V18">
        <v>0</v>
      </c>
      <c r="W18">
        <v>0</v>
      </c>
      <c r="X18" s="7"/>
    </row>
    <row r="19" spans="1:24" ht="12.75">
      <c r="A19" s="106" t="s">
        <v>383</v>
      </c>
      <c r="B19" s="1"/>
      <c r="C19" s="61"/>
      <c r="D19" s="7"/>
      <c r="E19" s="7"/>
      <c r="F19" s="7"/>
      <c r="G19" s="7"/>
      <c r="H19" s="7"/>
      <c r="I19" s="7"/>
      <c r="J19" s="7"/>
      <c r="K19" s="7"/>
      <c r="L19" s="7"/>
      <c r="M19" s="7"/>
      <c r="N19" s="7"/>
      <c r="O19" s="7"/>
      <c r="P19" s="7"/>
      <c r="X19" s="7"/>
    </row>
    <row r="20" spans="1:24" ht="12.75">
      <c r="A20" s="106" t="s">
        <v>389</v>
      </c>
      <c r="B20" s="1"/>
      <c r="C20" s="61"/>
      <c r="D20" s="7"/>
      <c r="E20" s="7"/>
      <c r="F20" s="7"/>
      <c r="G20" s="7"/>
      <c r="H20" s="7"/>
      <c r="I20" s="7"/>
      <c r="J20" s="7"/>
      <c r="K20" s="7"/>
      <c r="L20" s="7"/>
      <c r="M20" s="7"/>
      <c r="N20" s="7"/>
      <c r="O20" s="7"/>
      <c r="P20" s="7"/>
      <c r="X20" s="7"/>
    </row>
    <row r="21" spans="1:16" ht="12.75">
      <c r="A21" s="106" t="s">
        <v>458</v>
      </c>
      <c r="B21" s="1"/>
      <c r="C21" s="61"/>
      <c r="D21" s="7"/>
      <c r="E21" s="7"/>
      <c r="F21" s="7"/>
      <c r="G21" s="7"/>
      <c r="H21" s="7"/>
      <c r="I21" s="7"/>
      <c r="J21" s="7"/>
      <c r="K21" s="7"/>
      <c r="L21" s="7"/>
      <c r="M21" s="7"/>
      <c r="N21" s="7"/>
      <c r="O21" s="7"/>
      <c r="P21" s="7"/>
    </row>
    <row r="22" spans="1:16" ht="12.75">
      <c r="A22" s="106"/>
      <c r="B22" s="1"/>
      <c r="C22" s="61"/>
      <c r="D22" s="7"/>
      <c r="E22" s="7"/>
      <c r="F22" s="7"/>
      <c r="G22" s="7"/>
      <c r="H22" s="7"/>
      <c r="I22" s="7"/>
      <c r="J22" s="7"/>
      <c r="K22" s="7"/>
      <c r="L22" s="7"/>
      <c r="M22" s="7"/>
      <c r="N22" s="7"/>
      <c r="O22" s="7"/>
      <c r="P22" s="7"/>
    </row>
    <row r="23" spans="1:23" ht="12.75">
      <c r="A23" s="106" t="s">
        <v>434</v>
      </c>
      <c r="B23" s="16">
        <v>1</v>
      </c>
      <c r="C23" s="61">
        <f>SUM(D23:W23)</f>
        <v>179157503.4355813</v>
      </c>
      <c r="D23" s="7">
        <f>(D10)*$B$23</f>
        <v>932013.8784214598</v>
      </c>
      <c r="E23" s="7">
        <f aca="true" t="shared" si="5" ref="E23:W23">(E10)*$B$23</f>
        <v>11794191.51368584</v>
      </c>
      <c r="F23" s="7">
        <f t="shared" si="5"/>
        <v>29705025.485020697</v>
      </c>
      <c r="G23" s="7">
        <f t="shared" si="5"/>
        <v>25658472</v>
      </c>
      <c r="H23" s="7">
        <f t="shared" si="5"/>
        <v>24395302</v>
      </c>
      <c r="I23" s="7">
        <f t="shared" si="5"/>
        <v>23070691.135129195</v>
      </c>
      <c r="J23" s="7">
        <f t="shared" si="5"/>
        <v>9289260.135129195</v>
      </c>
      <c r="K23" s="7">
        <f t="shared" si="5"/>
        <v>9289260.135129195</v>
      </c>
      <c r="L23" s="7">
        <f t="shared" si="5"/>
        <v>9289260.135129195</v>
      </c>
      <c r="M23" s="7">
        <f t="shared" si="5"/>
        <v>9289260.135129195</v>
      </c>
      <c r="N23" s="7">
        <f t="shared" si="5"/>
        <v>5288953.376561458</v>
      </c>
      <c r="O23" s="7">
        <f t="shared" si="5"/>
        <v>5288953.376561458</v>
      </c>
      <c r="P23" s="7">
        <f t="shared" si="5"/>
        <v>5288953.376561458</v>
      </c>
      <c r="Q23" s="7">
        <f t="shared" si="5"/>
        <v>5288953.376561458</v>
      </c>
      <c r="R23" s="7">
        <f t="shared" si="5"/>
        <v>5288953.376561458</v>
      </c>
      <c r="S23" s="7">
        <f t="shared" si="5"/>
        <v>0</v>
      </c>
      <c r="T23" s="7">
        <f t="shared" si="5"/>
        <v>0</v>
      </c>
      <c r="U23" s="7">
        <f t="shared" si="5"/>
        <v>0</v>
      </c>
      <c r="V23" s="7">
        <f t="shared" si="5"/>
        <v>0</v>
      </c>
      <c r="W23" s="7">
        <f t="shared" si="5"/>
        <v>0</v>
      </c>
    </row>
    <row r="24" spans="1:3" ht="12.75">
      <c r="A24" s="117" t="s">
        <v>423</v>
      </c>
      <c r="C24" s="119">
        <f>NPV(12%,D23:W23)</f>
        <v>93648203.31668419</v>
      </c>
    </row>
    <row r="25" spans="1:3" ht="12.75">
      <c r="A25" s="122" t="s">
        <v>433</v>
      </c>
      <c r="B25" s="117"/>
      <c r="C25" s="117"/>
    </row>
    <row r="26" spans="1:24" s="3" customFormat="1" ht="12.75">
      <c r="A26" s="1" t="s">
        <v>285</v>
      </c>
      <c r="B26" s="84"/>
      <c r="C26" s="84"/>
      <c r="D26" s="3">
        <v>0</v>
      </c>
      <c r="E26" s="3">
        <v>0</v>
      </c>
      <c r="F26" s="63">
        <f aca="true" t="shared" si="6" ref="F26:W26">F27*F28</f>
        <v>0</v>
      </c>
      <c r="G26" s="63">
        <f t="shared" si="6"/>
        <v>2312119.1817661603</v>
      </c>
      <c r="H26" s="63">
        <f t="shared" si="6"/>
        <v>3887572.0218377816</v>
      </c>
      <c r="I26" s="63">
        <f t="shared" si="6"/>
        <v>4263657.716352171</v>
      </c>
      <c r="J26" s="63">
        <f t="shared" si="6"/>
        <v>4224916.6030094065</v>
      </c>
      <c r="K26" s="63">
        <f t="shared" si="6"/>
        <v>4185691.7941048755</v>
      </c>
      <c r="L26" s="63">
        <f t="shared" si="6"/>
        <v>4146060.8021154543</v>
      </c>
      <c r="M26" s="63">
        <f t="shared" si="6"/>
        <v>4106096.111175508</v>
      </c>
      <c r="N26" s="63">
        <f t="shared" si="6"/>
        <v>4065865.429402836</v>
      </c>
      <c r="O26" s="63">
        <f t="shared" si="6"/>
        <v>4007544.869488364</v>
      </c>
      <c r="P26" s="63">
        <f t="shared" si="6"/>
        <v>3950561.715601289</v>
      </c>
      <c r="Q26" s="63">
        <f t="shared" si="6"/>
        <v>3894881.042011462</v>
      </c>
      <c r="R26" s="63">
        <f t="shared" si="6"/>
        <v>3840468.7461717566</v>
      </c>
      <c r="S26" s="63">
        <f t="shared" si="6"/>
        <v>3787291.5317380466</v>
      </c>
      <c r="T26" s="63">
        <f t="shared" si="6"/>
        <v>3735316.89183256</v>
      </c>
      <c r="U26" s="63">
        <f t="shared" si="6"/>
        <v>3684513.092552555</v>
      </c>
      <c r="V26" s="63">
        <f t="shared" si="6"/>
        <v>3634849.1567258253</v>
      </c>
      <c r="W26" s="63">
        <f t="shared" si="6"/>
        <v>3586294.8479142133</v>
      </c>
      <c r="X26" s="87"/>
    </row>
    <row r="27" spans="1:23" ht="12.75">
      <c r="A27" s="5" t="str">
        <f>Prod_BD!A98</f>
        <v>Water production &amp; delivery savings per m3 (years 1-20)</v>
      </c>
      <c r="B27" s="5"/>
      <c r="C27" s="5"/>
      <c r="D27" s="3">
        <f>Prod_BD!B98</f>
        <v>0</v>
      </c>
      <c r="E27" s="3">
        <f>Prod_BD!C98</f>
        <v>0</v>
      </c>
      <c r="F27" s="3">
        <f>Prod_BD!D98</f>
        <v>0</v>
      </c>
      <c r="G27" s="3">
        <f>Prod_BD!E98</f>
        <v>0.16489999999999994</v>
      </c>
      <c r="H27" s="3">
        <f>Prod_BD!F98</f>
        <v>0.2781284990696948</v>
      </c>
      <c r="I27" s="3">
        <f>Prod_BD!G98</f>
        <v>0.3059961754226371</v>
      </c>
      <c r="J27" s="3">
        <f>Prod_BD!H98</f>
        <v>0.3041785166621339</v>
      </c>
      <c r="K27" s="3">
        <f>Prod_BD!I98</f>
        <v>0.3023183990152935</v>
      </c>
      <c r="L27" s="3">
        <f>Prod_BD!J98</f>
        <v>0.3004209634149808</v>
      </c>
      <c r="M27" s="3">
        <f>Prod_BD!K98</f>
        <v>0.29849104840391105</v>
      </c>
      <c r="N27" s="3">
        <f>Prod_BD!L98</f>
        <v>0.2965332042799327</v>
      </c>
      <c r="O27" s="3">
        <f>Prod_BD!M98</f>
        <v>0.2932428622002272</v>
      </c>
      <c r="P27" s="3">
        <f>Prod_BD!N98</f>
        <v>0.2900329446119144</v>
      </c>
      <c r="Q27" s="3">
        <f>Prod_BD!O98</f>
        <v>0.2869015576396726</v>
      </c>
      <c r="R27" s="3">
        <f>Prod_BD!P98</f>
        <v>0.2838468490988889</v>
      </c>
      <c r="S27" s="3">
        <f>Prod_BD!Q98</f>
        <v>0.28086700770030637</v>
      </c>
      <c r="T27" s="3">
        <f>Prod_BD!R98</f>
        <v>0.2779602622643077</v>
      </c>
      <c r="U27" s="3">
        <f>Prod_BD!S98</f>
        <v>0.2751248809450094</v>
      </c>
      <c r="V27" s="3">
        <f>Prod_BD!T98</f>
        <v>0.2723591704643185</v>
      </c>
      <c r="W27" s="3">
        <f>Prod_BD!U98</f>
        <v>0.26966147535608426</v>
      </c>
    </row>
    <row r="28" spans="1:23" ht="12.75">
      <c r="A28" s="5" t="s">
        <v>106</v>
      </c>
      <c r="B28" s="5"/>
      <c r="C28" s="5"/>
      <c r="D28" s="62">
        <f>Hsehold!B17</f>
        <v>14151425.525217257</v>
      </c>
      <c r="E28" s="62">
        <f>Hsehold!C17</f>
        <v>14108248.102207795</v>
      </c>
      <c r="F28" s="62">
        <f>Hsehold!D17</f>
        <v>14064886.820363447</v>
      </c>
      <c r="G28" s="62">
        <f>Hsehold!E17</f>
        <v>14021341.308466716</v>
      </c>
      <c r="H28" s="62">
        <f>Hsehold!F17</f>
        <v>13977611.193535456</v>
      </c>
      <c r="I28" s="62">
        <f>Hsehold!G17</f>
        <v>13933696.100819806</v>
      </c>
      <c r="J28" s="62">
        <f>Hsehold!H17</f>
        <v>13889595.653799014</v>
      </c>
      <c r="K28" s="62">
        <f>Hsehold!I17</f>
        <v>13845309.474178355</v>
      </c>
      <c r="L28" s="62">
        <f>Hsehold!J17</f>
        <v>13800837.181885911</v>
      </c>
      <c r="M28" s="62">
        <f>Hsehold!K17</f>
        <v>13756178.39506944</v>
      </c>
      <c r="N28" s="62">
        <f>Hsehold!L17</f>
        <v>13711332.73009314</v>
      </c>
      <c r="O28" s="62">
        <f>Hsehold!M17</f>
        <v>13666299.801534466</v>
      </c>
      <c r="P28" s="62">
        <f>Hsehold!N17</f>
        <v>13621079.222180892</v>
      </c>
      <c r="Q28" s="62">
        <f>Hsehold!O17</f>
        <v>13575670.603026658</v>
      </c>
      <c r="R28" s="62">
        <f>Hsehold!P17</f>
        <v>13530073.553269504</v>
      </c>
      <c r="S28" s="62">
        <f>Hsehold!Q17</f>
        <v>13484287.680307407</v>
      </c>
      <c r="T28" s="62">
        <f>Hsehold!R17</f>
        <v>13438312.589735257</v>
      </c>
      <c r="U28" s="62">
        <f>Hsehold!S17</f>
        <v>13392147.885341555</v>
      </c>
      <c r="V28" s="62">
        <f>Hsehold!T17</f>
        <v>13345793.16910507</v>
      </c>
      <c r="W28" s="62">
        <f>Hsehold!U17</f>
        <v>13299248.0411915</v>
      </c>
    </row>
    <row r="29" spans="1:3" ht="12.75">
      <c r="A29" s="119">
        <f>NPV(12%,D26:W26)</f>
        <v>19290452.395547576</v>
      </c>
      <c r="B29" s="117" t="s">
        <v>423</v>
      </c>
      <c r="C29" s="117"/>
    </row>
    <row r="30" ht="12.75">
      <c r="A30" s="1"/>
    </row>
    <row r="31" spans="1:24" ht="12.75">
      <c r="A31" s="1" t="s">
        <v>268</v>
      </c>
      <c r="B31" s="84"/>
      <c r="C31" s="84"/>
      <c r="D31" s="7">
        <f>Prod_BD!B114</f>
        <v>0</v>
      </c>
      <c r="E31" s="7">
        <f>Prod_BD!C114</f>
        <v>0</v>
      </c>
      <c r="F31" s="7">
        <f>Prod_BD!D114</f>
        <v>0</v>
      </c>
      <c r="G31" s="7">
        <f>Prod_BD!E114</f>
        <v>1409560.729844571</v>
      </c>
      <c r="H31" s="7">
        <f>Prod_BD!F114</f>
        <v>2061894.585404568</v>
      </c>
      <c r="I31" s="7">
        <f>Prod_BD!G114</f>
        <v>2659209.474100382</v>
      </c>
      <c r="J31" s="7">
        <f>Prod_BD!H114</f>
        <v>2811452.9299378307</v>
      </c>
      <c r="K31" s="7">
        <f>Prod_BD!I114</f>
        <v>2966138.7548298873</v>
      </c>
      <c r="L31" s="7">
        <f>Prod_BD!J114</f>
        <v>3123363.269030225</v>
      </c>
      <c r="M31" s="7">
        <f>Prod_BD!K114</f>
        <v>3283227.6606816216</v>
      </c>
      <c r="N31" s="7">
        <f>Prod_BD!L114</f>
        <v>3445837.9546178007</v>
      </c>
      <c r="O31" s="7">
        <f>Prod_BD!M114</f>
        <v>3585776.851661851</v>
      </c>
      <c r="P31" s="7">
        <f>Prod_BD!N114</f>
        <v>3728867.9630064336</v>
      </c>
      <c r="Q31" s="7">
        <f>Prod_BD!O114</f>
        <v>3875250.3345965464</v>
      </c>
      <c r="R31" s="7">
        <f>Prod_BD!P114</f>
        <v>4025066.0432752003</v>
      </c>
      <c r="S31" s="7">
        <f>Prod_BD!Q114</f>
        <v>4178460.351535239</v>
      </c>
      <c r="T31" s="7">
        <f>Prod_BD!R114</f>
        <v>4335581.865557753</v>
      </c>
      <c r="U31" s="7">
        <f>Prod_BD!S114</f>
        <v>4496582.696703546</v>
      </c>
      <c r="V31" s="7">
        <f>Prod_BD!T114</f>
        <v>4661618.62662803</v>
      </c>
      <c r="W31" s="7">
        <f>Prod_BD!U114</f>
        <v>4835069.016978301</v>
      </c>
      <c r="X31" s="87"/>
    </row>
    <row r="32" ht="12.75">
      <c r="A32" s="1" t="s">
        <v>391</v>
      </c>
    </row>
    <row r="33" spans="1:3" ht="12.75">
      <c r="A33" s="119">
        <f>NPV(12%,D31:W31)</f>
        <v>15300292.825675275</v>
      </c>
      <c r="B33" s="117" t="s">
        <v>423</v>
      </c>
      <c r="C33" s="117"/>
    </row>
    <row r="34" ht="12.75">
      <c r="A34" s="1"/>
    </row>
    <row r="35" spans="1:24" s="3" customFormat="1" ht="12.75">
      <c r="A35" s="9" t="str">
        <f>Hsehold!A29</f>
        <v>Total savings from switching from shop and tanker water</v>
      </c>
      <c r="B35" s="9"/>
      <c r="C35" s="9"/>
      <c r="D35" s="63">
        <f>Hsehold!B29</f>
        <v>0</v>
      </c>
      <c r="E35" s="63">
        <f>Hsehold!C29</f>
        <v>0</v>
      </c>
      <c r="F35" s="63">
        <f>Hsehold!D29</f>
        <v>0</v>
      </c>
      <c r="G35" s="63">
        <f>Hsehold!E29</f>
        <v>2919531.6503436076</v>
      </c>
      <c r="H35" s="63">
        <f>Hsehold!F29</f>
        <v>6031898.409946297</v>
      </c>
      <c r="I35" s="63">
        <f>Hsehold!G29</f>
        <v>9346652.850200457</v>
      </c>
      <c r="J35" s="63">
        <f>Hsehold!H29</f>
        <v>9869888.93351823</v>
      </c>
      <c r="K35" s="63">
        <f>Hsehold!I29</f>
        <v>10417490.830581985</v>
      </c>
      <c r="L35" s="63">
        <f>Hsehold!J29</f>
        <v>10990497.235734547</v>
      </c>
      <c r="M35" s="63">
        <f>Hsehold!K29</f>
        <v>11589988.874493588</v>
      </c>
      <c r="N35" s="63">
        <f>Hsehold!L29</f>
        <v>12217090.146858245</v>
      </c>
      <c r="O35" s="63">
        <f>Hsehold!M29</f>
        <v>12620559.640504638</v>
      </c>
      <c r="P35" s="63">
        <f>Hsehold!N29</f>
        <v>13037353.717202028</v>
      </c>
      <c r="Q35" s="63">
        <f>Hsehold!O29</f>
        <v>13467912.421405511</v>
      </c>
      <c r="R35" s="63">
        <f>Hsehold!P29</f>
        <v>13912690.330041623</v>
      </c>
      <c r="S35" s="63">
        <f>Hsehold!Q29</f>
        <v>14372157.032443298</v>
      </c>
      <c r="T35" s="63">
        <f>Hsehold!R29</f>
        <v>14846797.626134722</v>
      </c>
      <c r="U35" s="63">
        <f>Hsehold!S29</f>
        <v>15337113.228989428</v>
      </c>
      <c r="V35" s="63">
        <f>Hsehold!T29</f>
        <v>15843621.508302491</v>
      </c>
      <c r="W35" s="63">
        <f>Hsehold!U29</f>
        <v>16213995.329889406</v>
      </c>
      <c r="X35" s="87"/>
    </row>
    <row r="36" spans="1:3" ht="12.75">
      <c r="A36" s="4" t="s">
        <v>392</v>
      </c>
      <c r="B36" s="5"/>
      <c r="C36" s="5"/>
    </row>
    <row r="37" spans="1:3" ht="12.75">
      <c r="A37" s="4" t="s">
        <v>393</v>
      </c>
      <c r="B37" s="5"/>
      <c r="C37" s="5"/>
    </row>
    <row r="38" spans="1:3" ht="12.75">
      <c r="A38" s="119">
        <f>NPV(12%,D35:W35)</f>
        <v>51438943.94269028</v>
      </c>
      <c r="B38" s="117" t="s">
        <v>423</v>
      </c>
      <c r="C38" s="117"/>
    </row>
    <row r="39" spans="1:24" ht="12.75">
      <c r="A39" s="1" t="s">
        <v>215</v>
      </c>
      <c r="B39" s="1"/>
      <c r="C39" s="1"/>
      <c r="D39" s="63">
        <f>Heli!C133</f>
        <v>0</v>
      </c>
      <c r="E39" s="63">
        <f>Heli!$C134</f>
        <v>0</v>
      </c>
      <c r="F39" s="63">
        <f>Heli!$C135</f>
        <v>0</v>
      </c>
      <c r="G39" s="63">
        <f>Heli!$C136</f>
        <v>0</v>
      </c>
      <c r="H39" s="63">
        <f>Heli!$C137</f>
        <v>0</v>
      </c>
      <c r="I39" s="63">
        <f>Heli!$C138</f>
        <v>4499957.432656328</v>
      </c>
      <c r="J39" s="63">
        <f>Heli!$C139</f>
        <v>4646206.049217658</v>
      </c>
      <c r="K39" s="63">
        <f>Heli!$C140</f>
        <v>4797207.745817232</v>
      </c>
      <c r="L39" s="63">
        <f>Heli!$C141</f>
        <v>4953116.997556292</v>
      </c>
      <c r="M39" s="63">
        <f>Heli!$C142</f>
        <v>5114093.299976872</v>
      </c>
      <c r="N39" s="63">
        <f>Heli!$C143</f>
        <v>5280301.332226121</v>
      </c>
      <c r="O39" s="63">
        <f>Heli!$C144</f>
        <v>5451911.1255234685</v>
      </c>
      <c r="P39" s="63">
        <f>Heli!$C145</f>
        <v>5629098.237102982</v>
      </c>
      <c r="Q39" s="63">
        <f>Heli!$C146</f>
        <v>5812043.929808828</v>
      </c>
      <c r="R39" s="63">
        <f>Heli!$C147</f>
        <v>6000935.357527614</v>
      </c>
      <c r="S39" s="63">
        <f>Heli!$C148</f>
        <v>6195965.756647263</v>
      </c>
      <c r="T39" s="63">
        <f>Heli!$C149</f>
        <v>6397334.6437383</v>
      </c>
      <c r="U39" s="63">
        <f>Heli!$C150</f>
        <v>6605248.019659794</v>
      </c>
      <c r="V39" s="63">
        <f>Heli!$C151</f>
        <v>6819918.580298737</v>
      </c>
      <c r="W39" s="63">
        <f>Heli!$C152</f>
        <v>7041565.934158444</v>
      </c>
      <c r="X39" s="87"/>
    </row>
    <row r="40" spans="1:3" ht="12.75">
      <c r="A40" s="119">
        <f>NPV(12%,D39:W39)</f>
        <v>20567955.47010855</v>
      </c>
      <c r="B40" s="117" t="s">
        <v>423</v>
      </c>
      <c r="C40" s="117"/>
    </row>
    <row r="41" spans="1:3" ht="12.75">
      <c r="A41" s="5"/>
      <c r="B41" s="5"/>
      <c r="C41" s="5"/>
    </row>
    <row r="42" spans="1:23" s="1" customFormat="1" ht="12.75">
      <c r="A42" s="1" t="s">
        <v>388</v>
      </c>
      <c r="B42" s="4"/>
      <c r="C42" s="4"/>
      <c r="D42" s="9">
        <f>D26+SUM(D30:D40)-D23</f>
        <v>-932013.8784214598</v>
      </c>
      <c r="E42" s="9">
        <f aca="true" t="shared" si="7" ref="E42:W42">E26+SUM(E30:E40)-E23</f>
        <v>-11794191.51368584</v>
      </c>
      <c r="F42" s="9">
        <f t="shared" si="7"/>
        <v>-29705025.485020697</v>
      </c>
      <c r="G42" s="9">
        <f t="shared" si="7"/>
        <v>-19017260.438045662</v>
      </c>
      <c r="H42" s="9">
        <f t="shared" si="7"/>
        <v>-12413936.982811352</v>
      </c>
      <c r="I42" s="9">
        <f t="shared" si="7"/>
        <v>-2301213.661819853</v>
      </c>
      <c r="J42" s="9">
        <f t="shared" si="7"/>
        <v>12263204.380553931</v>
      </c>
      <c r="K42" s="9">
        <f t="shared" si="7"/>
        <v>13077268.990204785</v>
      </c>
      <c r="L42" s="9">
        <f t="shared" si="7"/>
        <v>13923778.169307325</v>
      </c>
      <c r="M42" s="9">
        <f t="shared" si="7"/>
        <v>14804145.811198395</v>
      </c>
      <c r="N42" s="9">
        <f t="shared" si="7"/>
        <v>19720141.486543544</v>
      </c>
      <c r="O42" s="9">
        <f t="shared" si="7"/>
        <v>20376839.110616866</v>
      </c>
      <c r="P42" s="9">
        <f t="shared" si="7"/>
        <v>21056928.256351274</v>
      </c>
      <c r="Q42" s="9">
        <f t="shared" si="7"/>
        <v>21761134.35126089</v>
      </c>
      <c r="R42" s="9">
        <f t="shared" si="7"/>
        <v>22490207.100454737</v>
      </c>
      <c r="S42" s="9">
        <f t="shared" si="7"/>
        <v>28533874.672363847</v>
      </c>
      <c r="T42" s="9">
        <f t="shared" si="7"/>
        <v>29315031.027263336</v>
      </c>
      <c r="U42" s="9">
        <f t="shared" si="7"/>
        <v>30123457.037905324</v>
      </c>
      <c r="V42" s="9">
        <f t="shared" si="7"/>
        <v>30960007.87195508</v>
      </c>
      <c r="W42" s="9">
        <f t="shared" si="7"/>
        <v>31676925.128940366</v>
      </c>
    </row>
    <row r="43" spans="1:5" ht="12.75">
      <c r="A43" s="5"/>
      <c r="B43" s="106" t="s">
        <v>424</v>
      </c>
      <c r="C43" s="106"/>
      <c r="D43" s="65">
        <f>IRR(D$42:W$42)</f>
        <v>0.14688631086140003</v>
      </c>
      <c r="E43" s="3" t="s">
        <v>390</v>
      </c>
    </row>
    <row r="44" ht="12.75">
      <c r="A44" s="1"/>
    </row>
    <row r="45" spans="1:23" s="1" customFormat="1" ht="12.75">
      <c r="A45" s="1" t="s">
        <v>387</v>
      </c>
      <c r="D45" s="9">
        <f>D26+SUM(D30:D40)-(D23-D5)</f>
        <v>2010066.8048736113</v>
      </c>
      <c r="E45" s="9">
        <f aca="true" t="shared" si="8" ref="E45:W45">E26+SUM(E30:E40)-(E23-E5)</f>
        <v>-8852110.830390768</v>
      </c>
      <c r="F45" s="9">
        <f t="shared" si="8"/>
        <v>-26762944.801725626</v>
      </c>
      <c r="G45" s="9">
        <f t="shared" si="8"/>
        <v>-16075179.75475059</v>
      </c>
      <c r="H45" s="9">
        <f t="shared" si="8"/>
        <v>-9471856.299516281</v>
      </c>
      <c r="I45" s="9">
        <f t="shared" si="8"/>
        <v>640867.0214752182</v>
      </c>
      <c r="J45" s="9">
        <f t="shared" si="8"/>
        <v>15205285.063849002</v>
      </c>
      <c r="K45" s="9">
        <f t="shared" si="8"/>
        <v>16019349.673499856</v>
      </c>
      <c r="L45" s="9">
        <f t="shared" si="8"/>
        <v>16865858.852602396</v>
      </c>
      <c r="M45" s="9">
        <f t="shared" si="8"/>
        <v>17746226.494493466</v>
      </c>
      <c r="N45" s="9">
        <f t="shared" si="8"/>
        <v>22662222.169838615</v>
      </c>
      <c r="O45" s="9">
        <f t="shared" si="8"/>
        <v>23318919.793911938</v>
      </c>
      <c r="P45" s="9">
        <f t="shared" si="8"/>
        <v>23999008.939646345</v>
      </c>
      <c r="Q45" s="9">
        <f t="shared" si="8"/>
        <v>21761134.35126089</v>
      </c>
      <c r="R45" s="9">
        <f t="shared" si="8"/>
        <v>22490207.100454737</v>
      </c>
      <c r="S45" s="9">
        <f t="shared" si="8"/>
        <v>28533874.672363847</v>
      </c>
      <c r="T45" s="9">
        <f t="shared" si="8"/>
        <v>29315031.027263336</v>
      </c>
      <c r="U45" s="9">
        <f t="shared" si="8"/>
        <v>30123457.037905324</v>
      </c>
      <c r="V45" s="9">
        <f t="shared" si="8"/>
        <v>30960007.87195508</v>
      </c>
      <c r="W45" s="9">
        <f t="shared" si="8"/>
        <v>31676925.128940366</v>
      </c>
    </row>
    <row r="46" spans="1:4" ht="12.75">
      <c r="A46" s="5"/>
      <c r="B46" s="106" t="s">
        <v>424</v>
      </c>
      <c r="C46" s="106"/>
      <c r="D46" s="65">
        <f>IRR(D$45:W$45)</f>
        <v>0.19838543289276944</v>
      </c>
    </row>
    <row r="47" spans="1:3" ht="12.75">
      <c r="A47" s="1"/>
      <c r="B47" s="1"/>
      <c r="C47" s="1"/>
    </row>
    <row r="48" spans="1:3" ht="12.75">
      <c r="A48" s="6" t="s">
        <v>394</v>
      </c>
      <c r="B48" s="1"/>
      <c r="C48" s="1"/>
    </row>
    <row r="49" spans="1:23" ht="12.75">
      <c r="A49" s="1" t="s">
        <v>505</v>
      </c>
      <c r="B49" s="1"/>
      <c r="C49" s="1"/>
      <c r="D49" s="7">
        <f>D26+SUM(D30:D40)-1.2*D23</f>
        <v>-1118416.6541057518</v>
      </c>
      <c r="E49" s="7">
        <f aca="true" t="shared" si="9" ref="E49:W49">E26+SUM(E30:E40)-1.2*E23</f>
        <v>-14153029.816423006</v>
      </c>
      <c r="F49" s="7">
        <f t="shared" si="9"/>
        <v>-35646030.582024835</v>
      </c>
      <c r="G49" s="7">
        <f t="shared" si="9"/>
        <v>-24148954.83804566</v>
      </c>
      <c r="H49" s="7">
        <f t="shared" si="9"/>
        <v>-17292997.382811353</v>
      </c>
      <c r="I49" s="7">
        <f t="shared" si="9"/>
        <v>-6915351.88884569</v>
      </c>
      <c r="J49" s="7">
        <f t="shared" si="9"/>
        <v>10405352.353528092</v>
      </c>
      <c r="K49" s="7">
        <f t="shared" si="9"/>
        <v>11219416.963178946</v>
      </c>
      <c r="L49" s="7">
        <f t="shared" si="9"/>
        <v>12065926.142281486</v>
      </c>
      <c r="M49" s="7">
        <f t="shared" si="9"/>
        <v>12946293.784172555</v>
      </c>
      <c r="N49" s="7">
        <f t="shared" si="9"/>
        <v>18662350.81123125</v>
      </c>
      <c r="O49" s="7">
        <f t="shared" si="9"/>
        <v>19319048.435304575</v>
      </c>
      <c r="P49" s="7">
        <f t="shared" si="9"/>
        <v>19999137.58103898</v>
      </c>
      <c r="Q49" s="7">
        <f t="shared" si="9"/>
        <v>20703343.675948597</v>
      </c>
      <c r="R49" s="7">
        <f t="shared" si="9"/>
        <v>21432416.425142445</v>
      </c>
      <c r="S49" s="7">
        <f t="shared" si="9"/>
        <v>28533874.672363847</v>
      </c>
      <c r="T49" s="7">
        <f t="shared" si="9"/>
        <v>29315031.027263336</v>
      </c>
      <c r="U49" s="7">
        <f t="shared" si="9"/>
        <v>30123457.037905324</v>
      </c>
      <c r="V49" s="7">
        <f t="shared" si="9"/>
        <v>30960007.87195508</v>
      </c>
      <c r="W49" s="7">
        <f t="shared" si="9"/>
        <v>31676925.128940366</v>
      </c>
    </row>
    <row r="50" spans="1:10" ht="12.75">
      <c r="A50" s="104" t="s">
        <v>506</v>
      </c>
      <c r="B50" s="106" t="s">
        <v>424</v>
      </c>
      <c r="C50" s="106"/>
      <c r="D50" s="105">
        <f>IRR(D49:W49)</f>
        <v>0.10958164123692704</v>
      </c>
      <c r="E50" s="40"/>
      <c r="F50" s="40"/>
      <c r="G50" s="40"/>
      <c r="H50" s="40"/>
      <c r="I50" s="40"/>
      <c r="J50" s="40"/>
    </row>
    <row r="51" spans="1:10" ht="12.75">
      <c r="A51" s="104"/>
      <c r="B51" s="53"/>
      <c r="C51" s="53"/>
      <c r="D51" s="40"/>
      <c r="E51" s="40"/>
      <c r="F51" s="40"/>
      <c r="G51" s="40"/>
      <c r="H51" s="40"/>
      <c r="I51" s="40"/>
      <c r="J51" s="40"/>
    </row>
    <row r="52" spans="1:23" ht="12.75">
      <c r="A52" s="104" t="s">
        <v>507</v>
      </c>
      <c r="B52" s="53"/>
      <c r="C52" s="53"/>
      <c r="D52" s="52">
        <f>1.1*(D26+SUM(D30:D40))-1.2*D23</f>
        <v>-1118416.6541057518</v>
      </c>
      <c r="E52" s="52">
        <f aca="true" t="shared" si="10" ref="E52:W52">1.1*(E26+SUM(E30:E40))-1.2*E23</f>
        <v>-14153029.816423006</v>
      </c>
      <c r="F52" s="52">
        <f t="shared" si="10"/>
        <v>-35646030.582024835</v>
      </c>
      <c r="G52" s="52">
        <f t="shared" si="10"/>
        <v>-23484833.681850225</v>
      </c>
      <c r="H52" s="52">
        <f t="shared" si="10"/>
        <v>-16094860.881092485</v>
      </c>
      <c r="I52" s="52">
        <f t="shared" si="10"/>
        <v>-4838404.141514752</v>
      </c>
      <c r="J52" s="52">
        <f t="shared" si="10"/>
        <v>12560598.805096405</v>
      </c>
      <c r="K52" s="52">
        <f t="shared" si="10"/>
        <v>13456069.875712344</v>
      </c>
      <c r="L52" s="52">
        <f t="shared" si="10"/>
        <v>14387229.97272514</v>
      </c>
      <c r="M52" s="52">
        <f t="shared" si="10"/>
        <v>15355634.378805315</v>
      </c>
      <c r="N52" s="52">
        <f t="shared" si="10"/>
        <v>21163260.297541752</v>
      </c>
      <c r="O52" s="52">
        <f t="shared" si="10"/>
        <v>21885627.684022408</v>
      </c>
      <c r="P52" s="52">
        <f t="shared" si="10"/>
        <v>22633725.744330257</v>
      </c>
      <c r="Q52" s="52">
        <f t="shared" si="10"/>
        <v>23408352.448730834</v>
      </c>
      <c r="R52" s="52">
        <f t="shared" si="10"/>
        <v>24210332.472844068</v>
      </c>
      <c r="S52" s="52">
        <f t="shared" si="10"/>
        <v>31387262.139600236</v>
      </c>
      <c r="T52" s="52">
        <f t="shared" si="10"/>
        <v>32246534.129989672</v>
      </c>
      <c r="U52" s="52">
        <f t="shared" si="10"/>
        <v>33135802.74169586</v>
      </c>
      <c r="V52" s="52">
        <f t="shared" si="10"/>
        <v>34056008.65915059</v>
      </c>
      <c r="W52" s="52">
        <f t="shared" si="10"/>
        <v>34844617.64183441</v>
      </c>
    </row>
    <row r="53" spans="1:10" ht="12.75">
      <c r="A53" s="104" t="s">
        <v>509</v>
      </c>
      <c r="B53" s="106" t="s">
        <v>424</v>
      </c>
      <c r="C53" s="106"/>
      <c r="D53" s="105">
        <f>IRR(D52:W52)</f>
        <v>0.12860732928220653</v>
      </c>
      <c r="E53" s="40"/>
      <c r="F53" s="40"/>
      <c r="G53" s="40"/>
      <c r="H53" s="40"/>
      <c r="I53" s="40"/>
      <c r="J53" s="40"/>
    </row>
    <row r="54" spans="1:10" ht="12.75">
      <c r="A54" s="104"/>
      <c r="B54" s="53"/>
      <c r="C54" s="53"/>
      <c r="D54" s="40"/>
      <c r="E54" s="40"/>
      <c r="F54" s="40"/>
      <c r="G54" s="40"/>
      <c r="H54" s="40"/>
      <c r="I54" s="40"/>
      <c r="J54" s="40"/>
    </row>
    <row r="55" spans="1:23" ht="12.75">
      <c r="A55" s="104" t="s">
        <v>508</v>
      </c>
      <c r="B55" s="53"/>
      <c r="C55" s="53"/>
      <c r="D55" s="31">
        <f>0.9*(D26+SUM(D30:D40))-1.2*D23</f>
        <v>-1118416.6541057518</v>
      </c>
      <c r="E55" s="31">
        <f aca="true" t="shared" si="11" ref="E55:W55">0.9*(E26+SUM(E30:E40))-1.2*E23</f>
        <v>-14153029.816423006</v>
      </c>
      <c r="F55" s="31">
        <f t="shared" si="11"/>
        <v>-35646030.582024835</v>
      </c>
      <c r="G55" s="31">
        <f t="shared" si="11"/>
        <v>-24813075.994241096</v>
      </c>
      <c r="H55" s="31">
        <f t="shared" si="11"/>
        <v>-18491133.884530216</v>
      </c>
      <c r="I55" s="31">
        <f t="shared" si="11"/>
        <v>-8992299.636176623</v>
      </c>
      <c r="J55" s="31">
        <f t="shared" si="11"/>
        <v>8250105.901959779</v>
      </c>
      <c r="K55" s="31">
        <f t="shared" si="11"/>
        <v>8982764.050645547</v>
      </c>
      <c r="L55" s="31">
        <f t="shared" si="11"/>
        <v>9744622.311837835</v>
      </c>
      <c r="M55" s="31">
        <f t="shared" si="11"/>
        <v>10536953.189539796</v>
      </c>
      <c r="N55" s="31">
        <f t="shared" si="11"/>
        <v>16161441.324920751</v>
      </c>
      <c r="O55" s="31">
        <f t="shared" si="11"/>
        <v>16752469.186586741</v>
      </c>
      <c r="P55" s="31">
        <f t="shared" si="11"/>
        <v>17364549.41774771</v>
      </c>
      <c r="Q55" s="31">
        <f t="shared" si="11"/>
        <v>17998334.903166365</v>
      </c>
      <c r="R55" s="31">
        <f t="shared" si="11"/>
        <v>18654500.377440825</v>
      </c>
      <c r="S55" s="31">
        <f t="shared" si="11"/>
        <v>25680487.205127463</v>
      </c>
      <c r="T55" s="31">
        <f t="shared" si="11"/>
        <v>26383527.924537003</v>
      </c>
      <c r="U55" s="31">
        <f t="shared" si="11"/>
        <v>27111111.334114794</v>
      </c>
      <c r="V55" s="31">
        <f t="shared" si="11"/>
        <v>27864007.084759574</v>
      </c>
      <c r="W55" s="31">
        <f t="shared" si="11"/>
        <v>28509232.61604633</v>
      </c>
    </row>
    <row r="56" spans="1:10" ht="12.75">
      <c r="A56" s="104" t="s">
        <v>395</v>
      </c>
      <c r="B56" s="106" t="s">
        <v>424</v>
      </c>
      <c r="C56" s="106"/>
      <c r="D56" s="105">
        <f>IRR(D$55:W$55)</f>
        <v>0.08963863004677264</v>
      </c>
      <c r="E56" s="40"/>
      <c r="F56" s="40"/>
      <c r="G56" s="40"/>
      <c r="H56" s="40"/>
      <c r="I56" s="40"/>
      <c r="J56" s="40"/>
    </row>
    <row r="58" ht="12.75">
      <c r="A58" s="6" t="s">
        <v>396</v>
      </c>
    </row>
    <row r="59" spans="1:23" ht="12.75">
      <c r="A59" s="1" t="s">
        <v>505</v>
      </c>
      <c r="D59" s="7">
        <f>(D26+SUM(D30:D40))-1.2*(D23)+D5</f>
        <v>1823664.0291893193</v>
      </c>
      <c r="E59" s="7">
        <f aca="true" t="shared" si="12" ref="E59:W59">(E26+SUM(E30:E40))-1.2*(E23)+E5</f>
        <v>-11210949.133127935</v>
      </c>
      <c r="F59" s="7">
        <f t="shared" si="12"/>
        <v>-32703949.898729764</v>
      </c>
      <c r="G59" s="7">
        <f t="shared" si="12"/>
        <v>-21206874.15475059</v>
      </c>
      <c r="H59" s="7">
        <f t="shared" si="12"/>
        <v>-14350916.699516281</v>
      </c>
      <c r="I59" s="7">
        <f t="shared" si="12"/>
        <v>-3973271.2055506185</v>
      </c>
      <c r="J59" s="7">
        <f t="shared" si="12"/>
        <v>13347433.036823163</v>
      </c>
      <c r="K59" s="7">
        <f t="shared" si="12"/>
        <v>14161497.646474017</v>
      </c>
      <c r="L59" s="7">
        <f t="shared" si="12"/>
        <v>15008006.825576557</v>
      </c>
      <c r="M59" s="7">
        <f t="shared" si="12"/>
        <v>15888374.467467627</v>
      </c>
      <c r="N59" s="7">
        <f t="shared" si="12"/>
        <v>21604431.494526323</v>
      </c>
      <c r="O59" s="7">
        <f t="shared" si="12"/>
        <v>22261129.118599646</v>
      </c>
      <c r="P59" s="7">
        <f t="shared" si="12"/>
        <v>22941218.264334053</v>
      </c>
      <c r="Q59" s="7">
        <f t="shared" si="12"/>
        <v>20703343.675948597</v>
      </c>
      <c r="R59" s="7">
        <f t="shared" si="12"/>
        <v>21432416.425142445</v>
      </c>
      <c r="S59" s="7">
        <f t="shared" si="12"/>
        <v>28533874.672363847</v>
      </c>
      <c r="T59" s="7">
        <f t="shared" si="12"/>
        <v>29315031.027263336</v>
      </c>
      <c r="U59" s="7">
        <f t="shared" si="12"/>
        <v>30123457.037905324</v>
      </c>
      <c r="V59" s="7">
        <f t="shared" si="12"/>
        <v>30960007.87195508</v>
      </c>
      <c r="W59" s="7">
        <f t="shared" si="12"/>
        <v>31676925.128940366</v>
      </c>
    </row>
    <row r="60" spans="1:4" ht="12.75">
      <c r="A60" s="104" t="s">
        <v>506</v>
      </c>
      <c r="B60" s="106" t="s">
        <v>424</v>
      </c>
      <c r="C60" s="106"/>
      <c r="D60" s="105">
        <f>IRR(D59:W59)</f>
        <v>0.14703652530252342</v>
      </c>
    </row>
    <row r="61" spans="1:3" ht="12.75">
      <c r="A61" s="104"/>
      <c r="B61" s="5"/>
      <c r="C61" s="5"/>
    </row>
    <row r="62" spans="1:23" ht="12.75">
      <c r="A62" s="104" t="s">
        <v>507</v>
      </c>
      <c r="D62" s="7">
        <f>1.1*(D26+SUM(D30:D40))-1.2*D23+D5</f>
        <v>1823664.0291893193</v>
      </c>
      <c r="E62" s="7">
        <f aca="true" t="shared" si="13" ref="E62:W62">1.1*(E26+SUM(E30:E40))-1.2*E23+E5</f>
        <v>-11210949.133127935</v>
      </c>
      <c r="F62" s="7">
        <f t="shared" si="13"/>
        <v>-32703949.898729764</v>
      </c>
      <c r="G62" s="7">
        <f t="shared" si="13"/>
        <v>-20542752.998555154</v>
      </c>
      <c r="H62" s="7">
        <f t="shared" si="13"/>
        <v>-13152780.197797414</v>
      </c>
      <c r="I62" s="7">
        <f t="shared" si="13"/>
        <v>-1896323.458219681</v>
      </c>
      <c r="J62" s="7">
        <f t="shared" si="13"/>
        <v>15502679.488391476</v>
      </c>
      <c r="K62" s="7">
        <f t="shared" si="13"/>
        <v>16398150.559007416</v>
      </c>
      <c r="L62" s="7">
        <f t="shared" si="13"/>
        <v>17329310.65602021</v>
      </c>
      <c r="M62" s="7">
        <f t="shared" si="13"/>
        <v>18297715.062100388</v>
      </c>
      <c r="N62" s="7">
        <f t="shared" si="13"/>
        <v>24105340.980836824</v>
      </c>
      <c r="O62" s="7">
        <f t="shared" si="13"/>
        <v>24827708.36731748</v>
      </c>
      <c r="P62" s="7">
        <f t="shared" si="13"/>
        <v>25575806.42762533</v>
      </c>
      <c r="Q62" s="7">
        <f t="shared" si="13"/>
        <v>23408352.448730834</v>
      </c>
      <c r="R62" s="7">
        <f t="shared" si="13"/>
        <v>24210332.472844068</v>
      </c>
      <c r="S62" s="7">
        <f t="shared" si="13"/>
        <v>31387262.139600236</v>
      </c>
      <c r="T62" s="7">
        <f t="shared" si="13"/>
        <v>32246534.129989672</v>
      </c>
      <c r="U62" s="7">
        <f t="shared" si="13"/>
        <v>33135802.74169586</v>
      </c>
      <c r="V62" s="7">
        <f t="shared" si="13"/>
        <v>34056008.65915059</v>
      </c>
      <c r="W62" s="7">
        <f t="shared" si="13"/>
        <v>34844617.64183441</v>
      </c>
    </row>
    <row r="63" spans="1:4" ht="12.75">
      <c r="A63" s="104" t="s">
        <v>509</v>
      </c>
      <c r="B63" s="106" t="s">
        <v>424</v>
      </c>
      <c r="C63" s="106"/>
      <c r="D63" s="105">
        <f>IRR(D62:W62)</f>
        <v>0.168059465624526</v>
      </c>
    </row>
    <row r="64" spans="1:4" ht="12.75">
      <c r="A64" s="104"/>
      <c r="D64" s="106"/>
    </row>
    <row r="65" spans="1:23" ht="12.75">
      <c r="A65" s="104" t="s">
        <v>508</v>
      </c>
      <c r="D65" s="7">
        <f>0.9*(D26+SUM(D30:D40))-1.2*(D23)+D5</f>
        <v>1823664.0291893193</v>
      </c>
      <c r="E65" s="7">
        <f aca="true" t="shared" si="14" ref="E65:W65">0.9*(E26+SUM(E30:E40))-1.2*(E23)+E5</f>
        <v>-11210949.133127935</v>
      </c>
      <c r="F65" s="7">
        <f t="shared" si="14"/>
        <v>-32703949.898729764</v>
      </c>
      <c r="G65" s="7">
        <f t="shared" si="14"/>
        <v>-21870995.310946025</v>
      </c>
      <c r="H65" s="7">
        <f t="shared" si="14"/>
        <v>-15549053.201235145</v>
      </c>
      <c r="I65" s="7">
        <f t="shared" si="14"/>
        <v>-6050218.952881552</v>
      </c>
      <c r="J65" s="7">
        <f t="shared" si="14"/>
        <v>11192186.58525485</v>
      </c>
      <c r="K65" s="7">
        <f t="shared" si="14"/>
        <v>11924844.733940618</v>
      </c>
      <c r="L65" s="7">
        <f t="shared" si="14"/>
        <v>12686702.995132906</v>
      </c>
      <c r="M65" s="7">
        <f t="shared" si="14"/>
        <v>13479033.872834867</v>
      </c>
      <c r="N65" s="7">
        <f t="shared" si="14"/>
        <v>19103522.008215822</v>
      </c>
      <c r="O65" s="7">
        <f t="shared" si="14"/>
        <v>19694549.869881812</v>
      </c>
      <c r="P65" s="7">
        <f t="shared" si="14"/>
        <v>20306630.10104278</v>
      </c>
      <c r="Q65" s="7">
        <f t="shared" si="14"/>
        <v>17998334.903166365</v>
      </c>
      <c r="R65" s="7">
        <f t="shared" si="14"/>
        <v>18654500.377440825</v>
      </c>
      <c r="S65" s="7">
        <f t="shared" si="14"/>
        <v>25680487.205127463</v>
      </c>
      <c r="T65" s="7">
        <f t="shared" si="14"/>
        <v>26383527.924537003</v>
      </c>
      <c r="U65" s="7">
        <f t="shared" si="14"/>
        <v>27111111.334114794</v>
      </c>
      <c r="V65" s="7">
        <f t="shared" si="14"/>
        <v>27864007.084759574</v>
      </c>
      <c r="W65" s="7">
        <f t="shared" si="14"/>
        <v>28509232.61604633</v>
      </c>
    </row>
    <row r="66" spans="1:4" ht="12.75">
      <c r="A66" s="104" t="s">
        <v>395</v>
      </c>
      <c r="B66" s="106" t="s">
        <v>424</v>
      </c>
      <c r="C66" s="106"/>
      <c r="D66" s="105">
        <f>IRR(D$65:W$65)</f>
        <v>0.1251813442611196</v>
      </c>
    </row>
    <row r="67" ht="12.75">
      <c r="A67" s="104"/>
    </row>
    <row r="70" ht="12.75">
      <c r="A70" s="104" t="s">
        <v>420</v>
      </c>
    </row>
    <row r="71" spans="1:3" ht="12.75">
      <c r="A71" s="3"/>
      <c r="B71" s="3"/>
      <c r="C71" s="3"/>
    </row>
    <row r="72" spans="1:3" ht="12.75">
      <c r="A72" s="6" t="s">
        <v>421</v>
      </c>
      <c r="B72" s="5"/>
      <c r="C72" s="5"/>
    </row>
    <row r="74" spans="1:23" ht="12.75">
      <c r="A74" s="4" t="s">
        <v>416</v>
      </c>
      <c r="B74" s="6"/>
      <c r="C74" s="6"/>
      <c r="D74" s="7">
        <f>Hsehold!B68</f>
        <v>0</v>
      </c>
      <c r="E74" s="7">
        <f>Hsehold!C68</f>
        <v>0</v>
      </c>
      <c r="F74" s="7">
        <f>Hsehold!D68</f>
        <v>0</v>
      </c>
      <c r="G74" s="7">
        <f>Hsehold!E68</f>
        <v>664237.4268763417</v>
      </c>
      <c r="H74" s="7">
        <f>Hsehold!F68</f>
        <v>1372347.7457525334</v>
      </c>
      <c r="I74" s="7">
        <f>Hsehold!G68</f>
        <v>2126504.3105091504</v>
      </c>
      <c r="J74" s="7">
        <f>Hsehold!H68</f>
        <v>2245548.4008826693</v>
      </c>
      <c r="K74" s="7">
        <f>Hsehold!I68</f>
        <v>2370136.0809016274</v>
      </c>
      <c r="L74" s="7">
        <f>Hsehold!J68</f>
        <v>2500503.6691747005</v>
      </c>
      <c r="M74" s="7">
        <f>Hsehold!K68</f>
        <v>2636897.047035948</v>
      </c>
      <c r="N74" s="7">
        <f>Hsehold!L68</f>
        <v>2779572.0324218255</v>
      </c>
      <c r="O74" s="7">
        <f>Hsehold!M68</f>
        <v>2871367.4196207407</v>
      </c>
      <c r="P74" s="7">
        <f>Hsehold!N68</f>
        <v>2966194.3501697523</v>
      </c>
      <c r="Q74" s="7">
        <f>Hsehold!O68</f>
        <v>3064152.9408107107</v>
      </c>
      <c r="R74" s="7">
        <f>Hsehold!P68</f>
        <v>3165346.6146416217</v>
      </c>
      <c r="S74" s="7">
        <f>Hsehold!Q68</f>
        <v>3269882.2103090733</v>
      </c>
      <c r="T74" s="7">
        <f>Hsehold!R68</f>
        <v>3377870.0948067615</v>
      </c>
      <c r="U74" s="7">
        <f>Hsehold!S68</f>
        <v>3489424.279999171</v>
      </c>
      <c r="V74" s="7">
        <f>Hsehold!T68</f>
        <v>3604662.542993468</v>
      </c>
      <c r="W74" s="7">
        <f>Hsehold!U68</f>
        <v>3688284.276462083</v>
      </c>
    </row>
    <row r="75" ht="12.75">
      <c r="A75" s="4" t="s">
        <v>422</v>
      </c>
    </row>
    <row r="76" spans="1:3" ht="12.75">
      <c r="A76" s="118">
        <f>NPV(12%,D74:W74)</f>
        <v>11703067.813306028</v>
      </c>
      <c r="B76" s="106" t="s">
        <v>423</v>
      </c>
      <c r="C76" s="106"/>
    </row>
    <row r="77" spans="1:23" ht="12.75">
      <c r="A77" s="4" t="s">
        <v>215</v>
      </c>
      <c r="B77" s="106"/>
      <c r="C77" s="106"/>
      <c r="D77" s="107">
        <f>Heli!$E133</f>
        <v>0</v>
      </c>
      <c r="E77" s="107">
        <f>Heli!$E134</f>
        <v>0</v>
      </c>
      <c r="F77" s="107">
        <f>Heli!$E135</f>
        <v>0</v>
      </c>
      <c r="G77" s="107">
        <f>Heli!$E136</f>
        <v>0</v>
      </c>
      <c r="H77" s="107">
        <f>Heli!$E137</f>
        <v>0</v>
      </c>
      <c r="I77" s="107">
        <f>Heli!$E138</f>
        <v>1902440.2309067429</v>
      </c>
      <c r="J77" s="107">
        <f>Heli!$E139</f>
        <v>1964269.5384112117</v>
      </c>
      <c r="K77" s="107">
        <f>Heli!$E140</f>
        <v>2028108.2984095763</v>
      </c>
      <c r="L77" s="107">
        <f>Heli!$E141</f>
        <v>2094021.8181078879</v>
      </c>
      <c r="M77" s="107">
        <f>Heli!$E142</f>
        <v>2162077.527196394</v>
      </c>
      <c r="N77" s="107">
        <f>Heli!$E143</f>
        <v>2232345.046830277</v>
      </c>
      <c r="O77" s="107">
        <f>Heli!$E144</f>
        <v>2304896.2608522605</v>
      </c>
      <c r="P77" s="107">
        <f>Heli!$E145</f>
        <v>2379805.389329959</v>
      </c>
      <c r="Q77" s="107">
        <f>Heli!$E146</f>
        <v>2457149.064483182</v>
      </c>
      <c r="R77" s="107">
        <f>Heli!$E147</f>
        <v>2537006.4090788853</v>
      </c>
      <c r="S77" s="107">
        <f>Heli!$E148</f>
        <v>2619459.1173739494</v>
      </c>
      <c r="T77" s="107">
        <f>Heli!$E149</f>
        <v>2704591.5386886033</v>
      </c>
      <c r="U77" s="107">
        <f>Heli!$E150</f>
        <v>2792490.7636959828</v>
      </c>
      <c r="V77" s="107">
        <f>Heli!$E151</f>
        <v>2883246.7135161026</v>
      </c>
      <c r="W77" s="107">
        <f>Heli!$E152</f>
        <v>2976952.2317053755</v>
      </c>
    </row>
    <row r="78" spans="1:3" ht="12.75">
      <c r="A78" s="118">
        <f>NPV(12%,D77:W77)</f>
        <v>8695483.57721572</v>
      </c>
      <c r="B78" s="106" t="s">
        <v>423</v>
      </c>
      <c r="C78" s="106"/>
    </row>
    <row r="80" spans="1:4" ht="12.75">
      <c r="A80" s="4" t="s">
        <v>431</v>
      </c>
      <c r="B80" s="120">
        <f>(A76+A78)/C24</f>
        <v>0.21782106509338212</v>
      </c>
      <c r="C80" s="120"/>
      <c r="D80" s="106" t="s">
        <v>179</v>
      </c>
    </row>
    <row r="81" ht="12.75">
      <c r="A81" s="4" t="s">
        <v>432</v>
      </c>
    </row>
    <row r="82" spans="1:2" ht="12.75">
      <c r="A82" s="4" t="s">
        <v>496</v>
      </c>
      <c r="B82" s="13">
        <f>B80*Wcon!B6/(Wcon!B4+Wcon!B5)</f>
        <v>0.3610838739494559</v>
      </c>
    </row>
    <row r="83" ht="12.75">
      <c r="A83" s="4"/>
    </row>
    <row r="84" ht="12.75">
      <c r="A84" s="6" t="s">
        <v>425</v>
      </c>
    </row>
    <row r="86" spans="1:23" ht="12.75">
      <c r="A86" s="4" t="s">
        <v>159</v>
      </c>
      <c r="B86" s="6"/>
      <c r="C86" s="6"/>
      <c r="D86" s="7">
        <f>D35-D74</f>
        <v>0</v>
      </c>
      <c r="E86" s="7">
        <f aca="true" t="shared" si="15" ref="E86:W86">E35-E74</f>
        <v>0</v>
      </c>
      <c r="F86" s="7">
        <f t="shared" si="15"/>
        <v>0</v>
      </c>
      <c r="G86" s="7">
        <f t="shared" si="15"/>
        <v>2255294.223467266</v>
      </c>
      <c r="H86" s="7">
        <f t="shared" si="15"/>
        <v>4659550.664193764</v>
      </c>
      <c r="I86" s="7">
        <f t="shared" si="15"/>
        <v>7220148.539691307</v>
      </c>
      <c r="J86" s="7">
        <f t="shared" si="15"/>
        <v>7624340.532635562</v>
      </c>
      <c r="K86" s="7">
        <f t="shared" si="15"/>
        <v>8047354.749680358</v>
      </c>
      <c r="L86" s="7">
        <f t="shared" si="15"/>
        <v>8489993.566559846</v>
      </c>
      <c r="M86" s="7">
        <f t="shared" si="15"/>
        <v>8953091.82745764</v>
      </c>
      <c r="N86" s="7">
        <f t="shared" si="15"/>
        <v>9437518.11443642</v>
      </c>
      <c r="O86" s="7">
        <f t="shared" si="15"/>
        <v>9749192.220883897</v>
      </c>
      <c r="P86" s="7">
        <f t="shared" si="15"/>
        <v>10071159.367032276</v>
      </c>
      <c r="Q86" s="7">
        <f t="shared" si="15"/>
        <v>10403759.4805948</v>
      </c>
      <c r="R86" s="7">
        <f t="shared" si="15"/>
        <v>10747343.715400001</v>
      </c>
      <c r="S86" s="7">
        <f t="shared" si="15"/>
        <v>11102274.822134225</v>
      </c>
      <c r="T86" s="7">
        <f t="shared" si="15"/>
        <v>11468927.53132796</v>
      </c>
      <c r="U86" s="7">
        <f t="shared" si="15"/>
        <v>11847688.948990257</v>
      </c>
      <c r="V86" s="7">
        <f t="shared" si="15"/>
        <v>12238958.965309024</v>
      </c>
      <c r="W86" s="7">
        <f t="shared" si="15"/>
        <v>12525711.053427322</v>
      </c>
    </row>
    <row r="87" ht="12.75">
      <c r="A87" s="4" t="s">
        <v>426</v>
      </c>
    </row>
    <row r="88" spans="1:3" ht="12.75">
      <c r="A88" s="118">
        <f>NPV(12%,D86:W86)</f>
        <v>39735876.129384264</v>
      </c>
      <c r="B88" s="106" t="s">
        <v>423</v>
      </c>
      <c r="C88" s="106"/>
    </row>
    <row r="89" spans="1:23" ht="12.75">
      <c r="A89" s="4" t="s">
        <v>215</v>
      </c>
      <c r="B89" s="106"/>
      <c r="C89" s="106"/>
      <c r="D89" s="7">
        <f>D39-D77</f>
        <v>0</v>
      </c>
      <c r="E89" s="7">
        <f aca="true" t="shared" si="16" ref="E89:W89">E39-E77</f>
        <v>0</v>
      </c>
      <c r="F89" s="7">
        <f t="shared" si="16"/>
        <v>0</v>
      </c>
      <c r="G89" s="7">
        <f t="shared" si="16"/>
        <v>0</v>
      </c>
      <c r="H89" s="7">
        <f t="shared" si="16"/>
        <v>0</v>
      </c>
      <c r="I89" s="7">
        <f t="shared" si="16"/>
        <v>2597517.2017495856</v>
      </c>
      <c r="J89" s="7">
        <f t="shared" si="16"/>
        <v>2681936.5108064464</v>
      </c>
      <c r="K89" s="7">
        <f t="shared" si="16"/>
        <v>2769099.4474076554</v>
      </c>
      <c r="L89" s="7">
        <f t="shared" si="16"/>
        <v>2859095.1794484043</v>
      </c>
      <c r="M89" s="7">
        <f t="shared" si="16"/>
        <v>2952015.7727804785</v>
      </c>
      <c r="N89" s="7">
        <f t="shared" si="16"/>
        <v>3047956.285395844</v>
      </c>
      <c r="O89" s="7">
        <f t="shared" si="16"/>
        <v>3147014.864671208</v>
      </c>
      <c r="P89" s="7">
        <f t="shared" si="16"/>
        <v>3249292.8477730225</v>
      </c>
      <c r="Q89" s="7">
        <f t="shared" si="16"/>
        <v>3354894.865325646</v>
      </c>
      <c r="R89" s="7">
        <f t="shared" si="16"/>
        <v>3463928.9484487283</v>
      </c>
      <c r="S89" s="7">
        <f t="shared" si="16"/>
        <v>3576506.6392733133</v>
      </c>
      <c r="T89" s="7">
        <f t="shared" si="16"/>
        <v>3692743.1050496963</v>
      </c>
      <c r="U89" s="7">
        <f t="shared" si="16"/>
        <v>3812757.255963811</v>
      </c>
      <c r="V89" s="7">
        <f t="shared" si="16"/>
        <v>3936671.866782634</v>
      </c>
      <c r="W89" s="7">
        <f t="shared" si="16"/>
        <v>4064613.702453069</v>
      </c>
    </row>
    <row r="90" spans="1:3" ht="12.75">
      <c r="A90" s="118">
        <f>NPV(12%,D89:W89)</f>
        <v>11872471.89289283</v>
      </c>
      <c r="B90" s="106" t="s">
        <v>423</v>
      </c>
      <c r="C90" s="106"/>
    </row>
    <row r="92" spans="1:4" ht="12.75">
      <c r="A92" s="4" t="s">
        <v>429</v>
      </c>
      <c r="B92" s="120">
        <f>(A88+A90)/C24</f>
        <v>0.5510874335491138</v>
      </c>
      <c r="C92" s="120"/>
      <c r="D92" s="106" t="s">
        <v>179</v>
      </c>
    </row>
    <row r="93" ht="12.75">
      <c r="A93" s="4" t="s">
        <v>430</v>
      </c>
    </row>
    <row r="95" ht="12.75">
      <c r="A95" s="6" t="s">
        <v>427</v>
      </c>
    </row>
    <row r="97" spans="1:23" ht="12.75">
      <c r="A97" s="4" t="s">
        <v>435</v>
      </c>
      <c r="B97" s="5"/>
      <c r="C97" s="5"/>
      <c r="D97" s="7">
        <f>D26+D31</f>
        <v>0</v>
      </c>
      <c r="E97" s="7">
        <f aca="true" t="shared" si="17" ref="E97:W97">E26+E31</f>
        <v>0</v>
      </c>
      <c r="F97" s="7">
        <f t="shared" si="17"/>
        <v>0</v>
      </c>
      <c r="G97" s="7">
        <f t="shared" si="17"/>
        <v>3721679.9116107314</v>
      </c>
      <c r="H97" s="7">
        <f t="shared" si="17"/>
        <v>5949466.60724235</v>
      </c>
      <c r="I97" s="7">
        <f t="shared" si="17"/>
        <v>6922867.190452553</v>
      </c>
      <c r="J97" s="7">
        <f t="shared" si="17"/>
        <v>7036369.532947237</v>
      </c>
      <c r="K97" s="7">
        <f t="shared" si="17"/>
        <v>7151830.548934763</v>
      </c>
      <c r="L97" s="7">
        <f t="shared" si="17"/>
        <v>7269424.07114568</v>
      </c>
      <c r="M97" s="7">
        <f t="shared" si="17"/>
        <v>7389323.771857129</v>
      </c>
      <c r="N97" s="7">
        <f t="shared" si="17"/>
        <v>7511703.384020637</v>
      </c>
      <c r="O97" s="7">
        <f t="shared" si="17"/>
        <v>7593321.721150216</v>
      </c>
      <c r="P97" s="7">
        <f t="shared" si="17"/>
        <v>7679429.678607723</v>
      </c>
      <c r="Q97" s="7">
        <f t="shared" si="17"/>
        <v>7770131.3766080085</v>
      </c>
      <c r="R97" s="7">
        <f t="shared" si="17"/>
        <v>7865534.789446957</v>
      </c>
      <c r="S97" s="7">
        <f t="shared" si="17"/>
        <v>7965751.883273285</v>
      </c>
      <c r="T97" s="7">
        <f t="shared" si="17"/>
        <v>8070898.757390313</v>
      </c>
      <c r="U97" s="7">
        <f t="shared" si="17"/>
        <v>8181095.789256101</v>
      </c>
      <c r="V97" s="7">
        <f t="shared" si="17"/>
        <v>8296467.783353856</v>
      </c>
      <c r="W97" s="7">
        <f t="shared" si="17"/>
        <v>8421363.864892514</v>
      </c>
    </row>
    <row r="98" spans="1:3" ht="12.75">
      <c r="A98" s="118">
        <f>NPV(12%,D97:W97)</f>
        <v>34590745.22122285</v>
      </c>
      <c r="B98" s="106" t="s">
        <v>423</v>
      </c>
      <c r="C98" s="106"/>
    </row>
    <row r="99" spans="1:3" ht="12.75">
      <c r="A99" s="1"/>
      <c r="B99" s="1"/>
      <c r="C99" s="1"/>
    </row>
    <row r="100" spans="1:4" ht="12.75">
      <c r="A100" s="4" t="s">
        <v>428</v>
      </c>
      <c r="B100" s="13">
        <f>A98/C24</f>
        <v>0.3693690214669631</v>
      </c>
      <c r="C100" s="13"/>
      <c r="D100" s="106" t="s">
        <v>179</v>
      </c>
    </row>
    <row r="101" ht="12.75">
      <c r="A101" s="4"/>
    </row>
    <row r="103" spans="1:3" ht="12.75">
      <c r="A103" s="3"/>
      <c r="B103" s="3"/>
      <c r="C103" s="3"/>
    </row>
    <row r="104" spans="1:3" ht="12.75">
      <c r="A104" s="3"/>
      <c r="B104" s="3"/>
      <c r="C104" s="3"/>
    </row>
    <row r="105" spans="1:3" ht="12.75">
      <c r="A105" s="5"/>
      <c r="B105" s="5"/>
      <c r="C105" s="5"/>
    </row>
    <row r="106" spans="1:3" ht="12.75">
      <c r="A106" s="5"/>
      <c r="B106" s="5"/>
      <c r="C106" s="5"/>
    </row>
    <row r="107" spans="1:3" ht="12.75">
      <c r="A107" s="1"/>
      <c r="B107" s="1"/>
      <c r="C107" s="1"/>
    </row>
    <row r="111" spans="1:3" ht="12.75">
      <c r="A111" s="3"/>
      <c r="B111" s="3"/>
      <c r="C111" s="3"/>
    </row>
    <row r="112" spans="1:3" ht="12.75">
      <c r="A112" s="3"/>
      <c r="B112" s="3"/>
      <c r="C112" s="3"/>
    </row>
    <row r="113" spans="1:3" ht="12.75">
      <c r="A113" s="5"/>
      <c r="B113" s="5"/>
      <c r="C113" s="5"/>
    </row>
    <row r="115" spans="1:3" ht="12.75">
      <c r="A115" s="6"/>
      <c r="B115" s="6"/>
      <c r="C115" s="6"/>
    </row>
    <row r="116" spans="1:3" ht="12.75">
      <c r="A116" s="1"/>
      <c r="B116" s="1"/>
      <c r="C116" s="1"/>
    </row>
    <row r="117" spans="1:3" ht="12.75">
      <c r="A117" s="1"/>
      <c r="B117" s="1"/>
      <c r="C117" s="1"/>
    </row>
    <row r="118" spans="1:3" ht="12.75">
      <c r="A118" s="3"/>
      <c r="B118" s="3"/>
      <c r="C118" s="3"/>
    </row>
    <row r="119" spans="1:3" ht="12.75">
      <c r="A119" s="1"/>
      <c r="B119" s="1"/>
      <c r="C119" s="1"/>
    </row>
    <row r="120" spans="1:3" ht="12.75">
      <c r="A120" s="5"/>
      <c r="B120" s="5"/>
      <c r="C120" s="5"/>
    </row>
    <row r="121" spans="1:3" ht="12.75">
      <c r="A121" s="5"/>
      <c r="B121" s="5"/>
      <c r="C121" s="5"/>
    </row>
    <row r="122" spans="1:3" ht="12.75">
      <c r="A122" s="5"/>
      <c r="B122" s="5"/>
      <c r="C122" s="5"/>
    </row>
    <row r="123" spans="1:3" ht="12.75">
      <c r="A123" s="5"/>
      <c r="B123" s="5"/>
      <c r="C123" s="5"/>
    </row>
    <row r="125" spans="1:3" ht="12.75">
      <c r="A125" s="1"/>
      <c r="B125" s="1"/>
      <c r="C125" s="1"/>
    </row>
    <row r="127" spans="1:3" ht="12.75">
      <c r="A127" s="5"/>
      <c r="B127" s="5"/>
      <c r="C127" s="5"/>
    </row>
    <row r="129" spans="1:3" ht="12.75">
      <c r="A129" s="1"/>
      <c r="B129" s="1"/>
      <c r="C129" s="1"/>
    </row>
    <row r="130" spans="1:3" ht="12.75">
      <c r="A130" s="1"/>
      <c r="B130" s="1"/>
      <c r="C130" s="1"/>
    </row>
    <row r="131" spans="1:3" ht="12.75">
      <c r="A131" s="1"/>
      <c r="B131" s="1"/>
      <c r="C131" s="1"/>
    </row>
    <row r="132" spans="1:3" ht="12.75">
      <c r="A132" s="5"/>
      <c r="B132" s="5"/>
      <c r="C132" s="5"/>
    </row>
    <row r="133" spans="1:3" ht="12.75">
      <c r="A133" s="1"/>
      <c r="B133" s="1"/>
      <c r="C133" s="1"/>
    </row>
    <row r="134" spans="1:3" ht="12.75">
      <c r="A134" s="1"/>
      <c r="B134" s="1"/>
      <c r="C134" s="1"/>
    </row>
    <row r="135" spans="1:3" ht="12.75">
      <c r="A135" s="5"/>
      <c r="B135" s="5"/>
      <c r="C135" s="5"/>
    </row>
    <row r="136" spans="1:3" ht="12.75">
      <c r="A136" s="5"/>
      <c r="B136" s="5"/>
      <c r="C136" s="5"/>
    </row>
    <row r="137" spans="1:3" ht="12.75">
      <c r="A137" s="5"/>
      <c r="B137" s="5"/>
      <c r="C137" s="5"/>
    </row>
    <row r="138" spans="1:3" ht="12.75">
      <c r="A138" s="2"/>
      <c r="B138" s="2"/>
      <c r="C138" s="2"/>
    </row>
    <row r="139" spans="1:3" ht="12.75">
      <c r="A139" s="1"/>
      <c r="B139" s="1"/>
      <c r="C139" s="1"/>
    </row>
    <row r="140" spans="1:3" ht="12.75">
      <c r="A140" s="2"/>
      <c r="B140" s="2"/>
      <c r="C140" s="2"/>
    </row>
    <row r="141" spans="1:3" ht="12.75">
      <c r="A141" s="1"/>
      <c r="B141" s="1"/>
      <c r="C141" s="1"/>
    </row>
    <row r="142" spans="1:3" ht="12.75">
      <c r="A142" s="5"/>
      <c r="B142" s="5"/>
      <c r="C142" s="5"/>
    </row>
    <row r="143" spans="1:3" ht="12.75">
      <c r="A143" s="2"/>
      <c r="B143" s="2"/>
      <c r="C143" s="2"/>
    </row>
    <row r="144" spans="1:3" ht="12.75">
      <c r="A144" s="1"/>
      <c r="B144" s="1"/>
      <c r="C144" s="1"/>
    </row>
    <row r="145" spans="1:3" ht="12.75">
      <c r="A145" s="5"/>
      <c r="B145" s="5"/>
      <c r="C145" s="5"/>
    </row>
    <row r="146" spans="1:3" ht="12.75">
      <c r="A146" s="5"/>
      <c r="B146" s="5"/>
      <c r="C146" s="5"/>
    </row>
    <row r="147" spans="1:3" ht="12.75">
      <c r="A147" s="5"/>
      <c r="B147" s="5"/>
      <c r="C147" s="5"/>
    </row>
    <row r="148" spans="1:3" ht="12.75">
      <c r="A148" s="5"/>
      <c r="B148" s="5"/>
      <c r="C148" s="5"/>
    </row>
    <row r="149" spans="1:3" ht="12.75">
      <c r="A149" s="5"/>
      <c r="B149" s="5"/>
      <c r="C149" s="5"/>
    </row>
    <row r="150" spans="1:3" ht="12.75">
      <c r="A150" s="1"/>
      <c r="B150" s="1"/>
      <c r="C150" s="1"/>
    </row>
    <row r="155" spans="1:3" ht="12.75">
      <c r="A155" s="5"/>
      <c r="B155" s="5"/>
      <c r="C155" s="5"/>
    </row>
    <row r="156" spans="1:3" ht="12.75">
      <c r="A156" s="5"/>
      <c r="B156" s="5"/>
      <c r="C156" s="5"/>
    </row>
  </sheetData>
  <sheetProtection/>
  <printOptions gridLines="1"/>
  <pageMargins left="0.75" right="0.75" top="1" bottom="1" header="0.5" footer="0.5"/>
  <pageSetup horizontalDpi="600" verticalDpi="600" orientation="landscape" paperSize="9" scale="80" r:id="rId1"/>
  <headerFooter alignWithMargins="0">
    <oddFooter>&amp;LCBA sum: M O'Leary 11.11.09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MCC Jordan Zarqa Water Restructuring ERR</dc:title>
  <dc:subject/>
  <dc:creator>Millennium Challenge Corporation</dc:creator>
  <cp:keywords/>
  <dc:description/>
  <cp:lastModifiedBy>Block, Marissa L (DPE/EE-EA/PSC)</cp:lastModifiedBy>
  <cp:lastPrinted>2010-04-09T10:40:36Z</cp:lastPrinted>
  <dcterms:created xsi:type="dcterms:W3CDTF">2009-10-29T10:20:00Z</dcterms:created>
  <dcterms:modified xsi:type="dcterms:W3CDTF">2015-03-27T15:27:14Z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