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1535" windowWidth="9645" windowHeight="8730" tabRatio="778" activeTab="1"/>
  </bookViews>
  <sheets>
    <sheet name="User Guide" sheetId="1" r:id="rId1"/>
    <sheet name="Activity Description" sheetId="2" r:id="rId2"/>
    <sheet name="ERR &amp; Sensitivity Analysis" sheetId="3" r:id="rId3"/>
    <sheet name="Combined Cost-Benefit" sheetId="4" r:id="rId4"/>
    <sheet name="P3_Streams" sheetId="5" state="hidden" r:id="rId5"/>
    <sheet name="P2_Streams" sheetId="6" r:id="rId6"/>
    <sheet name="Data" sheetId="7" r:id="rId7"/>
    <sheet name="Sept_Proj_Streams" sheetId="8" r:id="rId8"/>
    <sheet name="Agriculture" sheetId="9" r:id="rId9"/>
    <sheet name="BA" sheetId="10" state="hidden" r:id="rId10"/>
    <sheet name="PSFront" sheetId="11" state="hidden" r:id="rId11"/>
  </sheets>
  <externalReferences>
    <externalReference r:id="rId14"/>
  </externalReferences>
  <definedNames>
    <definedName name="Ag_VA_High">'Data'!$B$47</definedName>
    <definedName name="Ag_VA_Low">'Data'!$B$49</definedName>
    <definedName name="AgArea" localSheetId="3">'Data'!$B$46</definedName>
    <definedName name="AgArea" localSheetId="4">'Data'!$B$46</definedName>
    <definedName name="AgArea" localSheetId="7">'Data'!$B$46</definedName>
    <definedName name="AmmanLoss" localSheetId="3">'Data'!$B$17</definedName>
    <definedName name="AmmanLoss" localSheetId="4">'Data'!$B$17</definedName>
    <definedName name="AmmanLoss" localSheetId="7">'Data'!$B$17</definedName>
    <definedName name="AsSamraCapacity" localSheetId="3">'Data'!$B$13</definedName>
    <definedName name="AsSamraCapacity" localSheetId="4">'Data'!$B$13</definedName>
    <definedName name="AsSamraCapacity" localSheetId="7">'Data'!$B$13</definedName>
    <definedName name="AsSamraCapacity">'Data'!$B$13</definedName>
    <definedName name="benefits_var" localSheetId="3">'Combined Cost-Benefit'!$B$173</definedName>
    <definedName name="benefits_var">'P3_Streams'!$B$170</definedName>
    <definedName name="capital_cost_var" localSheetId="3">'Combined Cost-Benefit'!$B$171</definedName>
    <definedName name="capital_cost_var">'P3_Streams'!$B$168</definedName>
    <definedName name="capital_costs_Samra_var" localSheetId="3">'Combined Cost-Benefit'!$B$172</definedName>
    <definedName name="capital_costs_Samra_var">'P3_Streams'!$B$169</definedName>
    <definedName name="cess_maint_cost">'Data'!$B$67</definedName>
    <definedName name="cesspit_cost">'Data'!$B$59</definedName>
    <definedName name="Disi_Base_Cost">'[1]Prod'!$B$118</definedName>
    <definedName name="Disi_share">'[1]Prod'!$B$119</definedName>
    <definedName name="Excess_hydro_charge">'Data'!$B$41</definedName>
    <definedName name="exrate">'Data'!$B$56</definedName>
    <definedName name="extraction_real_cost_increase">'[1]Prod'!$B$115</definedName>
    <definedName name="Future_Facility_Invest">'Data'!$B$37</definedName>
    <definedName name="growth_share_existing_network">'Data'!$B$64</definedName>
    <definedName name="growth_share_network_extension">'Data'!$B$65</definedName>
    <definedName name="HH_Size">'BA'!$C$7</definedName>
    <definedName name="investcost">'Data'!$B$32</definedName>
    <definedName name="Irr_Develop_Cost">'Data'!$B$51</definedName>
    <definedName name="MCC_share_network_growth">'Data'!$B$61</definedName>
    <definedName name="OM_current">'Data'!$B$39</definedName>
    <definedName name="OM_expansion">'Data'!$B$40</definedName>
    <definedName name="P2_Invest_Cost">'Data'!$B$33</definedName>
    <definedName name="PopGrowth" localSheetId="3">'Data'!$B$22</definedName>
    <definedName name="PopGrowth" localSheetId="4">'Data'!$B$22</definedName>
    <definedName name="PopGrowth" localSheetId="7">'Data'!$B$22</definedName>
    <definedName name="PopGrowth">'Data'!$B$22</definedName>
    <definedName name="PPP_Conversion">'Data'!$B$57</definedName>
    <definedName name="_xlnm.Print_Area" localSheetId="10">'PSFront'!$A$1:$I$46</definedName>
    <definedName name="Pump_Cost_Zarqa">'Data'!$B$43</definedName>
    <definedName name="saturation_density">'Data'!$B$62</definedName>
    <definedName name="Sept_Invest">'Data'!$B$34</definedName>
    <definedName name="Sept_OM">'Data'!$B$36</definedName>
    <definedName name="Sept_Volume">'Data'!$B$35</definedName>
    <definedName name="sewer_connect_cost">'Data'!$B$60</definedName>
    <definedName name="Sludge_removal">'Data'!$B$42</definedName>
    <definedName name="subs_per_connection">'Data'!$B$69</definedName>
    <definedName name="VA_ha_citrus">'Data'!$B$48</definedName>
    <definedName name="waste_tariff">'Data'!$B$68</definedName>
    <definedName name="Waste_Water_Collection" localSheetId="3">'Data'!$B$19</definedName>
    <definedName name="Waste_Water_Collection" localSheetId="4">'Data'!$B$19</definedName>
    <definedName name="Waste_Water_Collection" localSheetId="7">'Data'!$B$19</definedName>
    <definedName name="Water_Req">'Data'!$B$52</definedName>
    <definedName name="Water_Sub_Value">'Data'!$B$38</definedName>
    <definedName name="withOpCost" localSheetId="3">'Data'!$B$40</definedName>
    <definedName name="withOpCost" localSheetId="4">'Data'!$B$40</definedName>
    <definedName name="withOpCost" localSheetId="7">'Data'!$B$40</definedName>
    <definedName name="ZarqaLoss" localSheetId="3">'Data'!$B$18</definedName>
    <definedName name="ZarqaLoss" localSheetId="4">'Data'!$B$18</definedName>
    <definedName name="ZarqaLoss" localSheetId="7">'Data'!$B$18</definedName>
  </definedNames>
  <calcPr fullCalcOnLoad="1"/>
</workbook>
</file>

<file path=xl/comments10.xml><?xml version="1.0" encoding="utf-8"?>
<comments xmlns="http://schemas.openxmlformats.org/spreadsheetml/2006/main">
  <authors>
    <author>Lestikow, Gregory S (DPE/EE/-EA)</author>
  </authors>
  <commentList>
    <comment ref="C40" authorId="0">
      <text>
        <r>
          <rPr>
            <sz val="8"/>
            <rFont val="Tahoma"/>
            <family val="2"/>
          </rPr>
          <t>Note:
Assumes that 50% of increased employment with higher irrigated farm productivity benefits households of existing hired labor.</t>
        </r>
      </text>
    </comment>
    <comment ref="F65" authorId="0">
      <text>
        <r>
          <rPr>
            <sz val="8"/>
            <rFont val="Tahoma"/>
            <family val="2"/>
          </rPr>
          <t>Note:
additional substitution starts</t>
        </r>
      </text>
    </comment>
  </commentList>
</comments>
</file>

<file path=xl/comments4.xml><?xml version="1.0" encoding="utf-8"?>
<comments xmlns="http://schemas.openxmlformats.org/spreadsheetml/2006/main">
  <authors>
    <author>Lestikow, Gregory S (DPE/EE/-EA)</author>
  </authors>
  <commentList>
    <comment ref="C11" authorId="0">
      <text>
        <r>
          <rPr>
            <sz val="8"/>
            <rFont val="Tahoma"/>
            <family val="2"/>
          </rPr>
          <t>Note:
Source: Memo: "Reallocation of Water Resources.pdf",  Basem Telfah (April 2010).</t>
        </r>
      </text>
    </comment>
    <comment ref="C12" authorId="0">
      <text>
        <r>
          <rPr>
            <sz val="8"/>
            <rFont val="Tahoma"/>
            <family val="2"/>
          </rPr>
          <t>Note:
93% of the population connected.</t>
        </r>
      </text>
    </comment>
    <comment ref="H13" authorId="0">
      <text>
        <r>
          <rPr>
            <sz val="8"/>
            <rFont val="Tahoma"/>
            <family val="2"/>
          </rPr>
          <t>Note:
cf Atkins Memo on revised flows</t>
        </r>
      </text>
    </comment>
    <comment ref="C17" authorId="0">
      <text>
        <r>
          <rPr>
            <sz val="8"/>
            <rFont val="Tahoma"/>
            <family val="2"/>
          </rPr>
          <t>Note:
Using MWH population estimate.</t>
        </r>
      </text>
    </comment>
    <comment ref="G21" authorId="0">
      <text>
        <r>
          <rPr>
            <sz val="8"/>
            <rFont val="Tahoma"/>
            <family val="2"/>
          </rPr>
          <t>Note:
Assuming Zarqa bulk network loss reduction and Disi water.</t>
        </r>
      </text>
    </comment>
    <comment ref="C28" authorId="0">
      <text>
        <r>
          <rPr>
            <sz val="8"/>
            <rFont val="Tahoma"/>
            <family val="2"/>
          </rPr>
          <t>Note:
Calibrated to MWH flow estimates.</t>
        </r>
      </text>
    </comment>
    <comment ref="C34" authorId="0">
      <text>
        <r>
          <rPr>
            <sz val="8"/>
            <rFont val="Tahoma"/>
            <family val="2"/>
          </rPr>
          <t>Note:
Squares with MWH Consultants pumping data.</t>
        </r>
      </text>
    </comment>
    <comment ref="C36" authorId="0">
      <text>
        <r>
          <rPr>
            <sz val="8"/>
            <rFont val="Tahoma"/>
            <family val="2"/>
          </rPr>
          <t>Note:
At present approximatelyh 16 800 m3/d are dumped into Wadi Zarqa</t>
        </r>
      </text>
    </comment>
    <comment ref="C37" authorId="0">
      <text>
        <r>
          <rPr>
            <sz val="8"/>
            <rFont val="Tahoma"/>
            <family val="2"/>
          </rPr>
          <t>Note:
Squares with MWH Consultants pumping data.</t>
        </r>
      </text>
    </comment>
    <comment ref="E62" authorId="0">
      <text>
        <r>
          <rPr>
            <sz val="8"/>
            <rFont val="Tahoma"/>
            <family val="2"/>
          </rPr>
          <t>Note:
Applying 87% efficiency in conversion of waste to treated water</t>
        </r>
      </text>
    </comment>
    <comment ref="A69" authorId="0">
      <text>
        <r>
          <rPr>
            <sz val="8"/>
            <rFont val="Tahoma"/>
            <family val="2"/>
          </rPr>
          <t>Note:
Loss of 75%.</t>
        </r>
      </text>
    </comment>
    <comment ref="G69" authorId="0">
      <text>
        <r>
          <rPr>
            <sz val="8"/>
            <rFont val="Tahoma"/>
            <family val="2"/>
          </rPr>
          <t>Note:
The 0.75 factor discounts the value of incremental employment, assuming that half of the estimated value added represents payment to hire labor.</t>
        </r>
      </text>
    </comment>
    <comment ref="G77" authorId="0">
      <text>
        <r>
          <rPr>
            <sz val="8"/>
            <rFont val="Tahoma"/>
            <family val="2"/>
          </rPr>
          <t>Note:
Notional increase in current unit charges by 25% to account for water treatment above contractual quantity.</t>
        </r>
      </text>
    </comment>
    <comment ref="A84" authorId="0">
      <text>
        <r>
          <rPr>
            <sz val="8"/>
            <rFont val="Tahoma"/>
            <family val="2"/>
          </rPr>
          <t xml:space="preserve">Note:
In reference to current cultivated area
</t>
        </r>
      </text>
    </comment>
    <comment ref="H85" authorId="0">
      <text>
        <r>
          <rPr>
            <sz val="8"/>
            <rFont val="Tahoma"/>
            <family val="2"/>
          </rPr>
          <t>Note:
Assumes Disi stablizes decline in area for some time; water substitution proceeds elsewhere</t>
        </r>
      </text>
    </comment>
    <comment ref="C90" authorId="0">
      <text>
        <r>
          <rPr>
            <sz val="8"/>
            <rFont val="Tahoma"/>
            <family val="2"/>
          </rPr>
          <t>Note:
JD 0.6/m3 represents conveyance cost from Zai to Amman area</t>
        </r>
      </text>
    </comment>
    <comment ref="A111" authorId="0">
      <text>
        <r>
          <rPr>
            <sz val="8"/>
            <rFont val="Tahoma"/>
            <family val="2"/>
          </rPr>
          <t>Note:
This is an all-in cost, including physical and other risk contingencies and Compact administration and management costs.</t>
        </r>
      </text>
    </comment>
    <comment ref="R111" authorId="0">
      <text>
        <r>
          <rPr>
            <sz val="8"/>
            <rFont val="Tahoma"/>
            <family val="2"/>
          </rPr>
          <t xml:space="preserve">Note:
This is an estimate of future investment required to sustain the flow of incremental benefits initiated by a commitment to the expansion of As Samra; this may represent further expansion of As Samra or the construction of a new plant at the Wadi Zarqa site. Here it is assumed that As Samra can be further expanded. </t>
        </r>
      </text>
    </comment>
    <comment ref="D140" authorId="0">
      <text>
        <r>
          <rPr>
            <sz val="8"/>
            <rFont val="Tahoma"/>
            <family val="2"/>
          </rPr>
          <t>Note:
Price contingencies excluded in compact management and administration costs</t>
        </r>
      </text>
    </comment>
  </commentList>
</comments>
</file>

<file path=xl/comments5.xml><?xml version="1.0" encoding="utf-8"?>
<comments xmlns="http://schemas.openxmlformats.org/spreadsheetml/2006/main">
  <authors>
    <author>Lestikow, Gregory S (DPE/EE/-EA)</author>
  </authors>
  <commentList>
    <comment ref="C11" authorId="0">
      <text>
        <r>
          <rPr>
            <sz val="8"/>
            <rFont val="Tahoma"/>
            <family val="2"/>
          </rPr>
          <t>Note:
Source: Memo: "Reallocation of Water Resources.pdf",  Basem Telfah (April 2010).</t>
        </r>
      </text>
    </comment>
    <comment ref="C12" authorId="0">
      <text>
        <r>
          <rPr>
            <sz val="8"/>
            <rFont val="Tahoma"/>
            <family val="2"/>
          </rPr>
          <t>Note:
93% of the population connected.</t>
        </r>
      </text>
    </comment>
    <comment ref="H13" authorId="0">
      <text>
        <r>
          <rPr>
            <sz val="8"/>
            <rFont val="Tahoma"/>
            <family val="2"/>
          </rPr>
          <t>Note:
cf Atkins Memo on revised flows</t>
        </r>
      </text>
    </comment>
    <comment ref="C17" authorId="0">
      <text>
        <r>
          <rPr>
            <sz val="8"/>
            <rFont val="Tahoma"/>
            <family val="2"/>
          </rPr>
          <t>Note:
Using MWH population estimate.</t>
        </r>
      </text>
    </comment>
    <comment ref="G21" authorId="0">
      <text>
        <r>
          <rPr>
            <sz val="8"/>
            <rFont val="Tahoma"/>
            <family val="2"/>
          </rPr>
          <t>Note:
Assuming Zarqa bulk network loss reduction and Disi water.</t>
        </r>
      </text>
    </comment>
    <comment ref="C28" authorId="0">
      <text>
        <r>
          <rPr>
            <sz val="8"/>
            <rFont val="Tahoma"/>
            <family val="2"/>
          </rPr>
          <t>Note:
Calibrated to MWH flow estimates.</t>
        </r>
      </text>
    </comment>
    <comment ref="C34" authorId="0">
      <text>
        <r>
          <rPr>
            <sz val="8"/>
            <rFont val="Tahoma"/>
            <family val="2"/>
          </rPr>
          <t>Note:
Squares with MWH Consultants pumping data.</t>
        </r>
      </text>
    </comment>
    <comment ref="C36" authorId="0">
      <text>
        <r>
          <rPr>
            <sz val="8"/>
            <rFont val="Tahoma"/>
            <family val="2"/>
          </rPr>
          <t>Note:
At present approximatelyh 16 800 m3/d are dumped into Wadi Zarqa</t>
        </r>
      </text>
    </comment>
    <comment ref="C37" authorId="0">
      <text>
        <r>
          <rPr>
            <sz val="8"/>
            <rFont val="Tahoma"/>
            <family val="2"/>
          </rPr>
          <t>Note:
Squares with MWH Consultants pumping data.</t>
        </r>
      </text>
    </comment>
    <comment ref="E62" authorId="0">
      <text>
        <r>
          <rPr>
            <sz val="8"/>
            <rFont val="Tahoma"/>
            <family val="2"/>
          </rPr>
          <t>Note:
Applying 87% efficiency in conversion of waste to treated water</t>
        </r>
      </text>
    </comment>
    <comment ref="A69" authorId="0">
      <text>
        <r>
          <rPr>
            <sz val="8"/>
            <rFont val="Tahoma"/>
            <family val="2"/>
          </rPr>
          <t>Note:
Loss of 75%.</t>
        </r>
      </text>
    </comment>
    <comment ref="G69" authorId="0">
      <text>
        <r>
          <rPr>
            <sz val="8"/>
            <rFont val="Tahoma"/>
            <family val="2"/>
          </rPr>
          <t>Note:
The 0.75 factor discounts the value of incremental employment, assuming that half of the estimated value added represents payment to hire labor.</t>
        </r>
      </text>
    </comment>
    <comment ref="G77" authorId="0">
      <text>
        <r>
          <rPr>
            <sz val="8"/>
            <rFont val="Tahoma"/>
            <family val="2"/>
          </rPr>
          <t>Note:
Notional increase in current unit charges by 25% to account for water treatment above contractual quantity.</t>
        </r>
      </text>
    </comment>
    <comment ref="A84" authorId="0">
      <text>
        <r>
          <rPr>
            <sz val="8"/>
            <rFont val="Tahoma"/>
            <family val="2"/>
          </rPr>
          <t xml:space="preserve">Note:
In reference to current cultivated area
</t>
        </r>
      </text>
    </comment>
    <comment ref="H85" authorId="0">
      <text>
        <r>
          <rPr>
            <sz val="8"/>
            <rFont val="Tahoma"/>
            <family val="2"/>
          </rPr>
          <t>Note:
Assumes Disi stablizes decline in area for some time; water substitution proceeds elsewhere</t>
        </r>
      </text>
    </comment>
    <comment ref="C90" authorId="0">
      <text>
        <r>
          <rPr>
            <sz val="8"/>
            <rFont val="Tahoma"/>
            <family val="2"/>
          </rPr>
          <t>Note:
JD 0.6/m3 represents conveyance cost from Zai to Amman area</t>
        </r>
      </text>
    </comment>
    <comment ref="A111" authorId="0">
      <text>
        <r>
          <rPr>
            <sz val="8"/>
            <rFont val="Tahoma"/>
            <family val="2"/>
          </rPr>
          <t>Note:
This is an all-in cost, including physical and other risk contingencies and Compact administration and management costs.</t>
        </r>
      </text>
    </comment>
    <comment ref="R111" authorId="0">
      <text>
        <r>
          <rPr>
            <sz val="8"/>
            <rFont val="Tahoma"/>
            <family val="2"/>
          </rPr>
          <t xml:space="preserve">Note:
This is an estimate of future investment required to sustain the flow of incremental benefits initiated by a commitment to the expansion of As Samra; this may represent further expansion of As Samra or the construction of a new plant at the Wadi Zarqa site. Here it is assumed that As Samra can be further expanded. </t>
        </r>
      </text>
    </comment>
    <comment ref="D140" authorId="0">
      <text>
        <r>
          <rPr>
            <sz val="8"/>
            <rFont val="Tahoma"/>
            <family val="2"/>
          </rPr>
          <t>Note:
Price contingencies exclueded in compact management and administration costs</t>
        </r>
      </text>
    </comment>
  </commentList>
</comments>
</file>

<file path=xl/comments6.xml><?xml version="1.0" encoding="utf-8"?>
<comments xmlns="http://schemas.openxmlformats.org/spreadsheetml/2006/main">
  <authors>
    <author>Lestikow, Gregory S (DPE/EE/-EA)</author>
  </authors>
  <commentList>
    <comment ref="A38" authorId="0">
      <text>
        <r>
          <rPr>
            <sz val="8"/>
            <rFont val="Tahoma"/>
            <family val="2"/>
          </rPr>
          <t xml:space="preserve">Note:
Notional estimate based on current cost of waste water treatment
</t>
        </r>
      </text>
    </comment>
    <comment ref="A46" authorId="0">
      <text>
        <r>
          <rPr>
            <sz val="8"/>
            <rFont val="Tahoma"/>
            <family val="2"/>
          </rPr>
          <t>Note:  Takes into account that on average half actually empty out pits regularly.</t>
        </r>
      </text>
    </comment>
  </commentList>
</comments>
</file>

<file path=xl/comments7.xml><?xml version="1.0" encoding="utf-8"?>
<comments xmlns="http://schemas.openxmlformats.org/spreadsheetml/2006/main">
  <authors>
    <author>Lestikow, Gregory S (DPE/EE/-EA)</author>
  </authors>
  <commentList>
    <comment ref="B7" authorId="0">
      <text>
        <r>
          <rPr>
            <sz val="8"/>
            <rFont val="Tahoma"/>
            <family val="2"/>
          </rPr>
          <t>Note:
Source: Memo: "Reallocation of Water Resources.pdf",  Basem Telfah (April 2010).</t>
        </r>
      </text>
    </comment>
    <comment ref="B8" authorId="0">
      <text>
        <r>
          <rPr>
            <sz val="8"/>
            <rFont val="Tahoma"/>
            <family val="2"/>
          </rPr>
          <t>Note:
Using MWH population estimate.</t>
        </r>
      </text>
    </comment>
    <comment ref="B31" authorId="0">
      <text>
        <r>
          <rPr>
            <sz val="8"/>
            <rFont val="Tahoma"/>
            <family val="2"/>
          </rPr>
          <t>Note:
This is an all-in cost, including physical and contingencies embedded in the Atkin's top end not-to-exceed estimate.  Ten percent design risks are added to the Atkin's estimate.</t>
        </r>
      </text>
    </comment>
  </commentList>
</comments>
</file>

<file path=xl/comments8.xml><?xml version="1.0" encoding="utf-8"?>
<comments xmlns="http://schemas.openxmlformats.org/spreadsheetml/2006/main">
  <authors>
    <author>Lestikow, Gregory S (DPE/EE/-EA)</author>
  </authors>
  <commentList>
    <comment ref="C7" authorId="0">
      <text>
        <r>
          <rPr>
            <sz val="8"/>
            <rFont val="Tahoma"/>
            <family val="2"/>
          </rPr>
          <t>Note:
Source: Memo: "Reallocation of Water Resources.pdf",  Basem Telfah (April 2010).</t>
        </r>
      </text>
    </comment>
    <comment ref="C8" authorId="0">
      <text>
        <r>
          <rPr>
            <sz val="8"/>
            <rFont val="Tahoma"/>
            <family val="2"/>
          </rPr>
          <t>Note:
93% of the population connected.</t>
        </r>
      </text>
    </comment>
    <comment ref="H9" authorId="0">
      <text>
        <r>
          <rPr>
            <sz val="8"/>
            <rFont val="Tahoma"/>
            <family val="2"/>
          </rPr>
          <t>Note:
cf Atkins Memo on revised flows</t>
        </r>
      </text>
    </comment>
    <comment ref="C13" authorId="0">
      <text>
        <r>
          <rPr>
            <sz val="8"/>
            <rFont val="Tahoma"/>
            <family val="2"/>
          </rPr>
          <t>Note:
Using MWH population estimate.</t>
        </r>
      </text>
    </comment>
    <comment ref="G15" authorId="0">
      <text>
        <r>
          <rPr>
            <sz val="8"/>
            <rFont val="Tahoma"/>
            <family val="2"/>
          </rPr>
          <t>Note:
Assuming Zarqa bulk network loss reduction and Disi water.</t>
        </r>
      </text>
    </comment>
    <comment ref="C22" authorId="0">
      <text>
        <r>
          <rPr>
            <sz val="8"/>
            <rFont val="Tahoma"/>
            <family val="2"/>
          </rPr>
          <t>Note:
Calibrated to MWH flow estimats</t>
        </r>
      </text>
    </comment>
    <comment ref="C27" authorId="0">
      <text>
        <r>
          <rPr>
            <sz val="8"/>
            <rFont val="Tahoma"/>
            <family val="2"/>
          </rPr>
          <t>Note:
Squares with MWH Consultants pumping data.</t>
        </r>
      </text>
    </comment>
    <comment ref="C29" authorId="0">
      <text>
        <r>
          <rPr>
            <sz val="8"/>
            <rFont val="Tahoma"/>
            <family val="2"/>
          </rPr>
          <t>Note:
At present approximatelyh 16 800 m3/d are dumped into Wadi Zarqa</t>
        </r>
      </text>
    </comment>
    <comment ref="C30" authorId="0">
      <text>
        <r>
          <rPr>
            <sz val="8"/>
            <rFont val="Tahoma"/>
            <family val="2"/>
          </rPr>
          <t>Note:
Squares with MWH Consultants pumping data.</t>
        </r>
      </text>
    </comment>
    <comment ref="A38" authorId="0">
      <text>
        <r>
          <rPr>
            <sz val="8"/>
            <rFont val="Tahoma"/>
            <family val="2"/>
          </rPr>
          <t>Note:
Assumes that the system obtains half of the water of cesspits in any case without the project from pit emptying.</t>
        </r>
      </text>
    </comment>
    <comment ref="E57" authorId="0">
      <text>
        <r>
          <rPr>
            <sz val="8"/>
            <rFont val="Tahoma"/>
            <family val="2"/>
          </rPr>
          <t>Note:
Applying 87% efficiency in conversion of waste to treated water</t>
        </r>
      </text>
    </comment>
    <comment ref="A64" authorId="0">
      <text>
        <r>
          <rPr>
            <sz val="8"/>
            <rFont val="Tahoma"/>
            <family val="2"/>
          </rPr>
          <t>Note:
Loss of 75%.</t>
        </r>
      </text>
    </comment>
    <comment ref="G64" authorId="0">
      <text>
        <r>
          <rPr>
            <sz val="8"/>
            <rFont val="Tahoma"/>
            <family val="2"/>
          </rPr>
          <t>Note:
The 0.75 factor discounts the value of incremental employment, assuming that half of the estimated value added represents payment to hire labor.</t>
        </r>
      </text>
    </comment>
    <comment ref="G72" authorId="0">
      <text>
        <r>
          <rPr>
            <sz val="8"/>
            <rFont val="Tahoma"/>
            <family val="2"/>
          </rPr>
          <t>Note:
Notional increase in current unit charges by 25% to account for water treatment above contractual quantity.</t>
        </r>
      </text>
    </comment>
    <comment ref="A81" authorId="0">
      <text>
        <r>
          <rPr>
            <sz val="8"/>
            <rFont val="Tahoma"/>
            <family val="2"/>
          </rPr>
          <t xml:space="preserve">Note:
In reference to current cultivated area
</t>
        </r>
      </text>
    </comment>
    <comment ref="H82" authorId="0">
      <text>
        <r>
          <rPr>
            <sz val="8"/>
            <rFont val="Tahoma"/>
            <family val="2"/>
          </rPr>
          <t>Note:
Assumes Disi stablizes decline in area for some time; water substitution proceeds elsewhere</t>
        </r>
      </text>
    </comment>
    <comment ref="C87" authorId="0">
      <text>
        <r>
          <rPr>
            <sz val="8"/>
            <rFont val="Tahoma"/>
            <family val="2"/>
          </rPr>
          <t>Note:
JD 0.6/m3 represents conveyance cost from Zai to Amman area</t>
        </r>
      </text>
    </comment>
    <comment ref="A104" authorId="0">
      <text>
        <r>
          <rPr>
            <sz val="8"/>
            <rFont val="Tahoma"/>
            <family val="2"/>
          </rPr>
          <t>Note:
This is an all-in cost, including physical and other risk contingencies and Compact administration and management costs.</t>
        </r>
      </text>
    </comment>
    <comment ref="C133" authorId="0">
      <text>
        <r>
          <rPr>
            <sz val="8"/>
            <rFont val="Tahoma"/>
            <family val="2"/>
          </rPr>
          <t>Note:
Financing of investments in Zarqa pumping stations.</t>
        </r>
      </text>
    </comment>
  </commentList>
</comments>
</file>

<file path=xl/sharedStrings.xml><?xml version="1.0" encoding="utf-8"?>
<sst xmlns="http://schemas.openxmlformats.org/spreadsheetml/2006/main" count="901" uniqueCount="459">
  <si>
    <t>Based on existing water flows used in the As Samra Plant Expansion worksheet</t>
  </si>
  <si>
    <t>Distribution Water losses Amman</t>
  </si>
  <si>
    <t>Distribution Water losses Zarqa</t>
  </si>
  <si>
    <t>Based on existing water flows used in the As Samra Plant Expansion worksheet (assumes no impact of P1-B)</t>
  </si>
  <si>
    <t>Municipal Waste Water Capture</t>
  </si>
  <si>
    <t>As Samra Expansion Investment (JD million)</t>
  </si>
  <si>
    <t>Water losses in treatment</t>
  </si>
  <si>
    <t>Affected Agricultural Area (ha)</t>
  </si>
  <si>
    <t>Calendar Year</t>
  </si>
  <si>
    <t>Disi comes on line in 2014</t>
  </si>
  <si>
    <t>Base Ag Value (JD million)</t>
  </si>
  <si>
    <t>Area dependent upon KTD</t>
  </si>
  <si>
    <t>Jordan</t>
  </si>
  <si>
    <t>Analysis of Expansion of As Samra Water Treatment Plant</t>
  </si>
  <si>
    <t>As Samra design hydraulic capacity (m3/d)</t>
  </si>
  <si>
    <t>As Samra design BOD load capacity (kg/d)</t>
  </si>
  <si>
    <t>Appendix 36 Environmenal Plan</t>
  </si>
  <si>
    <t>Harza ES-13</t>
  </si>
  <si>
    <t>Projected BOD load without Disi in 2025 (kg/d)</t>
  </si>
  <si>
    <t>BOD rate (gm/capita/d)</t>
  </si>
  <si>
    <t>Projected Hydraulic load without Disi in 2025 (MCM)</t>
  </si>
  <si>
    <t>Population Growth Rate</t>
  </si>
  <si>
    <t>Annual growth rate in BOD load in analysis</t>
  </si>
  <si>
    <t>Harza</t>
  </si>
  <si>
    <t>As Samra design hydraulic capacity (MCM)</t>
  </si>
  <si>
    <t>As Samra design BOD load capacity (MT)</t>
  </si>
  <si>
    <t>Annual growth rate in hydraulic load in analysis</t>
  </si>
  <si>
    <t xml:space="preserve">Implied Annual growth rate in hydraulic load </t>
  </si>
  <si>
    <t>Year 2016-2005 using Harza figures</t>
  </si>
  <si>
    <t>Implied Annual growth rate in BOD load</t>
  </si>
  <si>
    <t>Investment Year</t>
  </si>
  <si>
    <t>As Samra reaches capacity utilization in 2014</t>
  </si>
  <si>
    <t>KTD flow (MCM)</t>
  </si>
  <si>
    <t>Derived from Atkins memo</t>
  </si>
  <si>
    <t>Amman population</t>
  </si>
  <si>
    <t>Amman waste water generation (l/p/d)</t>
  </si>
  <si>
    <t xml:space="preserve">Zarqa population </t>
  </si>
  <si>
    <t>Zarqa waste water generation (l/p/d)</t>
  </si>
  <si>
    <t>MCM</t>
  </si>
  <si>
    <t>Average System Losses in 2015</t>
  </si>
  <si>
    <t>Flow, Amman (MCM)</t>
  </si>
  <si>
    <t>Amman Population generating flows to WZPS</t>
  </si>
  <si>
    <t>Amman Population waste water flow to WZPS (MCM)</t>
  </si>
  <si>
    <t>Zarqa population with sewer service</t>
  </si>
  <si>
    <t>MWH</t>
  </si>
  <si>
    <t>Zarqa population waste water flow (MCM)</t>
  </si>
  <si>
    <t>Amman population generating flows directly to As Samra</t>
  </si>
  <si>
    <t>Zarqa population unconnected to waste water system</t>
  </si>
  <si>
    <t>Water collected from cess pits (MCM)</t>
  </si>
  <si>
    <t xml:space="preserve">Total Flow to As Samra from Zarqa pumping stations (MCM) </t>
  </si>
  <si>
    <t xml:space="preserve">% exceeding plant capacity w/o expansion </t>
  </si>
  <si>
    <t>Excess flow (MCM)</t>
  </si>
  <si>
    <t>As Samra Expansion Investment (USD million)</t>
  </si>
  <si>
    <t>Overflow as % of current KTD flow</t>
  </si>
  <si>
    <t xml:space="preserve">Base Scenario </t>
  </si>
  <si>
    <t>Expansion of water substitution (MCM)</t>
  </si>
  <si>
    <t>Value of water substitution  (JD million)</t>
  </si>
  <si>
    <t>Zarqa base population 2010</t>
  </si>
  <si>
    <t>Amman base population 2010</t>
  </si>
  <si>
    <t>Data</t>
  </si>
  <si>
    <t>Present Amman pop waste water generation rate (l/p/d)</t>
  </si>
  <si>
    <t>Present Zarqa pop waste water generation rate (l/p/d)</t>
  </si>
  <si>
    <t>Total Flow in Future before Accounting for Additional Flows from P2</t>
  </si>
  <si>
    <r>
      <t>m</t>
    </r>
    <r>
      <rPr>
        <vertAlign val="superscript"/>
        <sz val="11"/>
        <color indexed="8"/>
        <rFont val="Calibri"/>
        <family val="2"/>
      </rPr>
      <t>3</t>
    </r>
    <r>
      <rPr>
        <sz val="11"/>
        <color theme="1"/>
        <rFont val="Calibri"/>
        <family val="2"/>
      </rPr>
      <t>/d</t>
    </r>
  </si>
  <si>
    <t>Flow, Amman (m3/d)</t>
  </si>
  <si>
    <t>Zarqa population waste water flow (m3/d)</t>
  </si>
  <si>
    <t>Amman Population waste water flow to WZPS (m3/d)</t>
  </si>
  <si>
    <r>
      <t>Current As Samra Capacity (m</t>
    </r>
    <r>
      <rPr>
        <vertAlign val="superscript"/>
        <sz val="11"/>
        <color indexed="8"/>
        <rFont val="Calibri"/>
        <family val="2"/>
      </rPr>
      <t>3</t>
    </r>
    <r>
      <rPr>
        <sz val="11"/>
        <color theme="1"/>
        <rFont val="Calibri"/>
        <family val="2"/>
      </rPr>
      <t>/d)</t>
    </r>
  </si>
  <si>
    <r>
      <t>Total Flow to As Samra from Zarqa pumping stations (m</t>
    </r>
    <r>
      <rPr>
        <vertAlign val="superscript"/>
        <sz val="11"/>
        <color indexed="8"/>
        <rFont val="Calibri"/>
        <family val="2"/>
      </rPr>
      <t>3</t>
    </r>
    <r>
      <rPr>
        <sz val="11"/>
        <color theme="1"/>
        <rFont val="Calibri"/>
        <family val="2"/>
      </rPr>
      <t xml:space="preserve">/d) </t>
    </r>
  </si>
  <si>
    <r>
      <t>Excess flow (m</t>
    </r>
    <r>
      <rPr>
        <vertAlign val="superscript"/>
        <sz val="11"/>
        <color indexed="8"/>
        <rFont val="Calibri"/>
        <family val="2"/>
      </rPr>
      <t>3</t>
    </r>
    <r>
      <rPr>
        <sz val="11"/>
        <color theme="1"/>
        <rFont val="Calibri"/>
        <family val="2"/>
      </rPr>
      <t>/d)</t>
    </r>
  </si>
  <si>
    <t>Incremental water available for agricultural use (MCM)</t>
  </si>
  <si>
    <t xml:space="preserve">% of irrigation under low-value cultivation </t>
  </si>
  <si>
    <t xml:space="preserve">% of irrigation under high-value cultivation </t>
  </si>
  <si>
    <t>Value Added per hectare - high value cultivation (JD)</t>
  </si>
  <si>
    <t>Value Added per hectare - low value cultivation (JD)</t>
  </si>
  <si>
    <t>Incremental irrigation added value (JD million)</t>
  </si>
  <si>
    <t>Total Without Project Beneftis (JD milllion)</t>
  </si>
  <si>
    <t>Value of existing irrigation (JD million)</t>
  </si>
  <si>
    <t>Value of existing irrigation</t>
  </si>
  <si>
    <t>Given technical specification</t>
  </si>
  <si>
    <t>Check with MWH; they have a working assumption</t>
  </si>
  <si>
    <t>Current water treatment O&amp;M cost (JD/m3)</t>
  </si>
  <si>
    <t>Water Treatment O&amp;M cost after expansion (JD/m3)</t>
  </si>
  <si>
    <t>DoS</t>
  </si>
  <si>
    <t>Total OM Cost without Project (JD million)</t>
  </si>
  <si>
    <t>Zarqa share of total flow</t>
  </si>
  <si>
    <t>Total OM Cost with Project (JD million)</t>
  </si>
  <si>
    <t>Cost of Irrigation Development (JD/ha)</t>
  </si>
  <si>
    <t>Check</t>
  </si>
  <si>
    <t>ERR before Compact Management and Administration Costs</t>
  </si>
  <si>
    <t>ERR after Compact Management and Administration Costs</t>
  </si>
  <si>
    <t>Without Project Scenario (without P2)</t>
  </si>
  <si>
    <t>With Project Scenario (with P2)</t>
  </si>
  <si>
    <t>Water substitution gain (MCM)</t>
  </si>
  <si>
    <t>Total Flow into As Samra (MCM)</t>
  </si>
  <si>
    <r>
      <t>Total Flow into As Samra (m</t>
    </r>
    <r>
      <rPr>
        <vertAlign val="superscript"/>
        <sz val="11"/>
        <color indexed="8"/>
        <rFont val="Calibri"/>
        <family val="2"/>
      </rPr>
      <t>3</t>
    </r>
    <r>
      <rPr>
        <sz val="11"/>
        <color theme="1"/>
        <rFont val="Calibri"/>
        <family val="2"/>
      </rPr>
      <t>/d)</t>
    </r>
  </si>
  <si>
    <t>Value of water substitution gain (JD million)</t>
  </si>
  <si>
    <t xml:space="preserve">P2 is  Built in Future  with Project and not Builit in Future without Project (Change in Water Flows without and with Project) </t>
  </si>
  <si>
    <r>
      <t>Rescoped additional flow (m</t>
    </r>
    <r>
      <rPr>
        <vertAlign val="superscript"/>
        <sz val="11"/>
        <color indexed="8"/>
        <rFont val="Calibri"/>
        <family val="2"/>
      </rPr>
      <t>3</t>
    </r>
    <r>
      <rPr>
        <sz val="11"/>
        <color theme="1"/>
        <rFont val="Calibri"/>
        <family val="2"/>
      </rPr>
      <t>/d)</t>
    </r>
  </si>
  <si>
    <t>Potential flow from Zarqa pumping stations (MCM)</t>
  </si>
  <si>
    <t>Potential flow from Zarqa pumping stations (m3/d)</t>
  </si>
  <si>
    <t>Citrus  water requirement (m3/du/day)</t>
  </si>
  <si>
    <t>Citrus  water requirement (m3/du/year)</t>
  </si>
  <si>
    <t>Citrus  water requirement (m3/ha/year)</t>
  </si>
  <si>
    <t>Vegetable water requirement (m3/du/day)</t>
  </si>
  <si>
    <t>Vegetable water requirement (m3/du/year)</t>
  </si>
  <si>
    <t>Vegetable water requirement (m3/ha/year)</t>
  </si>
  <si>
    <t>Water supplied to citrus (m3/ha/year)</t>
  </si>
  <si>
    <t>Water supplied to vegetables (m3/ha/year)</t>
  </si>
  <si>
    <t>Deficit (m3/ha/year)</t>
  </si>
  <si>
    <t>% of requirement supplied</t>
  </si>
  <si>
    <t>Affected area (ha)</t>
  </si>
  <si>
    <t>Projected potential annual loss in citrus area (ha)</t>
  </si>
  <si>
    <t>Incremental citrus requirement accommodated by project</t>
  </si>
  <si>
    <t>Total deficit (m3 million)</t>
  </si>
  <si>
    <t>Citrus area north of KTD receiving emergency supplies (ha)</t>
  </si>
  <si>
    <t>Water used to retain citrus production</t>
  </si>
  <si>
    <t>Retained citrus area (ha)</t>
  </si>
  <si>
    <t>Value of retained area (JD million)</t>
  </si>
  <si>
    <t>Assumption</t>
  </si>
  <si>
    <t xml:space="preserve">  productivity gap is proportional to water deficit</t>
  </si>
  <si>
    <t xml:space="preserve">  potential added value per ha (JD)</t>
  </si>
  <si>
    <t>Value-Added per hectare citrus</t>
  </si>
  <si>
    <t>Retained value of existing irrigation (JD million)</t>
  </si>
  <si>
    <t>Incremental water for existing irrigation (MCM)</t>
  </si>
  <si>
    <t>Rescoped additional flows (MCM)</t>
  </si>
  <si>
    <t>Additional flows from Zarqa (MCM) -- estimate prior to rescoping</t>
  </si>
  <si>
    <r>
      <t>Additional flows from Zarqa (m</t>
    </r>
    <r>
      <rPr>
        <vertAlign val="superscript"/>
        <sz val="11"/>
        <color indexed="8"/>
        <rFont val="Calibri"/>
        <family val="2"/>
      </rPr>
      <t>3</t>
    </r>
    <r>
      <rPr>
        <sz val="11"/>
        <color theme="1"/>
        <rFont val="Calibri"/>
        <family val="2"/>
      </rPr>
      <t>/d) -- estimate prior to rescoping</t>
    </r>
  </si>
  <si>
    <t xml:space="preserve">  constant marginal return understates initial value added gain; overstates it later</t>
  </si>
  <si>
    <t>Value of water to municipal sector (JD/m3)</t>
  </si>
  <si>
    <t>Haddadin, 2006</t>
  </si>
  <si>
    <r>
      <t>Average Water supplied in M. Ghor (m</t>
    </r>
    <r>
      <rPr>
        <vertAlign val="superscript"/>
        <sz val="11"/>
        <color indexed="8"/>
        <rFont val="Calibri"/>
        <family val="2"/>
      </rPr>
      <t>3</t>
    </r>
    <r>
      <rPr>
        <sz val="11"/>
        <color theme="1"/>
        <rFont val="Calibri"/>
        <family val="2"/>
      </rPr>
      <t>/ha)</t>
    </r>
  </si>
  <si>
    <t>P2 Investment Cost (JD million)</t>
  </si>
  <si>
    <t>Excluding price contingencies; check</t>
  </si>
  <si>
    <t>Without Project Scenario</t>
  </si>
  <si>
    <t>(JD million)</t>
  </si>
  <si>
    <t>Agricutlural Parameters Contributing to the Analysis</t>
  </si>
  <si>
    <t>JVA</t>
  </si>
  <si>
    <t>Estimated from JVA data; cf JVWater.xlsx</t>
  </si>
  <si>
    <t>Estimated average decline in supply in N Ghor (MCM)</t>
  </si>
  <si>
    <t>Total treated water required to avoid loss (MCM)</t>
  </si>
  <si>
    <t>Estimated from DoS on production, areas and farmgate prices; cf JorAgProd_2008.xlsx</t>
  </si>
  <si>
    <t>With Project Scenario</t>
  </si>
  <si>
    <t>Investment Costs</t>
  </si>
  <si>
    <t>Total Costs</t>
  </si>
  <si>
    <t>Pumpage cost from Zarqa to As Samra (JD/m3)</t>
  </si>
  <si>
    <t xml:space="preserve">MWH </t>
  </si>
  <si>
    <t>Recurrent Costs</t>
  </si>
  <si>
    <t xml:space="preserve">  Pumpage Costs</t>
  </si>
  <si>
    <t xml:space="preserve">  System Maintenance Costs </t>
  </si>
  <si>
    <t>Total Recurrent Costs</t>
  </si>
  <si>
    <t>System overflow into Wadi Zarqa (MCM)</t>
  </si>
  <si>
    <t>Incremental Benefits (excluding value of treated waste water benefits)</t>
  </si>
  <si>
    <t>Incremental</t>
  </si>
  <si>
    <t>Total With Project Benefts (JD milllion)</t>
  </si>
  <si>
    <t>Total Incremental Waste Water Treatment Benefits (JD million)</t>
  </si>
  <si>
    <t>Incremental Waste Water Treatment Costs</t>
  </si>
  <si>
    <t>As Samra sludge removal cost post expansion (JD million)</t>
  </si>
  <si>
    <t>Total Incremental Waste Water Treatment Costs (JD million)</t>
  </si>
  <si>
    <t>Waste Water Treatment Incremental Net Benefits</t>
  </si>
  <si>
    <t>Incremental Water Collection Investment Costs</t>
  </si>
  <si>
    <t>Incremental Water Collection Recurrent Costs</t>
  </si>
  <si>
    <t>Incremental Water Collection Benefits</t>
  </si>
  <si>
    <t>Water Collection Incremental Net Benefits</t>
  </si>
  <si>
    <t>Total incremental Water Collection Costs</t>
  </si>
  <si>
    <t>Total Incremental Costs and Benefits</t>
  </si>
  <si>
    <t>Incremental Investment Costs</t>
  </si>
  <si>
    <t>Incremental Recurrent Costs</t>
  </si>
  <si>
    <t>Incremental Benefits</t>
  </si>
  <si>
    <t>Incremental Net Benefits</t>
  </si>
  <si>
    <t>Total Incremental Waste Water Recurrent Costs (JD million)</t>
  </si>
  <si>
    <t xml:space="preserve">  O&amp;M Costs post capacity expansion (JD million)</t>
  </si>
  <si>
    <t xml:space="preserve">  Sludge removal cost</t>
  </si>
  <si>
    <t>Total Investment Costs</t>
  </si>
  <si>
    <t>Total Incremental Costs</t>
  </si>
  <si>
    <t>Water Collection Costs and Benefits (P2)</t>
  </si>
  <si>
    <t>Compact Management and Administration Costs</t>
  </si>
  <si>
    <t>Compact Management and Administration Costs (%)</t>
  </si>
  <si>
    <t>Government Financing of P2</t>
  </si>
  <si>
    <t>Incremental Net Benefits after Compact Costs</t>
  </si>
  <si>
    <t>Total KTD area water requirement (m3 million)</t>
  </si>
  <si>
    <t>As Samra excess hydraulic capacity charge (JD/m3)</t>
  </si>
  <si>
    <t xml:space="preserve">Future Waste Water Treatment Investment </t>
  </si>
  <si>
    <t>Septage Facility Investment (JD million)</t>
  </si>
  <si>
    <t>New Treatment Facility Built in 2025</t>
  </si>
  <si>
    <t xml:space="preserve">  Septage Treatment Facility (JD million)</t>
  </si>
  <si>
    <t>Total Flow into New Facility (MCM)</t>
  </si>
  <si>
    <t>Total Flow into New Facility (m3/d)</t>
  </si>
  <si>
    <t>Septage Treatment Volume (MCM)</t>
  </si>
  <si>
    <t xml:space="preserve">  Treatment Plant OM Costs with Project (JD million)</t>
  </si>
  <si>
    <t xml:space="preserve">  Septage OM Costs (JD million)</t>
  </si>
  <si>
    <t>Septage OM Costs (JD/m3)</t>
  </si>
  <si>
    <t>Total Recurrent Costs with Project (JD million)</t>
  </si>
  <si>
    <t xml:space="preserve">  Sludge removal cost (As Samra and Future Facility)</t>
  </si>
  <si>
    <t>Total Amman Population waste water flow to As Samra (MCM)</t>
  </si>
  <si>
    <t>Share of agricultural value added accruing to farm households</t>
  </si>
  <si>
    <t>Share of agricultural value added accruing to hired labour</t>
  </si>
  <si>
    <t>Assumes that on average the percentage change in added value is half the percentage increase of water to full requirements</t>
  </si>
  <si>
    <t>Employed household beneficiaries</t>
  </si>
  <si>
    <t>Holding beneficiaries</t>
  </si>
  <si>
    <t>average hired labour per area (persons/ha)</t>
  </si>
  <si>
    <t>Estimated no hired employment with water intensification (person/ha)</t>
  </si>
  <si>
    <t>Distribution of Consumption among holding beneficiaries</t>
  </si>
  <si>
    <t>(as in national pattern)</t>
  </si>
  <si>
    <t>Consumption per day (2005 PPP USD)</t>
  </si>
  <si>
    <t>&lt; 1.25</t>
  </si>
  <si>
    <t>&lt; 2</t>
  </si>
  <si>
    <t>2-4</t>
  </si>
  <si>
    <t>&gt;4</t>
  </si>
  <si>
    <t>Distribution of Consumption among employment beneficiaries</t>
  </si>
  <si>
    <t>Family beneficiaries</t>
  </si>
  <si>
    <t>Employed beneficiaries</t>
  </si>
  <si>
    <t>Average distribution of consumption</t>
  </si>
  <si>
    <t xml:space="preserve">Share of PV of Total Benefits </t>
  </si>
  <si>
    <t>Based on average share of family and hired employment per holding; Agricultural Census 2007</t>
  </si>
  <si>
    <t>PV of Agricultural Benefits (2005 PPP USD million)</t>
  </si>
  <si>
    <t>Value of retained citrus area</t>
  </si>
  <si>
    <t>Value of increased water supply to existing irrigation</t>
  </si>
  <si>
    <t>Retained value of existing irrigation</t>
  </si>
  <si>
    <t>Incremental Agricultural Benefits (JD million)</t>
  </si>
  <si>
    <t xml:space="preserve">Total Incremental Agricultural Benefits </t>
  </si>
  <si>
    <t>Beneficiary Analysis</t>
  </si>
  <si>
    <t>PV of Benefits by Poverty Group (2005 PPP USD million)</t>
  </si>
  <si>
    <t>Number of Beneficiaries</t>
  </si>
  <si>
    <t>PV of Benefit Stream per Beneficiary (2005 PPP USD)</t>
  </si>
  <si>
    <t>Conversion factor (JD 2010/USD PPP 2005)</t>
  </si>
  <si>
    <t>Total Costs in 2005 PPP USD million</t>
  </si>
  <si>
    <t>NPV Total Costs @ 10% (2005 PPP USD)</t>
  </si>
  <si>
    <t>Total Benefits in 2005 PPP USD million</t>
  </si>
  <si>
    <t>NPV Total Benefits @ 10% (2005 PPP USD)</t>
  </si>
  <si>
    <t>Estimated horticultual no of holdings</t>
  </si>
  <si>
    <t>average hired labour per holding (horticulture)</t>
  </si>
  <si>
    <t>average horticultural area per holding (ha)</t>
  </si>
  <si>
    <t>average hired labour per holding (citrus)</t>
  </si>
  <si>
    <t>average citrus area per holding (ha)</t>
  </si>
  <si>
    <t>Estimated citrus no of holdings</t>
  </si>
  <si>
    <t>Beneficiaries</t>
  </si>
  <si>
    <t>Agricultural Census 2007, assumed more intensive than average</t>
  </si>
  <si>
    <t>Agricultural Benefits</t>
  </si>
  <si>
    <t>Total Beneficiaries</t>
  </si>
  <si>
    <t>Water Substitution Benefits</t>
  </si>
  <si>
    <t>Zarqa population</t>
  </si>
  <si>
    <t>Project Year</t>
  </si>
  <si>
    <t xml:space="preserve">  Annual Increment</t>
  </si>
  <si>
    <t xml:space="preserve">Amman Population </t>
  </si>
  <si>
    <t>Amman Population  Growth+ 20 years</t>
  </si>
  <si>
    <t>Zarqa Population  Growth+ 20 years</t>
  </si>
  <si>
    <t>Zarqa Distribution of Benefits</t>
  </si>
  <si>
    <t>Zarqa Beneficiaries by Poverty Group</t>
  </si>
  <si>
    <t>Share of Annual Consumption</t>
  </si>
  <si>
    <t>Amman Beneficiaries by Poverty Group</t>
  </si>
  <si>
    <t>Weighted Distribution of Consumption</t>
  </si>
  <si>
    <t>Mean Annual Consumption by Group (2005 PPP USD)</t>
  </si>
  <si>
    <t>Mean monthly income (2005 PPP USD)</t>
  </si>
  <si>
    <t>Average yearly income  (2005 PPP USD)</t>
  </si>
  <si>
    <t>Amman</t>
  </si>
  <si>
    <t>Zarqa</t>
  </si>
  <si>
    <t>Mean monthly income of Zarqa (2005 PPP USD)</t>
  </si>
  <si>
    <t>Average yearly income of Zarqa (2005 PPP USD)</t>
  </si>
  <si>
    <t>Weighted Amman and Zarqa</t>
  </si>
  <si>
    <t xml:space="preserve">  Agriculture</t>
  </si>
  <si>
    <t xml:space="preserve">  Water Substitution</t>
  </si>
  <si>
    <t>Share of PV of Total Benefits (Amman and Zarqa)</t>
  </si>
  <si>
    <t>PV of Substitution Benefits (2005 PPP USD million)</t>
  </si>
  <si>
    <t>Share of PV of Total Benefits for Project</t>
  </si>
  <si>
    <t>Weighted Total</t>
  </si>
  <si>
    <t>Poverty Scorecard</t>
  </si>
  <si>
    <r>
      <t xml:space="preserve">MCC Cost </t>
    </r>
    <r>
      <rPr>
        <b/>
        <sz val="8"/>
        <rFont val="Arial"/>
        <family val="2"/>
      </rPr>
      <t>(Millions USD)</t>
    </r>
  </si>
  <si>
    <t>20-Year ERR</t>
  </si>
  <si>
    <r>
      <t xml:space="preserve">Present Value </t>
    </r>
    <r>
      <rPr>
        <b/>
        <sz val="8"/>
        <rFont val="Arial"/>
        <family val="2"/>
      </rPr>
      <t>(PV)</t>
    </r>
    <r>
      <rPr>
        <b/>
        <sz val="9"/>
        <rFont val="Arial"/>
        <family val="2"/>
      </rPr>
      <t xml:space="preserve"> of All Costs </t>
    </r>
    <r>
      <rPr>
        <b/>
        <sz val="8"/>
        <rFont val="Arial"/>
        <family val="2"/>
      </rPr>
      <t>(Millions 2005 PPP $)</t>
    </r>
  </si>
  <si>
    <r>
      <t xml:space="preserve">Present Value </t>
    </r>
    <r>
      <rPr>
        <b/>
        <sz val="8"/>
        <rFont val="Arial"/>
        <family val="2"/>
      </rPr>
      <t>(PV)</t>
    </r>
    <r>
      <rPr>
        <b/>
        <sz val="9"/>
        <rFont val="Arial"/>
        <family val="2"/>
      </rPr>
      <t xml:space="preserve"> of Benefit Stream </t>
    </r>
    <r>
      <rPr>
        <b/>
        <sz val="8"/>
        <rFont val="Arial"/>
        <family val="2"/>
      </rPr>
      <t>(Millions 2005 PPP $)</t>
    </r>
  </si>
  <si>
    <t>Consumption per day (2005 PPP $)</t>
  </si>
  <si>
    <t>Total</t>
  </si>
  <si>
    <t>&lt; $1.25</t>
  </si>
  <si>
    <r>
      <t xml:space="preserve">&lt; $2 </t>
    </r>
    <r>
      <rPr>
        <vertAlign val="superscript"/>
        <sz val="9"/>
        <rFont val="Arial"/>
        <family val="2"/>
      </rPr>
      <t>1</t>
    </r>
    <r>
      <rPr>
        <sz val="9"/>
        <rFont val="Arial"/>
        <family val="2"/>
      </rPr>
      <t xml:space="preserve"> </t>
    </r>
  </si>
  <si>
    <t>$2-$4</t>
  </si>
  <si>
    <t>&gt; $4</t>
  </si>
  <si>
    <r>
      <t xml:space="preserve">Beneficiary Households in Year 20 </t>
    </r>
    <r>
      <rPr>
        <sz val="8"/>
        <rFont val="Arial"/>
        <family val="2"/>
      </rPr>
      <t>(#)</t>
    </r>
  </si>
  <si>
    <r>
      <t xml:space="preserve">Beneficiary Individuals in Year 20 </t>
    </r>
    <r>
      <rPr>
        <sz val="8"/>
        <rFont val="Arial"/>
        <family val="2"/>
      </rPr>
      <t>(#)</t>
    </r>
  </si>
  <si>
    <r>
      <t xml:space="preserve">National Population in Year 20 </t>
    </r>
    <r>
      <rPr>
        <vertAlign val="superscript"/>
        <sz val="9"/>
        <rFont val="Arial"/>
        <family val="2"/>
      </rPr>
      <t>2</t>
    </r>
    <r>
      <rPr>
        <sz val="9"/>
        <rFont val="Arial"/>
        <family val="2"/>
      </rPr>
      <t xml:space="preserve"> </t>
    </r>
    <r>
      <rPr>
        <sz val="8"/>
        <rFont val="Arial"/>
        <family val="2"/>
      </rPr>
      <t>(#)</t>
    </r>
  </si>
  <si>
    <r>
      <t xml:space="preserve">Beneficiary Population by Poverty Level </t>
    </r>
    <r>
      <rPr>
        <sz val="8"/>
        <rFont val="Arial"/>
        <family val="2"/>
      </rPr>
      <t>(%)</t>
    </r>
  </si>
  <si>
    <r>
      <t xml:space="preserve">National Population by Poverty Level </t>
    </r>
    <r>
      <rPr>
        <vertAlign val="superscript"/>
        <sz val="9"/>
        <rFont val="Arial"/>
        <family val="2"/>
      </rPr>
      <t>3</t>
    </r>
    <r>
      <rPr>
        <sz val="9"/>
        <rFont val="Arial"/>
        <family val="2"/>
      </rPr>
      <t xml:space="preserve"> </t>
    </r>
    <r>
      <rPr>
        <sz val="8"/>
        <rFont val="Arial"/>
        <family val="2"/>
      </rPr>
      <t>(%)</t>
    </r>
  </si>
  <si>
    <t>The Magnitude of the Benefits</t>
  </si>
  <si>
    <r>
      <t xml:space="preserve">PV of Benefit Stream Per Beneficiary </t>
    </r>
    <r>
      <rPr>
        <sz val="8"/>
        <rFont val="Arial"/>
        <family val="2"/>
      </rPr>
      <t xml:space="preserve">(2005 PPP $) </t>
    </r>
  </si>
  <si>
    <r>
      <t>PV of Benefit Stream as Share of Annual Consumption</t>
    </r>
    <r>
      <rPr>
        <sz val="8"/>
        <rFont val="Arial"/>
        <family val="2"/>
      </rPr>
      <t xml:space="preserve"> (%)</t>
    </r>
  </si>
  <si>
    <t>Cost Effectiveness</t>
  </si>
  <si>
    <r>
      <t xml:space="preserve">PV of Benefit Stream/PV of All Costs </t>
    </r>
    <r>
      <rPr>
        <sz val="8"/>
        <rFont val="Arial"/>
        <family val="2"/>
      </rPr>
      <t>(2005 PPP $ / 2005 PPP $)</t>
    </r>
  </si>
  <si>
    <t>Percent of Project Participants Who Are Female</t>
  </si>
  <si>
    <t>Average Annual Consumption (PPP $) of Beneficiaries</t>
  </si>
  <si>
    <r>
      <t xml:space="preserve">National Average Income per capita </t>
    </r>
    <r>
      <rPr>
        <vertAlign val="superscript"/>
        <sz val="9"/>
        <rFont val="Arial"/>
        <family val="2"/>
      </rPr>
      <t xml:space="preserve">4 </t>
    </r>
    <r>
      <rPr>
        <sz val="9"/>
        <rFont val="Arial"/>
        <family val="2"/>
      </rPr>
      <t>(PPP $)</t>
    </r>
  </si>
  <si>
    <t>National Population (2010)</t>
  </si>
  <si>
    <t>NB: All benefits incremental; PVs based on 10% discount rate and exclude MCC costs but net out any local costs</t>
  </si>
  <si>
    <t>NB: Beneficiary household calculation based on average of 6.3 individuals per household, as per 2003/2004 NHIES.</t>
  </si>
  <si>
    <r>
      <t xml:space="preserve">1    </t>
    </r>
    <r>
      <rPr>
        <sz val="8"/>
        <rFont val="Arial"/>
        <family val="2"/>
      </rPr>
      <t>The beneficiaries and population living on less than $2 per day include those under $1.25 per day; in Jordan the number consuming under $1.25 is negligible.</t>
    </r>
  </si>
  <si>
    <r>
      <t xml:space="preserve">2    </t>
    </r>
    <r>
      <rPr>
        <sz val="8"/>
        <rFont val="Arial"/>
        <family val="2"/>
      </rPr>
      <t>Based on 2010 population (MCC Country Scorecard 2010), projected to Year 20</t>
    </r>
  </si>
  <si>
    <r>
      <t xml:space="preserve">3,4 </t>
    </r>
    <r>
      <rPr>
        <sz val="8"/>
        <rFont val="Arial"/>
        <family val="2"/>
      </rPr>
      <t>Based on MCC calculations using 2006 World Bank and DoS, Jordan, data, updated to project 2010 distribution</t>
    </r>
  </si>
  <si>
    <t>Total MCC Costs</t>
  </si>
  <si>
    <t xml:space="preserve">   Waste Water Treatment - Septage</t>
  </si>
  <si>
    <t>Total Project</t>
  </si>
  <si>
    <t>Share of Benefits (weighted by beneficiary populations)</t>
  </si>
  <si>
    <t>PV of Total Benefit as Share of Annual Consumption</t>
  </si>
  <si>
    <t>Waste Water Collection and Treatment: As Samra Expansion Project</t>
  </si>
  <si>
    <t>M&amp;E</t>
  </si>
  <si>
    <t>Compact Administration</t>
  </si>
  <si>
    <t>Total capital costs including Price Contingencies</t>
  </si>
  <si>
    <t>Total capital costs excluding Price Contingencies</t>
  </si>
  <si>
    <t xml:space="preserve">Total MCC Costs </t>
  </si>
  <si>
    <t>Compact Administation (MCA)</t>
  </si>
  <si>
    <t>Exchange rate (USD/JD)</t>
  </si>
  <si>
    <t>MCC Costs  (USD million)</t>
  </si>
  <si>
    <t>Construction supervision costs --  treatment fracility</t>
  </si>
  <si>
    <t>Construction supervision  -- water collection</t>
  </si>
  <si>
    <t>MCC costs of capital and construction supervision</t>
  </si>
  <si>
    <t xml:space="preserve">   Waste water collection Zarqa</t>
  </si>
  <si>
    <t xml:space="preserve">   As Samra expansion </t>
  </si>
  <si>
    <t xml:space="preserve">Total </t>
  </si>
  <si>
    <t>Jordan contribution to P2 (WZPS)</t>
  </si>
  <si>
    <t xml:space="preserve">  Construction Supervision</t>
  </si>
  <si>
    <t>Investment Costs (JD million)</t>
  </si>
  <si>
    <t xml:space="preserve">  As Samra Expansion Investment</t>
  </si>
  <si>
    <t>Total Incremental Costs including Compact Admin/Management Costs</t>
  </si>
  <si>
    <t xml:space="preserve">  Works</t>
  </si>
  <si>
    <t xml:space="preserve">  Construction Supervison</t>
  </si>
  <si>
    <t>Total Investment</t>
  </si>
  <si>
    <t>households</t>
  </si>
  <si>
    <t>Expansion of Waste Water Collectiona and Treatment in Zarqa</t>
  </si>
  <si>
    <t>Average Size of Household</t>
  </si>
  <si>
    <t>ERR before waste water collection costs and benefits</t>
  </si>
  <si>
    <t xml:space="preserve">  potential change in productivity per ha (%)</t>
  </si>
  <si>
    <t>for consumption from 4818 to 7300 m3/ha</t>
  </si>
  <si>
    <t xml:space="preserve">   marginal returns to adding water to production, fodder (JD/m3)</t>
  </si>
  <si>
    <t>Based Agricultural Census 2007, adjusted for cultivation per ha that is more intensive than average that includes orchards and livestock</t>
  </si>
  <si>
    <t>Estimated no hired employment (before incremental productivity)</t>
  </si>
  <si>
    <t>Sensitivity</t>
  </si>
  <si>
    <t xml:space="preserve">  Variation in benefits</t>
  </si>
  <si>
    <t>Total Incremental Benefits</t>
  </si>
  <si>
    <t xml:space="preserve">  Variation in capital costs - P2</t>
  </si>
  <si>
    <t xml:space="preserve">  Variation in capital costs - As Samra</t>
  </si>
  <si>
    <t>Phasing of works</t>
  </si>
  <si>
    <t xml:space="preserve">  marginal value of adding water to production (JD/m3)</t>
  </si>
  <si>
    <t>Fresh water substitution (MCM)</t>
  </si>
  <si>
    <t>Base</t>
  </si>
  <si>
    <t>calc value</t>
  </si>
  <si>
    <t xml:space="preserve">  Benefits Delayed 1 year</t>
  </si>
  <si>
    <t>Delay of Benefits (JD million)</t>
  </si>
  <si>
    <t xml:space="preserve">  Total Incremental Costs</t>
  </si>
  <si>
    <t>Retained value as share of total agricultural benefits</t>
  </si>
  <si>
    <t>Portion of Zarqa population connect to waste water system - w</t>
  </si>
  <si>
    <t>Portion of Zarqa population connect to waste water system -w/o</t>
  </si>
  <si>
    <t>Zarqa population with sewer service w project</t>
  </si>
  <si>
    <t>Zarqa population with sewer service w/o project</t>
  </si>
  <si>
    <t xml:space="preserve">  Avoided downstream agricultual  contamination (JD million)</t>
  </si>
  <si>
    <t>Incremental population connected to waste water collection system</t>
  </si>
  <si>
    <t xml:space="preserve">  Annual change in connections</t>
  </si>
  <si>
    <t>Cost to connect to the sewer network</t>
  </si>
  <si>
    <t>Benefit attributable to MCC of new sewer to communities outside the MCC network</t>
  </si>
  <si>
    <t>saturation density before WAJ will extend network to new community</t>
  </si>
  <si>
    <t>% of growth within the MCC network area</t>
  </si>
  <si>
    <t>% of growth outside of the MCC network area</t>
  </si>
  <si>
    <t>Cost to build a cesspit (JD)</t>
  </si>
  <si>
    <t>Avoided cesspit maintenance costs (JD million)</t>
  </si>
  <si>
    <t>Water subscribers per sewer connection</t>
  </si>
  <si>
    <t>Annual cost of waste water tariff (JD million)</t>
  </si>
  <si>
    <t xml:space="preserve">Incremental Connections within existing network </t>
  </si>
  <si>
    <t xml:space="preserve">Incremental Connections outside existing network </t>
  </si>
  <si>
    <t>Avoided cost of cesspit construction (JD million)</t>
  </si>
  <si>
    <t>Netwok connection cost (JD million)</t>
  </si>
  <si>
    <t>Average area per cesspint (m2)</t>
  </si>
  <si>
    <t>Average annual wastewater tariff (JD/water subscriber)</t>
  </si>
  <si>
    <t>Average annual cost of cesspit maintenance (saved when cesspits taken offline) (JD/connection)</t>
  </si>
  <si>
    <t>Average value of reclaimed land. Zarqa(JD/m2)</t>
  </si>
  <si>
    <t>Value of land reclaimed (JD million)</t>
  </si>
  <si>
    <t>Total # connections compared to counerfactual</t>
  </si>
  <si>
    <t xml:space="preserve">With project phasing of target level % of population connections </t>
  </si>
  <si>
    <t xml:space="preserve">   value used in the analysis (vary for sensitivity analysis)</t>
  </si>
  <si>
    <t>Total Incremental Connections (pop)</t>
  </si>
  <si>
    <t>Total Incremental Connections (households)</t>
  </si>
  <si>
    <t xml:space="preserve">P2 is  Built in Future  with Project and not Built in Future without Project (Change in Water Flows without and with Project) </t>
  </si>
  <si>
    <t>Analysis of Septage Treatment Option</t>
  </si>
  <si>
    <t>Household connection benefits (JD million)</t>
  </si>
  <si>
    <t>LAST UPDATED: 1/10/2011</t>
  </si>
  <si>
    <t>PROJECT NAME</t>
  </si>
  <si>
    <t>SPREADSHEET VERSION</t>
  </si>
  <si>
    <r>
      <t>Investment memo, final</t>
    </r>
    <r>
      <rPr>
        <sz val="9"/>
        <rFont val="Arial"/>
        <family val="2"/>
      </rPr>
      <t>*</t>
    </r>
  </si>
  <si>
    <t>DATE</t>
  </si>
  <si>
    <t>AMOUNT OF MCC FUNDS</t>
  </si>
  <si>
    <t>PROJECT DESCRIPTION</t>
  </si>
  <si>
    <t>BENEFIT STREAMS INCLUDED IN THE ERR</t>
  </si>
  <si>
    <t>COSTS INCLUDED IN THE ERR (OTHER THAN COSTS BORNE BY MCC)</t>
  </si>
  <si>
    <t>None</t>
  </si>
  <si>
    <t>ESTIMATED ERR AND TIME HORIZON</t>
  </si>
  <si>
    <t>WORKSHEETS IN THIS FILE</t>
  </si>
  <si>
    <t>Activity Description</t>
  </si>
  <si>
    <t>This sheet should be read first, as it offers a summary of the project, a list of components, and states the economic rationale for the project.</t>
  </si>
  <si>
    <t>ERR &amp; Sensitivity Analysis</t>
  </si>
  <si>
    <t>Jordan: Waste Water Collection and Treatment: As Samra Expansion Project</t>
  </si>
  <si>
    <t xml:space="preserve">$158.50 million </t>
  </si>
  <si>
    <t>13.5% over 20 years</t>
  </si>
  <si>
    <t>The GOJ is interested in expanding the plant’s hydraulic capacity to 364,800 cubic meters per day, an increase of 37 percent, with upgrades to handle higher TSS loads. The proposed expansion is expected to meet the region’s wastewater treatment needs at least through 2025.</t>
  </si>
  <si>
    <t>Millenium Challenge Corporation</t>
  </si>
  <si>
    <t>NOTES:</t>
  </si>
  <si>
    <t>Change the "User Input" cells in the table below to see the effect on the compact's Economic Rate of Return (ERR) and net benefits (see chart below).  To reset all values to the default MCC estimates, click the "Reset Parameters" button at right.  Be sure to reset all summary parameters to their original values ("MCC Estimate" values) before changing specific parameters.</t>
  </si>
  <si>
    <t>Parameter type</t>
  </si>
  <si>
    <t>Description of Key Parameters</t>
  </si>
  <si>
    <t>Parameter Values</t>
  </si>
  <si>
    <t>User Input</t>
  </si>
  <si>
    <t>MCC Estimate</t>
  </si>
  <si>
    <t>Plausible range</t>
  </si>
  <si>
    <t>Values used in ERR computation</t>
  </si>
  <si>
    <t>All summary parameters set to initial values?</t>
  </si>
  <si>
    <t>Summary</t>
  </si>
  <si>
    <t>Actual costs as a percentage of estimated costs</t>
  </si>
  <si>
    <t>80% - 120%</t>
  </si>
  <si>
    <t>Actual benefits as a percentage of estimated benefits</t>
  </si>
  <si>
    <t>Specific</t>
  </si>
  <si>
    <t>More Info</t>
  </si>
  <si>
    <t>User's Guide</t>
  </si>
  <si>
    <t>Economic rate of return (ERR):</t>
  </si>
  <si>
    <t>MILLENNIUM CHALLENGE CORPORATION</t>
  </si>
  <si>
    <t>Project Description</t>
  </si>
  <si>
    <t>Components</t>
  </si>
  <si>
    <t>Economic Rationale</t>
  </si>
  <si>
    <t>Jordan:  Waste Water Collection and Treatment: As Samra Expansion Project and Zarqa Wastewater Network Reinforcement Expansion Project</t>
  </si>
  <si>
    <t>The Zarqa Wastewater Expansion Project and As Samra Expansion Project are expected to provide improvements to the availability of water, reductions to the operations and maintenance demands on the water supply network, lowered costs associated with producing and delivering water to customers, and limits to the need for additional groundwater extraction, thereby easing demand on the aquifers that provide drinking water to Amman and Zarqa Governorates.</t>
  </si>
  <si>
    <t>The Wastewater Collection and Treatment Project and the Zarqa Network Reinforcement project provides the Zarqa and amman governorates with a more efficient wastewater treatment plant to improve the quality of wastewater flowing into the Jordan Valley.  The project also provides reinforcement to the wastewater system within Zarqa by reinforcing the sewer lines in the governorate.  Due to the shared goals of these two projects the ERR calculated is a combined ERR including both projects.</t>
  </si>
  <si>
    <t>Jordan:  Wastewater Collection and Treatment: As Samra Expansion Project and Zarqa Wastewater Network Reinforcement Expansion Project</t>
  </si>
  <si>
    <t>The Zarqa Wastewater Network Reinforcement Project will be carried out in these two steps:</t>
  </si>
  <si>
    <t>1.  Upgrading existing trunk lines to reduce blockages and overflows and</t>
  </si>
  <si>
    <t>2.  Expanding the current trunk lines to increase coverage and provide improved wastewater collection in East and West Zarga.</t>
  </si>
  <si>
    <t>The Wastewater Network Project will result in collection of additional quantities of wastewater to be conveyed to the proposed expanded As-Samra Wastewater Treatment Plant, which serves large shares of the total population in Zarqa Governorate and neighboring Amman Governorate. In doing so, the project is expected to contribute to an increase in the substitution of high-quality treated wastewater for fresh surface water used in irrigation throughout downstream portions of the lower and middle Jordan Valley.</t>
  </si>
  <si>
    <t>Incremental Net Benefits after Compact Costs in 2005 PPP</t>
  </si>
  <si>
    <t>The Zarqa and Amman governorates water treatment needs will not be met with the current system, and the proposed As Samra Expansion Project will provide the water treatment needed for these governorates.</t>
  </si>
  <si>
    <t>Percentage of required agricultural water that will be supplied with the project.</t>
  </si>
  <si>
    <t>50-80%</t>
  </si>
  <si>
    <t>P2-Streams</t>
  </si>
  <si>
    <t>Analysis of maintenance and investment costs with and without the project.</t>
  </si>
  <si>
    <t>This sheet contains the details for how the ERR was calculated over the 20 year project.</t>
  </si>
  <si>
    <t>This sheet contains brief summary of the As Samra and Zarqa Wastewater expansions projects including key parameters and ERR calculations, giving the user the opportunity to test the sensitivity to the ERR of various changes in parameters.</t>
  </si>
  <si>
    <t>High-Value crop cultivation revenue per HA, PPP</t>
  </si>
  <si>
    <t>1800-2600</t>
  </si>
  <si>
    <t>All specific parameters set to initial values?</t>
  </si>
  <si>
    <t>MCC Estimated ERRs:</t>
  </si>
  <si>
    <t>Original</t>
  </si>
  <si>
    <t>ERR</t>
  </si>
  <si>
    <t>Date</t>
  </si>
  <si>
    <t>Present Value (PV) of Benefits:</t>
  </si>
  <si>
    <t>Present Value (PV) of MCC Costs:</t>
  </si>
  <si>
    <t>PV Total Costs</t>
  </si>
  <si>
    <t>PV Total Benefits</t>
  </si>
  <si>
    <t>Combined Cost-Benefit</t>
  </si>
  <si>
    <t>Presents assumptions used throughout the ERR model</t>
  </si>
  <si>
    <t>Sept_Proj_Streams</t>
  </si>
  <si>
    <t>Economic analysis of septage treatment options</t>
  </si>
  <si>
    <t>Agriculture</t>
  </si>
  <si>
    <t>Listing of agricultural parameters that contribute to the economic analysis of the overall project</t>
  </si>
  <si>
    <t>-Reduced cost to the economy of satisfying basic populatin and commercial demands for water through the expanded reuse of treated waste water in agriculture.</t>
  </si>
  <si>
    <t>- Net change in value of assets for connected urban beneficiaries (serving also as a proxy measure of avoided environmental health costs).</t>
  </si>
  <si>
    <t>-Avoided loss of local agricultural added value due to environmental contamination.</t>
  </si>
  <si>
    <t>The Wastewater Collection and Treatment Project's proposed expansion to the As Samra Wastewater treatment plant is expected to increase the plants hydraulic capacity by 37% and is expected to last until further maintenance is required in 2025.</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</si>
</sst>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0.0%"/>
    <numFmt numFmtId="166" formatCode="0.0,,"/>
    <numFmt numFmtId="167" formatCode="0.000"/>
    <numFmt numFmtId="168" formatCode="&quot;$&quot;#,##0"/>
    <numFmt numFmtId="169" formatCode="&quot;$&quot;0.0,,"/>
    <numFmt numFmtId="170" formatCode="_(* #,##0_);_(* \(#,##0\);_(* &quot;-&quot;??_);_(@_)"/>
    <numFmt numFmtId="171" formatCode="&quot;$&quot;#,##0.00"/>
    <numFmt numFmtId="172" formatCode="#,##0_ ;[Red]\-#,##0\ "/>
    <numFmt numFmtId="173" formatCode="0.0"/>
    <numFmt numFmtId="174" formatCode="0,,"/>
    <numFmt numFmtId="175" formatCode="0.00000%"/>
    <numFmt numFmtId="176" formatCode="_(&quot;$&quot;* #,##0_);_(&quot;$&quot;* \(#,##0\);_(&quot;$&quot;* &quot;-&quot;??_);_(@_)"/>
  </numFmts>
  <fonts count="82">
    <font>
      <sz val="11"/>
      <color theme="1"/>
      <name val="Calibri"/>
      <family val="2"/>
    </font>
    <font>
      <sz val="11"/>
      <color indexed="8"/>
      <name val="Calibri"/>
      <family val="2"/>
    </font>
    <font>
      <b/>
      <sz val="11"/>
      <color indexed="8"/>
      <name val="Calibri"/>
      <family val="2"/>
    </font>
    <font>
      <sz val="8"/>
      <name val="Tahoma"/>
      <family val="2"/>
    </font>
    <font>
      <vertAlign val="superscript"/>
      <sz val="11"/>
      <color indexed="8"/>
      <name val="Calibri"/>
      <family val="2"/>
    </font>
    <font>
      <b/>
      <i/>
      <sz val="11"/>
      <color indexed="8"/>
      <name val="Calibri"/>
      <family val="2"/>
    </font>
    <font>
      <sz val="10"/>
      <name val="Arial"/>
      <family val="2"/>
    </font>
    <font>
      <i/>
      <sz val="11"/>
      <color indexed="8"/>
      <name val="Calibri"/>
      <family val="2"/>
    </font>
    <font>
      <i/>
      <sz val="10"/>
      <name val="Arial"/>
      <family val="2"/>
    </font>
    <font>
      <b/>
      <sz val="12"/>
      <name val="Arial"/>
      <family val="2"/>
    </font>
    <font>
      <b/>
      <sz val="16"/>
      <name val="Arial"/>
      <family val="2"/>
    </font>
    <font>
      <b/>
      <sz val="12"/>
      <color indexed="12"/>
      <name val="Arial"/>
      <family val="2"/>
    </font>
    <font>
      <sz val="10"/>
      <color indexed="42"/>
      <name val="Arial"/>
      <family val="2"/>
    </font>
    <font>
      <b/>
      <sz val="11"/>
      <name val="Arial"/>
      <family val="2"/>
    </font>
    <font>
      <sz val="9"/>
      <name val="Arial"/>
      <family val="2"/>
    </font>
    <font>
      <b/>
      <sz val="9"/>
      <name val="Arial"/>
      <family val="2"/>
    </font>
    <font>
      <b/>
      <sz val="8"/>
      <name val="Arial"/>
      <family val="2"/>
    </font>
    <font>
      <vertAlign val="superscript"/>
      <sz val="9"/>
      <name val="Arial"/>
      <family val="2"/>
    </font>
    <font>
      <sz val="8"/>
      <name val="Arial"/>
      <family val="2"/>
    </font>
    <font>
      <sz val="10"/>
      <color indexed="9"/>
      <name val="Arial"/>
      <family val="2"/>
    </font>
    <font>
      <sz val="9"/>
      <color indexed="12"/>
      <name val="Arial"/>
      <family val="2"/>
    </font>
    <font>
      <vertAlign val="superscript"/>
      <sz val="8"/>
      <name val="Arial"/>
      <family val="2"/>
    </font>
    <font>
      <b/>
      <sz val="10"/>
      <name val="Arial"/>
      <family val="2"/>
    </font>
    <font>
      <sz val="8"/>
      <color indexed="57"/>
      <name val="Arial"/>
      <family val="2"/>
    </font>
    <font>
      <u val="single"/>
      <sz val="10"/>
      <color indexed="12"/>
      <name val="Arial"/>
      <family val="2"/>
    </font>
    <font>
      <b/>
      <sz val="14"/>
      <color indexed="8"/>
      <name val="Arial"/>
      <family val="2"/>
    </font>
    <font>
      <sz val="11"/>
      <color indexed="9"/>
      <name val="Calibri"/>
      <family val="2"/>
    </font>
    <font>
      <sz val="14"/>
      <name val="Arial"/>
      <family val="2"/>
    </font>
    <font>
      <sz val="10"/>
      <color indexed="57"/>
      <name val="Arial"/>
      <family val="2"/>
    </font>
    <font>
      <b/>
      <sz val="10"/>
      <color indexed="12"/>
      <name val="Arial"/>
      <family val="2"/>
    </font>
    <font>
      <b/>
      <sz val="14"/>
      <name val="Arial"/>
      <family val="2"/>
    </font>
    <font>
      <sz val="10"/>
      <color indexed="10"/>
      <name val="Arial"/>
      <family val="2"/>
    </font>
    <font>
      <sz val="12"/>
      <name val="Arial"/>
      <family val="2"/>
    </font>
    <font>
      <sz val="10"/>
      <color indexed="23"/>
      <name val="Arial"/>
      <family val="2"/>
    </font>
    <font>
      <b/>
      <sz val="10"/>
      <color indexed="55"/>
      <name val="Arial"/>
      <family val="2"/>
    </font>
    <font>
      <b/>
      <sz val="10"/>
      <color indexed="9"/>
      <name val="Arial"/>
      <family val="2"/>
    </font>
    <font>
      <b/>
      <sz val="12"/>
      <color indexed="10"/>
      <name val="Arial"/>
      <family val="2"/>
    </font>
    <font>
      <sz val="11"/>
      <color indexed="6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4.75"/>
      <color indexed="8"/>
      <name val="Arial"/>
      <family val="2"/>
    </font>
    <font>
      <sz val="10.25"/>
      <color indexed="8"/>
      <name val="Arial"/>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i/>
      <sz val="11"/>
      <color theme="1"/>
      <name val="Calibri"/>
      <family val="2"/>
    </font>
    <font>
      <i/>
      <sz val="11"/>
      <color theme="1"/>
      <name val="Calibri"/>
      <family val="2"/>
    </font>
    <font>
      <sz val="8"/>
      <color rgb="FF75923C"/>
      <name val="Arial"/>
      <family val="2"/>
    </font>
    <font>
      <b/>
      <sz val="14"/>
      <color theme="1"/>
      <name val="Arial"/>
      <family val="2"/>
    </font>
    <font>
      <sz val="10"/>
      <color rgb="FF75923C"/>
      <name val="Arial"/>
      <family val="2"/>
    </font>
    <font>
      <sz val="10"/>
      <color rgb="FFFF0000"/>
      <name val="Arial"/>
      <family val="2"/>
    </font>
    <font>
      <sz val="11"/>
      <color theme="3" tint="0.39998000860214233"/>
      <name val="Calibri"/>
      <family val="2"/>
    </font>
    <font>
      <b/>
      <sz val="14"/>
      <color rgb="FF000000"/>
      <name val="Arial"/>
      <family val="2"/>
    </font>
    <font>
      <b/>
      <sz val="12"/>
      <color rgb="FFFF0000"/>
      <name val="Arial"/>
      <family val="2"/>
    </font>
    <font>
      <sz val="10"/>
      <color theme="6" tint="-0.24997000396251678"/>
      <name val="Arial"/>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00"/>
        <bgColor indexed="64"/>
      </patternFill>
    </fill>
    <fill>
      <patternFill patternType="solid">
        <fgColor rgb="FF47EBAD"/>
        <bgColor indexed="64"/>
      </patternFill>
    </fill>
    <fill>
      <patternFill patternType="solid">
        <fgColor theme="0"/>
        <bgColor indexed="64"/>
      </patternFill>
    </fill>
    <fill>
      <patternFill patternType="solid">
        <fgColor theme="3" tint="0.5999900102615356"/>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9"/>
        <bgColor indexed="64"/>
      </patternFill>
    </fill>
    <fill>
      <patternFill patternType="solid">
        <fgColor theme="3" tint="0.7999799847602844"/>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double"/>
    </border>
    <border>
      <left style="medium">
        <color indexed="12"/>
      </left>
      <right/>
      <top style="medium">
        <color indexed="12"/>
      </top>
      <bottom/>
    </border>
    <border>
      <left/>
      <right/>
      <top style="medium">
        <color indexed="12"/>
      </top>
      <bottom/>
    </border>
    <border>
      <left/>
      <right style="medium">
        <color indexed="12"/>
      </right>
      <top style="medium">
        <color indexed="12"/>
      </top>
      <bottom/>
    </border>
    <border>
      <left/>
      <right style="medium">
        <color indexed="12"/>
      </right>
      <top/>
      <bottom/>
    </border>
    <border>
      <left style="medium">
        <color indexed="12"/>
      </left>
      <right/>
      <top/>
      <bottom/>
    </border>
    <border>
      <left/>
      <right/>
      <top/>
      <bottom style="thin">
        <color indexed="39"/>
      </bottom>
    </border>
    <border>
      <left/>
      <right/>
      <top style="thin">
        <color indexed="39"/>
      </top>
      <bottom/>
    </border>
    <border>
      <left/>
      <right/>
      <top/>
      <bottom style="thin">
        <color rgb="FF0000FF"/>
      </bottom>
    </border>
    <border>
      <left style="medium">
        <color indexed="12"/>
      </left>
      <right/>
      <top/>
      <bottom style="medium">
        <color indexed="12"/>
      </bottom>
    </border>
    <border>
      <left/>
      <right/>
      <top/>
      <bottom style="medium">
        <color indexed="12"/>
      </bottom>
    </border>
    <border>
      <left/>
      <right style="medium">
        <color indexed="12"/>
      </right>
      <top/>
      <bottom style="medium">
        <color indexed="12"/>
      </bottom>
    </border>
    <border>
      <left style="thin"/>
      <right style="thin"/>
      <top style="double"/>
      <bottom/>
    </border>
    <border>
      <left/>
      <right style="double"/>
      <top style="double"/>
      <bottom/>
    </border>
    <border>
      <left style="thin"/>
      <right style="thin"/>
      <top/>
      <bottom style="double"/>
    </border>
    <border>
      <left/>
      <right style="double"/>
      <top/>
      <bottom style="double"/>
    </border>
    <border>
      <left style="thin"/>
      <right style="thin"/>
      <top/>
      <bottom/>
    </border>
    <border>
      <left style="thin"/>
      <right style="double"/>
      <top/>
      <bottom/>
    </border>
    <border>
      <left style="thin"/>
      <right style="thin"/>
      <top style="thin"/>
      <bottom style="thin"/>
    </border>
    <border>
      <left style="thin"/>
      <right style="double"/>
      <top style="thin"/>
      <bottom style="thin"/>
    </border>
    <border>
      <left style="thin"/>
      <right style="thin"/>
      <top style="thin"/>
      <bottom/>
    </border>
    <border>
      <left style="thin"/>
      <right style="double"/>
      <top style="thin"/>
      <bottom/>
    </border>
    <border>
      <left style="thin"/>
      <right/>
      <top style="thin"/>
      <bottom/>
    </border>
    <border>
      <left style="thin"/>
      <right style="double"/>
      <top/>
      <bottom style="double"/>
    </border>
    <border>
      <left style="thin"/>
      <right/>
      <top style="thin"/>
      <bottom style="thin"/>
    </border>
    <border>
      <left/>
      <right/>
      <top style="thin"/>
      <bottom style="thin"/>
    </border>
    <border>
      <left/>
      <right style="thin"/>
      <top style="thin"/>
      <bottom style="thin"/>
    </border>
    <border>
      <left style="double"/>
      <right/>
      <top style="double"/>
      <bottom/>
    </border>
    <border>
      <left/>
      <right/>
      <top style="double"/>
      <bottom/>
    </border>
    <border>
      <left style="thin"/>
      <right style="thin"/>
      <top style="thin"/>
      <bottom style="medium"/>
    </border>
    <border>
      <left style="thin">
        <color indexed="22"/>
      </left>
      <right style="thin">
        <color indexed="22"/>
      </right>
      <top style="thin">
        <color indexed="22"/>
      </top>
      <bottom style="thin">
        <color indexed="22"/>
      </bottom>
    </border>
    <border>
      <left style="thin"/>
      <right/>
      <top/>
      <bottom/>
    </border>
    <border>
      <left style="thin"/>
      <right/>
      <top style="medium"/>
      <bottom/>
    </border>
    <border>
      <left/>
      <right style="thin"/>
      <top/>
      <bottom/>
    </border>
    <border>
      <left style="thin"/>
      <right/>
      <top/>
      <bottom style="thin"/>
    </border>
    <border>
      <left style="thin"/>
      <right style="thin"/>
      <top/>
      <bottom style="thin"/>
    </border>
    <border>
      <left style="double"/>
      <right/>
      <top/>
      <bottom/>
    </border>
    <border>
      <left/>
      <right style="double"/>
      <top/>
      <bottom/>
    </border>
    <border>
      <left style="double"/>
      <right/>
      <top/>
      <bottom style="double"/>
    </border>
    <border>
      <left style="thin"/>
      <right style="thin"/>
      <top/>
      <bottom style="medium"/>
    </border>
    <border>
      <left style="thin"/>
      <right style="double"/>
      <top>
        <color indexed="63"/>
      </top>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6"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6" fillId="0" borderId="0">
      <alignment/>
      <protection/>
    </xf>
    <xf numFmtId="0" fontId="6" fillId="0" borderId="0" applyFon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pplyFont="0" applyFill="0" applyBorder="0" applyAlignment="0" applyProtection="0"/>
    <xf numFmtId="0" fontId="6" fillId="0" borderId="0">
      <alignment/>
      <protection/>
    </xf>
    <xf numFmtId="0" fontId="6" fillId="0" borderId="0" applyFont="0" applyFill="0" applyBorder="0" applyAlignment="0" applyProtection="0"/>
    <xf numFmtId="0" fontId="6"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40">
    <xf numFmtId="0" fontId="0" fillId="0" borderId="0" xfId="0" applyFont="1" applyAlignment="1">
      <alignment/>
    </xf>
    <xf numFmtId="164" fontId="0" fillId="0" borderId="0" xfId="0" applyNumberFormat="1" applyAlignment="1">
      <alignment/>
    </xf>
    <xf numFmtId="9" fontId="0" fillId="0" borderId="0" xfId="71" applyFont="1" applyAlignment="1">
      <alignment/>
    </xf>
    <xf numFmtId="1" fontId="0" fillId="0" borderId="0" xfId="0" applyNumberFormat="1" applyAlignment="1">
      <alignment/>
    </xf>
    <xf numFmtId="2" fontId="0" fillId="0" borderId="0" xfId="0" applyNumberFormat="1" applyAlignment="1">
      <alignment/>
    </xf>
    <xf numFmtId="0" fontId="0" fillId="0" borderId="10" xfId="0" applyBorder="1" applyAlignment="1">
      <alignment/>
    </xf>
    <xf numFmtId="0" fontId="0" fillId="0" borderId="0" xfId="0" applyAlignment="1">
      <alignment horizontal="right"/>
    </xf>
    <xf numFmtId="0" fontId="69" fillId="0" borderId="0" xfId="0" applyFont="1" applyAlignment="1">
      <alignment/>
    </xf>
    <xf numFmtId="9" fontId="0" fillId="0" borderId="0" xfId="0" applyNumberFormat="1" applyAlignment="1">
      <alignment/>
    </xf>
    <xf numFmtId="165" fontId="0" fillId="0" borderId="0" xfId="71" applyNumberFormat="1" applyFont="1" applyAlignment="1">
      <alignment/>
    </xf>
    <xf numFmtId="0" fontId="0" fillId="33" borderId="0" xfId="0" applyFill="1" applyAlignment="1">
      <alignment/>
    </xf>
    <xf numFmtId="164" fontId="0" fillId="33" borderId="0" xfId="0" applyNumberFormat="1" applyFill="1" applyAlignment="1">
      <alignment/>
    </xf>
    <xf numFmtId="0" fontId="0" fillId="0" borderId="0" xfId="0" applyBorder="1" applyAlignment="1">
      <alignment/>
    </xf>
    <xf numFmtId="0" fontId="0" fillId="34" borderId="0" xfId="0" applyFill="1" applyAlignment="1">
      <alignment/>
    </xf>
    <xf numFmtId="0" fontId="0" fillId="34" borderId="0" xfId="0" applyFill="1" applyAlignment="1">
      <alignment horizontal="right"/>
    </xf>
    <xf numFmtId="164" fontId="0" fillId="34" borderId="0" xfId="0" applyNumberFormat="1" applyFill="1" applyAlignment="1">
      <alignment/>
    </xf>
    <xf numFmtId="1" fontId="0" fillId="0" borderId="0" xfId="0" applyNumberFormat="1" applyBorder="1" applyAlignment="1">
      <alignment/>
    </xf>
    <xf numFmtId="164" fontId="0" fillId="0" borderId="0" xfId="0" applyNumberFormat="1" applyFill="1" applyBorder="1" applyAlignment="1">
      <alignment/>
    </xf>
    <xf numFmtId="0" fontId="69" fillId="33" borderId="0" xfId="0" applyFont="1" applyFill="1" applyAlignment="1">
      <alignment/>
    </xf>
    <xf numFmtId="0" fontId="0" fillId="35" borderId="0" xfId="0" applyFill="1" applyAlignment="1">
      <alignment/>
    </xf>
    <xf numFmtId="0" fontId="0" fillId="0" borderId="10" xfId="0" applyBorder="1" applyAlignment="1">
      <alignment horizontal="center"/>
    </xf>
    <xf numFmtId="166" fontId="0" fillId="0" borderId="0" xfId="0" applyNumberFormat="1" applyAlignment="1">
      <alignment/>
    </xf>
    <xf numFmtId="0" fontId="71" fillId="0" borderId="0" xfId="0" applyFont="1" applyAlignment="1">
      <alignment/>
    </xf>
    <xf numFmtId="164" fontId="0" fillId="0" borderId="11" xfId="0" applyNumberFormat="1" applyBorder="1" applyAlignment="1">
      <alignment/>
    </xf>
    <xf numFmtId="0" fontId="0" fillId="36" borderId="10" xfId="0" applyFill="1" applyBorder="1" applyAlignment="1">
      <alignment/>
    </xf>
    <xf numFmtId="164" fontId="0" fillId="0" borderId="10" xfId="0" applyNumberFormat="1" applyBorder="1" applyAlignment="1">
      <alignment/>
    </xf>
    <xf numFmtId="9" fontId="0" fillId="0" borderId="10" xfId="0" applyNumberFormat="1" applyBorder="1" applyAlignment="1">
      <alignment/>
    </xf>
    <xf numFmtId="0" fontId="69" fillId="34" borderId="0" xfId="0" applyFont="1" applyFill="1" applyAlignment="1">
      <alignment/>
    </xf>
    <xf numFmtId="0" fontId="0" fillId="34" borderId="10" xfId="0" applyFill="1" applyBorder="1" applyAlignment="1">
      <alignment/>
    </xf>
    <xf numFmtId="164" fontId="0" fillId="34" borderId="10" xfId="0" applyNumberFormat="1" applyFill="1" applyBorder="1" applyAlignment="1">
      <alignment/>
    </xf>
    <xf numFmtId="166" fontId="0" fillId="34" borderId="0" xfId="0" applyNumberFormat="1" applyFill="1" applyBorder="1" applyAlignment="1">
      <alignment/>
    </xf>
    <xf numFmtId="1" fontId="0" fillId="33" borderId="0" xfId="0" applyNumberFormat="1" applyFill="1" applyAlignment="1">
      <alignment/>
    </xf>
    <xf numFmtId="167" fontId="0" fillId="0" borderId="0" xfId="0" applyNumberFormat="1" applyAlignment="1">
      <alignment/>
    </xf>
    <xf numFmtId="0" fontId="6" fillId="0" borderId="10" xfId="0" applyFont="1" applyBorder="1" applyAlignment="1">
      <alignment horizontal="center"/>
    </xf>
    <xf numFmtId="16" fontId="6" fillId="0" borderId="10" xfId="0" applyNumberFormat="1" applyFont="1" applyBorder="1" applyAlignment="1" quotePrefix="1">
      <alignment horizontal="center"/>
    </xf>
    <xf numFmtId="10" fontId="0" fillId="0" borderId="0" xfId="0" applyNumberFormat="1" applyFill="1" applyBorder="1" applyAlignment="1">
      <alignment/>
    </xf>
    <xf numFmtId="9" fontId="0" fillId="0" borderId="0" xfId="71" applyFont="1" applyFill="1" applyBorder="1" applyAlignment="1">
      <alignment/>
    </xf>
    <xf numFmtId="0" fontId="6" fillId="0" borderId="0" xfId="0" applyFont="1" applyAlignment="1">
      <alignment/>
    </xf>
    <xf numFmtId="9" fontId="72" fillId="0" borderId="0" xfId="71" applyFont="1" applyAlignment="1">
      <alignment/>
    </xf>
    <xf numFmtId="0" fontId="8" fillId="0" borderId="0" xfId="0" applyFont="1" applyAlignment="1">
      <alignment/>
    </xf>
    <xf numFmtId="0" fontId="6" fillId="0" borderId="10" xfId="0" applyFont="1" applyBorder="1" applyAlignment="1">
      <alignment horizontal="right"/>
    </xf>
    <xf numFmtId="1" fontId="6" fillId="0" borderId="0" xfId="0" applyNumberFormat="1" applyFont="1" applyAlignment="1">
      <alignment/>
    </xf>
    <xf numFmtId="0" fontId="6" fillId="37" borderId="0" xfId="65" applyFont="1" applyFill="1" applyAlignment="1">
      <alignment/>
    </xf>
    <xf numFmtId="0" fontId="6" fillId="37" borderId="0" xfId="65" applyFont="1" applyFill="1" applyBorder="1" applyAlignment="1">
      <alignment/>
    </xf>
    <xf numFmtId="0" fontId="6" fillId="0" borderId="0" xfId="60">
      <alignment/>
      <protection/>
    </xf>
    <xf numFmtId="0" fontId="9" fillId="37" borderId="0" xfId="65" applyFont="1" applyFill="1" applyBorder="1" applyAlignment="1">
      <alignment/>
    </xf>
    <xf numFmtId="0" fontId="11" fillId="37" borderId="0" xfId="65" applyFont="1" applyFill="1" applyBorder="1" applyAlignment="1">
      <alignment/>
    </xf>
    <xf numFmtId="0" fontId="12" fillId="37" borderId="0" xfId="65" applyFont="1" applyFill="1" applyBorder="1" applyAlignment="1">
      <alignment/>
    </xf>
    <xf numFmtId="0" fontId="13" fillId="37" borderId="0" xfId="65" applyFont="1" applyFill="1" applyBorder="1" applyAlignment="1">
      <alignment horizontal="right"/>
    </xf>
    <xf numFmtId="0" fontId="6" fillId="37" borderId="12" xfId="65" applyFont="1" applyFill="1" applyBorder="1" applyAlignment="1">
      <alignment/>
    </xf>
    <xf numFmtId="0" fontId="14" fillId="37" borderId="13" xfId="65" applyFont="1" applyFill="1" applyBorder="1" applyAlignment="1">
      <alignment wrapText="1"/>
    </xf>
    <xf numFmtId="168" fontId="14" fillId="37" borderId="13" xfId="65" applyNumberFormat="1" applyFont="1" applyFill="1" applyBorder="1" applyAlignment="1">
      <alignment horizontal="right" wrapText="1"/>
    </xf>
    <xf numFmtId="0" fontId="6" fillId="37" borderId="13" xfId="65" applyFont="1" applyFill="1" applyBorder="1" applyAlignment="1">
      <alignment/>
    </xf>
    <xf numFmtId="0" fontId="6" fillId="37" borderId="14" xfId="65" applyFont="1" applyFill="1" applyBorder="1" applyAlignment="1">
      <alignment/>
    </xf>
    <xf numFmtId="0" fontId="14" fillId="37" borderId="0" xfId="65" applyFont="1" applyFill="1" applyBorder="1" applyAlignment="1">
      <alignment wrapText="1"/>
    </xf>
    <xf numFmtId="168" fontId="14" fillId="37" borderId="0" xfId="65" applyNumberFormat="1" applyFont="1" applyFill="1" applyBorder="1" applyAlignment="1">
      <alignment horizontal="right" wrapText="1"/>
    </xf>
    <xf numFmtId="0" fontId="6" fillId="37" borderId="15" xfId="65" applyFont="1" applyFill="1" applyBorder="1" applyAlignment="1">
      <alignment/>
    </xf>
    <xf numFmtId="0" fontId="6" fillId="37" borderId="16" xfId="65" applyFont="1" applyFill="1" applyBorder="1" applyAlignment="1">
      <alignment/>
    </xf>
    <xf numFmtId="0" fontId="15" fillId="37" borderId="0" xfId="65" applyFont="1" applyFill="1" applyBorder="1" applyAlignment="1">
      <alignment wrapText="1"/>
    </xf>
    <xf numFmtId="169" fontId="15" fillId="37" borderId="0" xfId="65" applyNumberFormat="1" applyFont="1" applyFill="1" applyBorder="1" applyAlignment="1">
      <alignment horizontal="center" wrapText="1"/>
    </xf>
    <xf numFmtId="0" fontId="14" fillId="37" borderId="0" xfId="65" applyFont="1" applyFill="1" applyBorder="1" applyAlignment="1">
      <alignment/>
    </xf>
    <xf numFmtId="165" fontId="15" fillId="37" borderId="0" xfId="72" applyNumberFormat="1" applyFont="1" applyFill="1" applyBorder="1" applyAlignment="1">
      <alignment horizontal="center" wrapText="1"/>
    </xf>
    <xf numFmtId="0" fontId="15" fillId="37" borderId="0" xfId="61" applyFont="1" applyFill="1" applyBorder="1" applyAlignment="1">
      <alignment wrapText="1"/>
    </xf>
    <xf numFmtId="0" fontId="15" fillId="37" borderId="0" xfId="65" applyFont="1" applyFill="1" applyBorder="1" applyAlignment="1">
      <alignment/>
    </xf>
    <xf numFmtId="0" fontId="15" fillId="37" borderId="17" xfId="65" applyFont="1" applyFill="1" applyBorder="1" applyAlignment="1">
      <alignment/>
    </xf>
    <xf numFmtId="0" fontId="15" fillId="37" borderId="17" xfId="65" applyFont="1" applyFill="1" applyBorder="1" applyAlignment="1">
      <alignment horizontal="center"/>
    </xf>
    <xf numFmtId="0" fontId="15" fillId="37" borderId="17" xfId="65" applyFont="1" applyFill="1" applyBorder="1" applyAlignment="1">
      <alignment horizontal="right"/>
    </xf>
    <xf numFmtId="0" fontId="15" fillId="37" borderId="18" xfId="65" applyFont="1" applyFill="1" applyBorder="1" applyAlignment="1">
      <alignment/>
    </xf>
    <xf numFmtId="0" fontId="15" fillId="37" borderId="18" xfId="65" applyFont="1" applyFill="1" applyBorder="1" applyAlignment="1">
      <alignment horizontal="center"/>
    </xf>
    <xf numFmtId="0" fontId="15" fillId="37" borderId="18" xfId="65" applyFont="1" applyFill="1" applyBorder="1" applyAlignment="1">
      <alignment horizontal="right"/>
    </xf>
    <xf numFmtId="3" fontId="14" fillId="37" borderId="0" xfId="65" applyNumberFormat="1" applyFont="1" applyFill="1" applyBorder="1" applyAlignment="1">
      <alignment horizontal="center" wrapText="1"/>
    </xf>
    <xf numFmtId="0" fontId="14" fillId="37" borderId="0" xfId="65" applyFont="1" applyFill="1" applyBorder="1" applyAlignment="1">
      <alignment horizontal="right" indent="2"/>
    </xf>
    <xf numFmtId="0" fontId="15" fillId="37" borderId="0" xfId="65" applyFont="1" applyFill="1" applyBorder="1" applyAlignment="1">
      <alignment horizontal="right" wrapText="1" indent="1"/>
    </xf>
    <xf numFmtId="3" fontId="14" fillId="37" borderId="0" xfId="61" applyNumberFormat="1" applyFont="1" applyFill="1" applyAlignment="1">
      <alignment horizontal="center"/>
    </xf>
    <xf numFmtId="170" fontId="14" fillId="37" borderId="0" xfId="44" applyNumberFormat="1" applyFont="1" applyFill="1" applyBorder="1" applyAlignment="1">
      <alignment horizontal="right" wrapText="1" indent="1"/>
    </xf>
    <xf numFmtId="0" fontId="14" fillId="37" borderId="0" xfId="65" applyFont="1" applyFill="1" applyBorder="1" applyAlignment="1">
      <alignment horizontal="right" indent="1"/>
    </xf>
    <xf numFmtId="3" fontId="14" fillId="37" borderId="0" xfId="65" applyNumberFormat="1" applyFont="1" applyFill="1" applyBorder="1" applyAlignment="1">
      <alignment horizontal="right" indent="2"/>
    </xf>
    <xf numFmtId="9" fontId="14" fillId="37" borderId="0" xfId="65" applyNumberFormat="1" applyFont="1" applyFill="1" applyBorder="1" applyAlignment="1">
      <alignment horizontal="center" wrapText="1"/>
    </xf>
    <xf numFmtId="9" fontId="6" fillId="37" borderId="15" xfId="65" applyNumberFormat="1" applyFont="1" applyFill="1" applyBorder="1" applyAlignment="1">
      <alignment/>
    </xf>
    <xf numFmtId="0" fontId="14" fillId="37" borderId="17" xfId="65" applyFont="1" applyFill="1" applyBorder="1" applyAlignment="1">
      <alignment wrapText="1"/>
    </xf>
    <xf numFmtId="0" fontId="14" fillId="37" borderId="17" xfId="65" applyFont="1" applyFill="1" applyBorder="1" applyAlignment="1">
      <alignment horizontal="right" indent="2"/>
    </xf>
    <xf numFmtId="9" fontId="14" fillId="37" borderId="17" xfId="72" applyFont="1" applyFill="1" applyBorder="1" applyAlignment="1">
      <alignment horizontal="center" wrapText="1"/>
    </xf>
    <xf numFmtId="0" fontId="19" fillId="37" borderId="16" xfId="65" applyFont="1" applyFill="1" applyBorder="1" applyAlignment="1">
      <alignment/>
    </xf>
    <xf numFmtId="0" fontId="14" fillId="37" borderId="18" xfId="65" applyFont="1" applyFill="1" applyBorder="1" applyAlignment="1">
      <alignment/>
    </xf>
    <xf numFmtId="0" fontId="20" fillId="37" borderId="18" xfId="65" applyFont="1" applyFill="1" applyBorder="1" applyAlignment="1">
      <alignment horizontal="right" indent="2"/>
    </xf>
    <xf numFmtId="0" fontId="20" fillId="37" borderId="18" xfId="65" applyFont="1" applyFill="1" applyBorder="1" applyAlignment="1">
      <alignment horizontal="center"/>
    </xf>
    <xf numFmtId="9" fontId="20" fillId="37" borderId="18" xfId="72" applyFont="1" applyFill="1" applyBorder="1" applyAlignment="1">
      <alignment horizontal="center"/>
    </xf>
    <xf numFmtId="0" fontId="14" fillId="37" borderId="0" xfId="61" applyFont="1" applyFill="1" applyBorder="1" applyAlignment="1">
      <alignment wrapText="1"/>
    </xf>
    <xf numFmtId="168" fontId="14" fillId="37" borderId="0" xfId="65" applyNumberFormat="1" applyFont="1" applyFill="1" applyBorder="1" applyAlignment="1">
      <alignment horizontal="center" vertical="center"/>
    </xf>
    <xf numFmtId="0" fontId="14" fillId="37" borderId="0" xfId="65" applyFont="1" applyFill="1" applyBorder="1" applyAlignment="1">
      <alignment horizontal="left" vertical="center" indent="2"/>
    </xf>
    <xf numFmtId="171" fontId="6" fillId="37" borderId="15" xfId="65" applyNumberFormat="1" applyFont="1" applyFill="1" applyBorder="1" applyAlignment="1">
      <alignment/>
    </xf>
    <xf numFmtId="0" fontId="14" fillId="37" borderId="17" xfId="61" applyFont="1" applyFill="1" applyBorder="1" applyAlignment="1">
      <alignment/>
    </xf>
    <xf numFmtId="9" fontId="14" fillId="37" borderId="17" xfId="72" applyNumberFormat="1" applyFont="1" applyFill="1" applyBorder="1" applyAlignment="1">
      <alignment horizontal="center" vertical="center"/>
    </xf>
    <xf numFmtId="0" fontId="20" fillId="37" borderId="17" xfId="65" applyFont="1" applyFill="1" applyBorder="1" applyAlignment="1">
      <alignment horizontal="right" indent="2"/>
    </xf>
    <xf numFmtId="0" fontId="14" fillId="37" borderId="18" xfId="65" applyFont="1" applyFill="1" applyBorder="1" applyAlignment="1">
      <alignment wrapText="1"/>
    </xf>
    <xf numFmtId="9" fontId="20" fillId="37" borderId="18" xfId="65" applyNumberFormat="1" applyFont="1" applyFill="1" applyBorder="1" applyAlignment="1">
      <alignment horizontal="center"/>
    </xf>
    <xf numFmtId="1" fontId="20" fillId="37" borderId="17" xfId="65" applyNumberFormat="1" applyFont="1" applyFill="1" applyBorder="1" applyAlignment="1">
      <alignment horizontal="right" indent="2"/>
    </xf>
    <xf numFmtId="0" fontId="20" fillId="37" borderId="17" xfId="65" applyFont="1" applyFill="1" applyBorder="1" applyAlignment="1">
      <alignment horizontal="center"/>
    </xf>
    <xf numFmtId="0" fontId="20" fillId="37" borderId="0" xfId="65" applyFont="1" applyFill="1" applyBorder="1" applyAlignment="1">
      <alignment horizontal="right" indent="2"/>
    </xf>
    <xf numFmtId="0" fontId="20" fillId="37" borderId="0" xfId="65" applyFont="1" applyFill="1" applyBorder="1" applyAlignment="1">
      <alignment horizontal="center"/>
    </xf>
    <xf numFmtId="0" fontId="6" fillId="37" borderId="16" xfId="61" applyFill="1" applyBorder="1" applyAlignment="1">
      <alignment/>
    </xf>
    <xf numFmtId="0" fontId="14" fillId="37" borderId="19" xfId="61" applyFont="1" applyFill="1" applyBorder="1" applyAlignment="1">
      <alignment/>
    </xf>
    <xf numFmtId="2" fontId="14" fillId="37" borderId="19" xfId="61" applyNumberFormat="1" applyFont="1" applyFill="1" applyBorder="1" applyAlignment="1">
      <alignment horizontal="center" vertical="center"/>
    </xf>
    <xf numFmtId="2" fontId="20" fillId="37" borderId="19" xfId="61" applyNumberFormat="1" applyFont="1" applyFill="1" applyBorder="1" applyAlignment="1">
      <alignment horizontal="center"/>
    </xf>
    <xf numFmtId="2" fontId="14" fillId="37" borderId="17" xfId="47" applyNumberFormat="1" applyFont="1" applyFill="1" applyBorder="1" applyAlignment="1">
      <alignment horizontal="center"/>
    </xf>
    <xf numFmtId="0" fontId="6" fillId="37" borderId="15" xfId="61" applyFill="1" applyBorder="1" applyAlignment="1">
      <alignment/>
    </xf>
    <xf numFmtId="168" fontId="6" fillId="37" borderId="0" xfId="65" applyNumberFormat="1" applyFont="1" applyFill="1" applyAlignment="1">
      <alignment/>
    </xf>
    <xf numFmtId="0" fontId="6" fillId="37" borderId="16" xfId="60" applyFill="1" applyBorder="1">
      <alignment/>
      <protection/>
    </xf>
    <xf numFmtId="0" fontId="14" fillId="37" borderId="18" xfId="60" applyFont="1" applyFill="1" applyBorder="1" applyAlignment="1">
      <alignment wrapText="1"/>
      <protection/>
    </xf>
    <xf numFmtId="0" fontId="20" fillId="37" borderId="18" xfId="60" applyFont="1" applyFill="1" applyBorder="1" applyAlignment="1">
      <alignment horizontal="center" vertical="center"/>
      <protection/>
    </xf>
    <xf numFmtId="9" fontId="20" fillId="37" borderId="18" xfId="60" applyNumberFormat="1" applyFont="1" applyFill="1" applyBorder="1" applyAlignment="1">
      <alignment horizontal="center" vertical="center"/>
      <protection/>
    </xf>
    <xf numFmtId="0" fontId="6" fillId="37" borderId="15" xfId="60" applyFill="1" applyBorder="1">
      <alignment/>
      <protection/>
    </xf>
    <xf numFmtId="0" fontId="15" fillId="37" borderId="0" xfId="60" applyFont="1" applyFill="1" applyBorder="1" applyAlignment="1">
      <alignment wrapText="1"/>
      <protection/>
    </xf>
    <xf numFmtId="9" fontId="14" fillId="0" borderId="0" xfId="72" applyFont="1" applyFill="1" applyBorder="1" applyAlignment="1">
      <alignment horizontal="center" vertical="center"/>
    </xf>
    <xf numFmtId="44" fontId="14" fillId="37" borderId="0" xfId="47" applyFont="1" applyFill="1" applyBorder="1" applyAlignment="1">
      <alignment horizontal="center" vertical="center"/>
    </xf>
    <xf numFmtId="7" fontId="14" fillId="37" borderId="0" xfId="47" applyNumberFormat="1" applyFont="1" applyFill="1" applyBorder="1" applyAlignment="1">
      <alignment horizontal="center" vertical="center" wrapText="1"/>
    </xf>
    <xf numFmtId="0" fontId="14" fillId="37" borderId="0" xfId="60" applyFont="1" applyFill="1" applyBorder="1" applyAlignment="1">
      <alignment wrapText="1"/>
      <protection/>
    </xf>
    <xf numFmtId="7" fontId="14" fillId="37" borderId="0" xfId="47" applyNumberFormat="1" applyFont="1" applyFill="1" applyBorder="1" applyAlignment="1">
      <alignment horizontal="center" vertical="center"/>
    </xf>
    <xf numFmtId="168" fontId="14" fillId="37" borderId="0" xfId="61" applyNumberFormat="1" applyFont="1" applyFill="1" applyBorder="1" applyAlignment="1">
      <alignment horizontal="center" wrapText="1"/>
    </xf>
    <xf numFmtId="44" fontId="14" fillId="37" borderId="0" xfId="47" applyFont="1" applyFill="1" applyBorder="1" applyAlignment="1">
      <alignment horizontal="right" indent="2"/>
    </xf>
    <xf numFmtId="7" fontId="14" fillId="37" borderId="0" xfId="47" applyNumberFormat="1" applyFont="1" applyFill="1" applyBorder="1" applyAlignment="1">
      <alignment horizontal="right" wrapText="1" indent="1"/>
    </xf>
    <xf numFmtId="0" fontId="14" fillId="37" borderId="0" xfId="61" applyFont="1" applyFill="1" applyBorder="1" applyAlignment="1">
      <alignment/>
    </xf>
    <xf numFmtId="7" fontId="6" fillId="37" borderId="0" xfId="61" applyNumberFormat="1" applyFill="1" applyAlignment="1">
      <alignment/>
    </xf>
    <xf numFmtId="3" fontId="14" fillId="37" borderId="0" xfId="44" applyNumberFormat="1" applyFont="1" applyFill="1" applyBorder="1" applyAlignment="1">
      <alignment horizontal="center" wrapText="1"/>
    </xf>
    <xf numFmtId="0" fontId="6" fillId="37" borderId="0" xfId="60" applyFill="1">
      <alignment/>
      <protection/>
    </xf>
    <xf numFmtId="168" fontId="14" fillId="37" borderId="0" xfId="61" applyNumberFormat="1" applyFont="1" applyFill="1" applyBorder="1" applyAlignment="1">
      <alignment horizontal="right" wrapText="1"/>
    </xf>
    <xf numFmtId="171" fontId="6" fillId="37" borderId="0" xfId="60" applyNumberFormat="1" applyFill="1">
      <alignment/>
      <protection/>
    </xf>
    <xf numFmtId="0" fontId="18" fillId="37" borderId="0" xfId="61" applyFont="1" applyFill="1" applyBorder="1" applyAlignment="1">
      <alignment/>
    </xf>
    <xf numFmtId="0" fontId="14" fillId="37" borderId="0" xfId="61" applyFont="1" applyFill="1" applyBorder="1" applyAlignment="1">
      <alignment/>
    </xf>
    <xf numFmtId="9" fontId="14" fillId="37" borderId="0" xfId="61" applyNumberFormat="1" applyFont="1" applyFill="1" applyBorder="1" applyAlignment="1">
      <alignment wrapText="1"/>
    </xf>
    <xf numFmtId="171" fontId="6" fillId="37" borderId="0" xfId="61" applyNumberFormat="1" applyFill="1" applyAlignment="1">
      <alignment/>
    </xf>
    <xf numFmtId="0" fontId="21" fillId="37" borderId="0" xfId="61" applyFont="1" applyFill="1" applyBorder="1" applyAlignment="1">
      <alignment horizontal="left"/>
    </xf>
    <xf numFmtId="0" fontId="6" fillId="37" borderId="0" xfId="61" applyFill="1" applyBorder="1" applyAlignment="1">
      <alignment/>
    </xf>
    <xf numFmtId="0" fontId="21" fillId="37" borderId="0" xfId="61" applyFont="1" applyFill="1" applyBorder="1" applyAlignment="1">
      <alignment/>
    </xf>
    <xf numFmtId="0" fontId="6" fillId="37" borderId="20" xfId="65" applyFont="1" applyFill="1" applyBorder="1" applyAlignment="1">
      <alignment/>
    </xf>
    <xf numFmtId="0" fontId="21" fillId="37" borderId="21" xfId="61" applyFont="1" applyFill="1" applyBorder="1" applyAlignment="1">
      <alignment/>
    </xf>
    <xf numFmtId="0" fontId="6" fillId="37" borderId="21" xfId="61" applyFill="1" applyBorder="1" applyAlignment="1">
      <alignment/>
    </xf>
    <xf numFmtId="0" fontId="6" fillId="37" borderId="22" xfId="65" applyFont="1" applyFill="1" applyBorder="1" applyAlignment="1">
      <alignment/>
    </xf>
    <xf numFmtId="0" fontId="22" fillId="0" borderId="0" xfId="0" applyFont="1" applyAlignment="1">
      <alignment/>
    </xf>
    <xf numFmtId="0" fontId="22" fillId="0" borderId="0" xfId="0" applyFont="1" applyFill="1" applyAlignment="1">
      <alignment/>
    </xf>
    <xf numFmtId="172" fontId="22" fillId="0" borderId="0" xfId="0" applyNumberFormat="1" applyFont="1" applyAlignment="1">
      <alignment/>
    </xf>
    <xf numFmtId="173" fontId="0" fillId="0" borderId="0" xfId="0" applyNumberFormat="1" applyAlignment="1">
      <alignment/>
    </xf>
    <xf numFmtId="174" fontId="0" fillId="0" borderId="0" xfId="0" applyNumberFormat="1" applyAlignment="1">
      <alignment/>
    </xf>
    <xf numFmtId="0" fontId="0" fillId="38" borderId="10" xfId="0" applyFill="1" applyBorder="1" applyAlignment="1">
      <alignment/>
    </xf>
    <xf numFmtId="1" fontId="0" fillId="38" borderId="0" xfId="0" applyNumberFormat="1" applyFill="1" applyAlignment="1">
      <alignment/>
    </xf>
    <xf numFmtId="165" fontId="6" fillId="0" borderId="0" xfId="71" applyNumberFormat="1" applyFont="1" applyAlignment="1">
      <alignment/>
    </xf>
    <xf numFmtId="165" fontId="0" fillId="0" borderId="0" xfId="0" applyNumberFormat="1" applyAlignment="1">
      <alignment/>
    </xf>
    <xf numFmtId="0" fontId="0" fillId="0" borderId="0" xfId="0" applyAlignment="1">
      <alignment horizontal="left"/>
    </xf>
    <xf numFmtId="0" fontId="0" fillId="0" borderId="0" xfId="0" applyAlignment="1">
      <alignment horizontal="left" wrapText="1"/>
    </xf>
    <xf numFmtId="175" fontId="0" fillId="0" borderId="0" xfId="71" applyNumberFormat="1" applyFont="1" applyAlignment="1">
      <alignment/>
    </xf>
    <xf numFmtId="167" fontId="0" fillId="0" borderId="0" xfId="71" applyNumberFormat="1" applyFont="1" applyAlignment="1">
      <alignment/>
    </xf>
    <xf numFmtId="0" fontId="6" fillId="0" borderId="0" xfId="62">
      <alignment/>
      <protection/>
    </xf>
    <xf numFmtId="0" fontId="73" fillId="0" borderId="0" xfId="62" applyFont="1" applyAlignment="1">
      <alignment horizontal="right"/>
      <protection/>
    </xf>
    <xf numFmtId="0" fontId="10" fillId="0" borderId="0" xfId="62" applyFont="1" applyAlignment="1">
      <alignment vertical="center"/>
      <protection/>
    </xf>
    <xf numFmtId="0" fontId="6" fillId="0" borderId="23" xfId="62" applyFont="1" applyBorder="1" applyAlignment="1">
      <alignment vertical="center" wrapText="1"/>
      <protection/>
    </xf>
    <xf numFmtId="0" fontId="6" fillId="0" borderId="24" xfId="62" applyFont="1" applyBorder="1" applyAlignment="1">
      <alignment horizontal="center" vertical="center" wrapText="1"/>
      <protection/>
    </xf>
    <xf numFmtId="0" fontId="6" fillId="0" borderId="25" xfId="62" applyFont="1" applyBorder="1" applyAlignment="1">
      <alignment vertical="center" wrapText="1"/>
      <protection/>
    </xf>
    <xf numFmtId="0" fontId="6" fillId="0" borderId="26" xfId="62" applyFont="1" applyBorder="1" applyAlignment="1">
      <alignment horizontal="center" vertical="center" wrapText="1"/>
      <protection/>
    </xf>
    <xf numFmtId="0" fontId="6" fillId="0" borderId="27" xfId="62" applyFont="1" applyBorder="1" applyAlignment="1">
      <alignment horizontal="left" vertical="center" wrapText="1"/>
      <protection/>
    </xf>
    <xf numFmtId="0" fontId="6" fillId="0" borderId="28" xfId="62" applyFont="1" applyBorder="1" applyAlignment="1">
      <alignment horizontal="left" vertical="center" wrapText="1"/>
      <protection/>
    </xf>
    <xf numFmtId="0" fontId="6" fillId="0" borderId="29" xfId="62" applyFont="1" applyBorder="1" applyAlignment="1">
      <alignment horizontal="left" vertical="center" wrapText="1"/>
      <protection/>
    </xf>
    <xf numFmtId="14" fontId="6" fillId="0" borderId="30" xfId="62" applyNumberFormat="1" applyFont="1" applyBorder="1" applyAlignment="1">
      <alignment horizontal="left" vertical="center" wrapText="1"/>
      <protection/>
    </xf>
    <xf numFmtId="0" fontId="6" fillId="0" borderId="31" xfId="62" applyFont="1" applyBorder="1" applyAlignment="1">
      <alignment horizontal="left" vertical="center" wrapText="1"/>
      <protection/>
    </xf>
    <xf numFmtId="0" fontId="6" fillId="0" borderId="32" xfId="62" applyFont="1" applyBorder="1" applyAlignment="1">
      <alignment horizontal="left" vertical="center" wrapText="1"/>
      <protection/>
    </xf>
    <xf numFmtId="0" fontId="6" fillId="0" borderId="33" xfId="62" applyFont="1" applyBorder="1" applyAlignment="1">
      <alignment vertical="center" wrapText="1"/>
      <protection/>
    </xf>
    <xf numFmtId="0" fontId="6" fillId="0" borderId="30" xfId="62" applyFont="1" applyBorder="1" applyAlignment="1">
      <alignment vertical="center" wrapText="1"/>
      <protection/>
    </xf>
    <xf numFmtId="0" fontId="6" fillId="0" borderId="29" xfId="62" applyFont="1" applyFill="1" applyBorder="1" applyAlignment="1">
      <alignment horizontal="left" vertical="center" wrapText="1"/>
      <protection/>
    </xf>
    <xf numFmtId="0" fontId="6" fillId="0" borderId="31" xfId="62" applyFont="1" applyFill="1" applyBorder="1" applyAlignment="1">
      <alignment horizontal="left" vertical="top" wrapText="1"/>
      <protection/>
    </xf>
    <xf numFmtId="0" fontId="6" fillId="0" borderId="32" xfId="62" applyFont="1" applyBorder="1" applyAlignment="1">
      <alignment horizontal="left" vertical="top" wrapText="1"/>
      <protection/>
    </xf>
    <xf numFmtId="0" fontId="6" fillId="0" borderId="27" xfId="62" applyBorder="1">
      <alignment/>
      <protection/>
    </xf>
    <xf numFmtId="0" fontId="63" fillId="0" borderId="28" xfId="54" applyBorder="1" applyAlignment="1" applyProtection="1">
      <alignment/>
      <protection/>
    </xf>
    <xf numFmtId="0" fontId="6" fillId="0" borderId="28" xfId="62" applyFont="1" applyBorder="1" applyAlignment="1">
      <alignment vertical="top" wrapText="1"/>
      <protection/>
    </xf>
    <xf numFmtId="0" fontId="0" fillId="0" borderId="27" xfId="0" applyBorder="1" applyAlignment="1">
      <alignment/>
    </xf>
    <xf numFmtId="0" fontId="0" fillId="0" borderId="28" xfId="0" applyBorder="1" applyAlignment="1">
      <alignment wrapText="1"/>
    </xf>
    <xf numFmtId="0" fontId="0" fillId="0" borderId="28" xfId="0" applyBorder="1" applyAlignment="1">
      <alignment/>
    </xf>
    <xf numFmtId="0" fontId="6" fillId="0" borderId="28" xfId="0" applyFont="1" applyBorder="1" applyAlignment="1">
      <alignment/>
    </xf>
    <xf numFmtId="0" fontId="0" fillId="0" borderId="25" xfId="0" applyBorder="1" applyAlignment="1">
      <alignment/>
    </xf>
    <xf numFmtId="0" fontId="6" fillId="0" borderId="34" xfId="0" applyFont="1" applyBorder="1" applyAlignment="1">
      <alignment/>
    </xf>
    <xf numFmtId="0" fontId="6" fillId="0" borderId="30" xfId="62" applyNumberFormat="1" applyFont="1" applyBorder="1" applyAlignment="1">
      <alignment vertical="center" wrapText="1"/>
      <protection/>
    </xf>
    <xf numFmtId="0" fontId="0" fillId="35" borderId="0" xfId="0" applyFill="1" applyAlignment="1">
      <alignment horizontal="right"/>
    </xf>
    <xf numFmtId="165" fontId="0" fillId="35" borderId="0" xfId="0" applyNumberFormat="1" applyFill="1" applyAlignment="1">
      <alignment/>
    </xf>
    <xf numFmtId="164" fontId="0" fillId="37" borderId="0" xfId="0" applyNumberFormat="1" applyFill="1" applyAlignment="1">
      <alignment/>
    </xf>
    <xf numFmtId="0" fontId="69" fillId="35" borderId="35" xfId="0" applyFont="1" applyFill="1" applyBorder="1" applyAlignment="1">
      <alignment/>
    </xf>
    <xf numFmtId="0" fontId="69" fillId="35" borderId="36" xfId="0" applyFont="1" applyFill="1" applyBorder="1" applyAlignment="1">
      <alignment horizontal="right"/>
    </xf>
    <xf numFmtId="165" fontId="69" fillId="35" borderId="37" xfId="0" applyNumberFormat="1" applyFont="1" applyFill="1" applyBorder="1" applyAlignment="1">
      <alignment/>
    </xf>
    <xf numFmtId="0" fontId="74" fillId="0" borderId="0" xfId="0" applyFont="1" applyAlignment="1">
      <alignment horizontal="center"/>
    </xf>
    <xf numFmtId="0" fontId="75" fillId="0" borderId="0" xfId="62" applyFont="1" applyAlignment="1">
      <alignment horizontal="right"/>
      <protection/>
    </xf>
    <xf numFmtId="0" fontId="54" fillId="0" borderId="0" xfId="0" applyFont="1" applyAlignment="1">
      <alignment/>
    </xf>
    <xf numFmtId="1" fontId="54" fillId="0" borderId="0" xfId="0" applyNumberFormat="1" applyFont="1" applyAlignment="1">
      <alignment/>
    </xf>
    <xf numFmtId="9" fontId="0" fillId="37" borderId="0" xfId="71" applyFont="1" applyFill="1" applyAlignment="1">
      <alignment/>
    </xf>
    <xf numFmtId="0" fontId="69" fillId="37" borderId="0" xfId="0" applyFont="1" applyFill="1" applyAlignment="1">
      <alignment/>
    </xf>
    <xf numFmtId="0" fontId="0" fillId="37" borderId="0" xfId="0" applyFill="1" applyAlignment="1">
      <alignment/>
    </xf>
    <xf numFmtId="0" fontId="0" fillId="0" borderId="0" xfId="0" applyFill="1" applyAlignment="1">
      <alignment/>
    </xf>
    <xf numFmtId="164" fontId="0" fillId="0" borderId="0" xfId="0" applyNumberFormat="1" applyFill="1" applyAlignment="1">
      <alignment/>
    </xf>
    <xf numFmtId="0" fontId="0" fillId="0" borderId="0" xfId="0" applyFill="1" applyAlignment="1">
      <alignment horizontal="right"/>
    </xf>
    <xf numFmtId="1" fontId="0" fillId="0" borderId="0" xfId="0" applyNumberFormat="1" applyFill="1" applyAlignment="1">
      <alignment/>
    </xf>
    <xf numFmtId="9" fontId="0" fillId="0" borderId="0" xfId="71" applyFont="1" applyFill="1" applyAlignment="1">
      <alignment/>
    </xf>
    <xf numFmtId="9" fontId="72" fillId="0" borderId="0" xfId="71" applyFont="1" applyFill="1" applyAlignment="1">
      <alignment/>
    </xf>
    <xf numFmtId="167" fontId="0" fillId="0" borderId="0" xfId="71" applyNumberFormat="1" applyFont="1" applyFill="1" applyAlignment="1">
      <alignment/>
    </xf>
    <xf numFmtId="0" fontId="69" fillId="0" borderId="0" xfId="0" applyFont="1" applyFill="1" applyAlignment="1">
      <alignment/>
    </xf>
    <xf numFmtId="164" fontId="0" fillId="0" borderId="10" xfId="0" applyNumberFormat="1" applyFill="1" applyBorder="1" applyAlignment="1">
      <alignment/>
    </xf>
    <xf numFmtId="0" fontId="0" fillId="0" borderId="10" xfId="0" applyFill="1" applyBorder="1" applyAlignment="1">
      <alignment/>
    </xf>
    <xf numFmtId="166" fontId="0" fillId="0" borderId="0" xfId="0" applyNumberFormat="1" applyFill="1" applyBorder="1" applyAlignment="1">
      <alignment/>
    </xf>
    <xf numFmtId="165" fontId="0" fillId="0" borderId="0" xfId="0" applyNumberFormat="1" applyFill="1" applyAlignment="1">
      <alignment/>
    </xf>
    <xf numFmtId="9" fontId="0" fillId="0" borderId="0" xfId="0" applyNumberFormat="1" applyFill="1" applyAlignment="1">
      <alignment/>
    </xf>
    <xf numFmtId="0" fontId="0" fillId="0" borderId="10" xfId="0" applyFill="1" applyBorder="1" applyAlignment="1">
      <alignment horizontal="center"/>
    </xf>
    <xf numFmtId="9" fontId="0" fillId="0" borderId="10" xfId="0" applyNumberFormat="1" applyFill="1" applyBorder="1" applyAlignment="1">
      <alignment/>
    </xf>
    <xf numFmtId="164" fontId="0" fillId="0" borderId="11" xfId="0" applyNumberFormat="1" applyFill="1" applyBorder="1" applyAlignment="1">
      <alignment/>
    </xf>
    <xf numFmtId="172" fontId="22" fillId="0" borderId="0" xfId="0" applyNumberFormat="1" applyFont="1" applyFill="1" applyAlignment="1">
      <alignment/>
    </xf>
    <xf numFmtId="0" fontId="6" fillId="0" borderId="0" xfId="0" applyFont="1" applyFill="1" applyAlignment="1">
      <alignment/>
    </xf>
    <xf numFmtId="0" fontId="6" fillId="0" borderId="0" xfId="67" applyFont="1" applyAlignment="1">
      <alignment vertical="center"/>
    </xf>
    <xf numFmtId="0" fontId="6" fillId="0" borderId="0" xfId="67" applyFont="1" applyAlignment="1">
      <alignment vertical="center" wrapText="1"/>
    </xf>
    <xf numFmtId="0" fontId="6" fillId="0" borderId="0" xfId="67" applyFont="1" applyAlignment="1">
      <alignment horizontal="center" vertical="center"/>
    </xf>
    <xf numFmtId="0" fontId="6" fillId="0" borderId="38" xfId="67" applyFont="1" applyBorder="1" applyAlignment="1">
      <alignment vertical="center"/>
    </xf>
    <xf numFmtId="0" fontId="6" fillId="0" borderId="39" xfId="67" applyFont="1" applyBorder="1" applyAlignment="1">
      <alignment vertical="center" wrapText="1"/>
    </xf>
    <xf numFmtId="0" fontId="6" fillId="0" borderId="39" xfId="67" applyFont="1" applyBorder="1" applyAlignment="1">
      <alignment vertical="center"/>
    </xf>
    <xf numFmtId="0" fontId="6" fillId="0" borderId="39" xfId="67" applyFont="1" applyBorder="1" applyAlignment="1">
      <alignment horizontal="center" vertical="center"/>
    </xf>
    <xf numFmtId="0" fontId="6" fillId="0" borderId="24" xfId="67" applyFont="1" applyBorder="1" applyAlignment="1">
      <alignment vertical="center"/>
    </xf>
    <xf numFmtId="0" fontId="76" fillId="0" borderId="0" xfId="67" applyFont="1" applyAlignment="1">
      <alignment vertical="center"/>
    </xf>
    <xf numFmtId="0" fontId="11" fillId="0" borderId="40" xfId="67" applyFont="1" applyBorder="1" applyAlignment="1">
      <alignment horizontal="center" vertical="center" wrapText="1"/>
    </xf>
    <xf numFmtId="0" fontId="32" fillId="0" borderId="40" xfId="67" applyFont="1" applyBorder="1" applyAlignment="1">
      <alignment horizontal="center" vertical="center" wrapText="1"/>
    </xf>
    <xf numFmtId="0" fontId="33" fillId="0" borderId="41" xfId="67" applyFont="1" applyBorder="1" applyAlignment="1">
      <alignment horizontal="center" vertical="center" wrapText="1"/>
    </xf>
    <xf numFmtId="0" fontId="6" fillId="0" borderId="42" xfId="67" applyFont="1" applyBorder="1" applyAlignment="1">
      <alignment vertical="center"/>
    </xf>
    <xf numFmtId="0" fontId="6" fillId="0" borderId="43" xfId="67" applyFont="1" applyBorder="1" applyAlignment="1">
      <alignment vertical="center" wrapText="1"/>
    </xf>
    <xf numFmtId="9" fontId="29" fillId="39" borderId="27" xfId="67" applyNumberFormat="1" applyFont="1" applyFill="1" applyBorder="1" applyAlignment="1">
      <alignment horizontal="center" vertical="center" wrapText="1"/>
    </xf>
    <xf numFmtId="9" fontId="6" fillId="0" borderId="27" xfId="67" applyNumberFormat="1" applyFont="1" applyFill="1" applyBorder="1" applyAlignment="1">
      <alignment horizontal="center" vertical="center" wrapText="1"/>
    </xf>
    <xf numFmtId="9" fontId="6" fillId="0" borderId="44" xfId="67" applyNumberFormat="1" applyFont="1" applyFill="1" applyBorder="1" applyAlignment="1">
      <alignment horizontal="center" vertical="center" wrapText="1"/>
    </xf>
    <xf numFmtId="9" fontId="6" fillId="40" borderId="44" xfId="67" applyNumberFormat="1" applyFont="1" applyFill="1" applyBorder="1" applyAlignment="1">
      <alignment horizontal="center" vertical="center"/>
    </xf>
    <xf numFmtId="0" fontId="34" fillId="0" borderId="41" xfId="67" applyFont="1" applyFill="1" applyBorder="1" applyAlignment="1">
      <alignment horizontal="center" vertical="center" wrapText="1"/>
    </xf>
    <xf numFmtId="0" fontId="6" fillId="0" borderId="27" xfId="67" applyFont="1" applyFill="1" applyBorder="1" applyAlignment="1">
      <alignment vertical="center"/>
    </xf>
    <xf numFmtId="0" fontId="6" fillId="0" borderId="42" xfId="67" applyFont="1" applyBorder="1" applyAlignment="1">
      <alignment vertical="center" wrapText="1"/>
    </xf>
    <xf numFmtId="0" fontId="6" fillId="0" borderId="0" xfId="67" applyFont="1" applyBorder="1" applyAlignment="1">
      <alignment vertical="center"/>
    </xf>
    <xf numFmtId="0" fontId="6" fillId="0" borderId="36" xfId="67" applyFont="1" applyFill="1" applyBorder="1" applyAlignment="1">
      <alignment vertical="center"/>
    </xf>
    <xf numFmtId="0" fontId="6" fillId="0" borderId="36" xfId="67" applyFont="1" applyBorder="1" applyAlignment="1">
      <alignment vertical="center" wrapText="1"/>
    </xf>
    <xf numFmtId="9" fontId="29" fillId="0" borderId="36" xfId="67" applyNumberFormat="1" applyFont="1" applyFill="1" applyBorder="1" applyAlignment="1">
      <alignment horizontal="center" vertical="center" wrapText="1"/>
    </xf>
    <xf numFmtId="9" fontId="6" fillId="0" borderId="36" xfId="67" applyNumberFormat="1" applyFont="1" applyFill="1" applyBorder="1" applyAlignment="1">
      <alignment horizontal="center" vertical="center" wrapText="1"/>
    </xf>
    <xf numFmtId="9" fontId="6" fillId="0" borderId="36" xfId="67" applyNumberFormat="1" applyFont="1" applyFill="1" applyBorder="1" applyAlignment="1">
      <alignment horizontal="center" vertical="center"/>
    </xf>
    <xf numFmtId="0" fontId="6" fillId="0" borderId="42" xfId="64" applyFont="1" applyFill="1" applyBorder="1" applyAlignment="1">
      <alignment vertical="center" wrapText="1"/>
      <protection/>
    </xf>
    <xf numFmtId="0" fontId="6" fillId="0" borderId="27" xfId="64" applyFont="1" applyFill="1" applyBorder="1" applyAlignment="1">
      <alignment vertical="center" wrapText="1"/>
      <protection/>
    </xf>
    <xf numFmtId="10" fontId="6" fillId="0" borderId="27" xfId="67" applyNumberFormat="1" applyFont="1" applyFill="1" applyBorder="1" applyAlignment="1">
      <alignment horizontal="center" vertical="center" wrapText="1"/>
    </xf>
    <xf numFmtId="0" fontId="22" fillId="0" borderId="29" xfId="67" applyFont="1" applyBorder="1" applyAlignment="1">
      <alignment horizontal="center" vertical="center"/>
    </xf>
    <xf numFmtId="0" fontId="6" fillId="0" borderId="0" xfId="67" applyFont="1" applyAlignment="1">
      <alignment horizontal="left" vertical="center"/>
    </xf>
    <xf numFmtId="0" fontId="6" fillId="0" borderId="45" xfId="64" applyFont="1" applyFill="1" applyBorder="1" applyAlignment="1">
      <alignment vertical="center" wrapText="1"/>
      <protection/>
    </xf>
    <xf numFmtId="0" fontId="6" fillId="0" borderId="46" xfId="64" applyFont="1" applyFill="1" applyBorder="1" applyAlignment="1">
      <alignment vertical="center" wrapText="1"/>
      <protection/>
    </xf>
    <xf numFmtId="0" fontId="63" fillId="0" borderId="31" xfId="54" applyFont="1" applyBorder="1" applyAlignment="1" applyProtection="1">
      <alignment horizontal="center" vertical="center"/>
      <protection/>
    </xf>
    <xf numFmtId="9" fontId="6" fillId="0" borderId="0" xfId="67" applyNumberFormat="1" applyFont="1" applyAlignment="1">
      <alignment vertical="center"/>
    </xf>
    <xf numFmtId="0" fontId="6" fillId="0" borderId="0" xfId="64" applyFont="1" applyAlignment="1">
      <alignment vertical="center"/>
      <protection/>
    </xf>
    <xf numFmtId="0" fontId="22" fillId="0" borderId="0" xfId="67" applyFont="1" applyAlignment="1">
      <alignment horizontal="right" vertical="center"/>
    </xf>
    <xf numFmtId="165" fontId="35" fillId="41" borderId="29" xfId="67" applyNumberFormat="1" applyFont="1" applyFill="1" applyBorder="1" applyAlignment="1">
      <alignment horizontal="center" vertical="center"/>
    </xf>
    <xf numFmtId="0" fontId="22" fillId="0" borderId="0" xfId="67" applyFont="1" applyBorder="1" applyAlignment="1">
      <alignment vertical="center"/>
    </xf>
    <xf numFmtId="165" fontId="35" fillId="0" borderId="0" xfId="67" applyNumberFormat="1" applyFont="1" applyFill="1" applyBorder="1" applyAlignment="1">
      <alignment horizontal="center" vertical="center"/>
    </xf>
    <xf numFmtId="0" fontId="24" fillId="0" borderId="0" xfId="56" applyFont="1" applyBorder="1" applyAlignment="1" applyProtection="1">
      <alignment vertical="center"/>
      <protection/>
    </xf>
    <xf numFmtId="0" fontId="24" fillId="0" borderId="0" xfId="55" applyFont="1" applyBorder="1" applyAlignment="1" applyProtection="1">
      <alignment vertical="center"/>
      <protection/>
    </xf>
    <xf numFmtId="0" fontId="9" fillId="0" borderId="0" xfId="61" applyFont="1" applyFill="1" applyAlignment="1">
      <alignment horizontal="left" vertical="center" wrapText="1"/>
    </xf>
    <xf numFmtId="0" fontId="63" fillId="0" borderId="46" xfId="54" applyBorder="1" applyAlignment="1" applyProtection="1">
      <alignment horizontal="center" vertical="center"/>
      <protection/>
    </xf>
    <xf numFmtId="0" fontId="6" fillId="0" borderId="0" xfId="63" applyAlignment="1">
      <alignment/>
      <protection/>
    </xf>
    <xf numFmtId="0" fontId="10" fillId="0" borderId="0" xfId="63" applyFont="1" applyAlignment="1">
      <alignment horizontal="center" vertical="center"/>
      <protection/>
    </xf>
    <xf numFmtId="0" fontId="6" fillId="42" borderId="0" xfId="62" applyFill="1" applyBorder="1">
      <alignment/>
      <protection/>
    </xf>
    <xf numFmtId="0" fontId="27" fillId="42" borderId="0" xfId="62" applyFont="1" applyFill="1" applyBorder="1">
      <alignment/>
      <protection/>
    </xf>
    <xf numFmtId="0" fontId="22" fillId="42" borderId="0" xfId="62" applyFont="1" applyFill="1" applyBorder="1">
      <alignment/>
      <protection/>
    </xf>
    <xf numFmtId="0" fontId="6" fillId="42" borderId="0" xfId="62" applyFill="1" applyBorder="1" applyAlignment="1">
      <alignment horizontal="left" vertical="top"/>
      <protection/>
    </xf>
    <xf numFmtId="0" fontId="6" fillId="42" borderId="0" xfId="62" applyNumberFormat="1" applyFill="1" applyBorder="1" applyAlignment="1">
      <alignment vertical="top" wrapText="1"/>
      <protection/>
    </xf>
    <xf numFmtId="0" fontId="6" fillId="42" borderId="0" xfId="62" applyNumberFormat="1" applyFont="1" applyFill="1" applyBorder="1" applyAlignment="1">
      <alignment vertical="top" wrapText="1"/>
      <protection/>
    </xf>
    <xf numFmtId="0" fontId="22" fillId="42" borderId="0" xfId="62" applyNumberFormat="1" applyFont="1" applyFill="1" applyBorder="1" applyAlignment="1">
      <alignment vertical="top" wrapText="1"/>
      <protection/>
    </xf>
    <xf numFmtId="0" fontId="6" fillId="42" borderId="0" xfId="62" applyFont="1" applyFill="1" applyBorder="1" applyAlignment="1">
      <alignment horizontal="justify" vertical="top" wrapText="1"/>
      <protection/>
    </xf>
    <xf numFmtId="0" fontId="6" fillId="42" borderId="0" xfId="62" applyFont="1" applyFill="1" applyBorder="1" applyAlignment="1">
      <alignment vertical="top" wrapText="1"/>
      <protection/>
    </xf>
    <xf numFmtId="0" fontId="22" fillId="42" borderId="0" xfId="62" applyFont="1" applyFill="1" applyBorder="1" applyAlignment="1">
      <alignment horizontal="justify" vertical="top" wrapText="1"/>
      <protection/>
    </xf>
    <xf numFmtId="0" fontId="6" fillId="42" borderId="0" xfId="62" applyNumberFormat="1" applyFont="1" applyFill="1" applyBorder="1" applyAlignment="1">
      <alignment horizontal="justify" vertical="top" wrapText="1"/>
      <protection/>
    </xf>
    <xf numFmtId="0" fontId="73" fillId="0" borderId="0" xfId="63" applyFont="1" applyAlignment="1">
      <alignment horizontal="right"/>
      <protection/>
    </xf>
    <xf numFmtId="0" fontId="10" fillId="0" borderId="0" xfId="63" applyFont="1" applyAlignment="1">
      <alignment vertical="center"/>
      <protection/>
    </xf>
    <xf numFmtId="0" fontId="10" fillId="0" borderId="0" xfId="67" applyFont="1" applyAlignment="1">
      <alignment vertical="center" wrapText="1"/>
    </xf>
    <xf numFmtId="9" fontId="29" fillId="39" borderId="42" xfId="64" applyNumberFormat="1" applyFont="1" applyFill="1" applyBorder="1" applyAlignment="1">
      <alignment horizontal="center" vertical="center" wrapText="1"/>
      <protection/>
    </xf>
    <xf numFmtId="0" fontId="6" fillId="0" borderId="46" xfId="67" applyNumberFormat="1" applyFont="1" applyFill="1" applyBorder="1" applyAlignment="1">
      <alignment horizontal="center" vertical="center" shrinkToFit="1"/>
    </xf>
    <xf numFmtId="0" fontId="69" fillId="43" borderId="0" xfId="0" applyFont="1" applyFill="1" applyAlignment="1">
      <alignment/>
    </xf>
    <xf numFmtId="0" fontId="0" fillId="43" borderId="0" xfId="0" applyFont="1" applyFill="1" applyAlignment="1">
      <alignment/>
    </xf>
    <xf numFmtId="164" fontId="0" fillId="43" borderId="0" xfId="0" applyNumberFormat="1" applyFont="1" applyFill="1" applyAlignment="1">
      <alignment/>
    </xf>
    <xf numFmtId="1" fontId="29" fillId="39" borderId="45" xfId="64" applyNumberFormat="1" applyFont="1" applyFill="1" applyBorder="1" applyAlignment="1">
      <alignment horizontal="center" vertical="center" wrapText="1"/>
      <protection/>
    </xf>
    <xf numFmtId="1" fontId="6" fillId="0" borderId="46" xfId="67" applyNumberFormat="1" applyFont="1" applyFill="1" applyBorder="1" applyAlignment="1">
      <alignment horizontal="center" vertical="center" wrapText="1"/>
    </xf>
    <xf numFmtId="0" fontId="6" fillId="0" borderId="28" xfId="62" applyNumberFormat="1" applyFont="1" applyBorder="1" applyAlignment="1" quotePrefix="1">
      <alignment vertical="center" wrapText="1"/>
      <protection/>
    </xf>
    <xf numFmtId="0" fontId="6" fillId="0" borderId="30" xfId="62" applyFont="1" applyBorder="1" applyAlignment="1">
      <alignment horizontal="left" vertical="top" wrapText="1"/>
      <protection/>
    </xf>
    <xf numFmtId="1" fontId="6" fillId="40" borderId="46" xfId="67" applyNumberFormat="1" applyFont="1" applyFill="1" applyBorder="1" applyAlignment="1">
      <alignment horizontal="center" vertical="center"/>
    </xf>
    <xf numFmtId="9" fontId="6" fillId="40" borderId="27" xfId="67" applyNumberFormat="1" applyFont="1" applyFill="1" applyBorder="1" applyAlignment="1">
      <alignment horizontal="center" vertical="center"/>
    </xf>
    <xf numFmtId="0" fontId="22" fillId="0" borderId="0" xfId="68" applyFont="1" applyAlignment="1">
      <alignment horizontal="right"/>
      <protection/>
    </xf>
    <xf numFmtId="0" fontId="6" fillId="0" borderId="29" xfId="68" applyFont="1" applyBorder="1">
      <alignment/>
      <protection/>
    </xf>
    <xf numFmtId="0" fontId="22" fillId="0" borderId="29" xfId="68" applyFont="1" applyBorder="1">
      <alignment/>
      <protection/>
    </xf>
    <xf numFmtId="0" fontId="6" fillId="0" borderId="0" xfId="68">
      <alignment/>
      <protection/>
    </xf>
    <xf numFmtId="0" fontId="22" fillId="0" borderId="0" xfId="0" applyFont="1" applyFill="1" applyAlignment="1">
      <alignment horizontal="right"/>
    </xf>
    <xf numFmtId="176" fontId="22" fillId="0" borderId="29" xfId="47" applyNumberFormat="1" applyFont="1" applyFill="1" applyBorder="1" applyAlignment="1">
      <alignment/>
    </xf>
    <xf numFmtId="176" fontId="22" fillId="0" borderId="0" xfId="47" applyNumberFormat="1" applyFont="1" applyFill="1" applyAlignment="1">
      <alignment/>
    </xf>
    <xf numFmtId="0" fontId="22" fillId="0" borderId="29" xfId="68" applyFont="1" applyBorder="1" applyAlignment="1">
      <alignment horizontal="center"/>
      <protection/>
    </xf>
    <xf numFmtId="9" fontId="6" fillId="0" borderId="29" xfId="68" applyNumberFormat="1" applyFont="1" applyBorder="1" applyAlignment="1">
      <alignment horizontal="center"/>
      <protection/>
    </xf>
    <xf numFmtId="14" fontId="6" fillId="0" borderId="29" xfId="66" applyNumberFormat="1" applyFont="1" applyBorder="1" applyAlignment="1">
      <alignment horizontal="center" vertical="center" wrapText="1"/>
      <protection/>
    </xf>
    <xf numFmtId="0" fontId="0" fillId="0" borderId="0" xfId="0" applyFont="1" applyFill="1" applyAlignment="1">
      <alignment/>
    </xf>
    <xf numFmtId="164" fontId="0" fillId="0" borderId="0" xfId="0" applyNumberFormat="1" applyFont="1" applyFill="1" applyAlignment="1">
      <alignment/>
    </xf>
    <xf numFmtId="0" fontId="69" fillId="0" borderId="29" xfId="0" applyFont="1" applyFill="1" applyBorder="1" applyAlignment="1">
      <alignment horizontal="right"/>
    </xf>
    <xf numFmtId="165" fontId="69" fillId="0" borderId="29" xfId="0" applyNumberFormat="1" applyFont="1" applyFill="1" applyBorder="1" applyAlignment="1">
      <alignment/>
    </xf>
    <xf numFmtId="6" fontId="69" fillId="0" borderId="29" xfId="0" applyNumberFormat="1" applyFont="1" applyFill="1" applyBorder="1" applyAlignment="1">
      <alignment/>
    </xf>
    <xf numFmtId="0" fontId="69" fillId="0" borderId="29" xfId="0" applyFont="1" applyFill="1" applyBorder="1" applyAlignment="1">
      <alignment horizontal="left"/>
    </xf>
    <xf numFmtId="9" fontId="77" fillId="0" borderId="0" xfId="0" applyNumberFormat="1" applyFont="1" applyAlignment="1">
      <alignment/>
    </xf>
    <xf numFmtId="1" fontId="77" fillId="0" borderId="0" xfId="0" applyNumberFormat="1" applyFont="1" applyAlignment="1">
      <alignment/>
    </xf>
    <xf numFmtId="0" fontId="0" fillId="0" borderId="0" xfId="0" applyFill="1" applyBorder="1" applyAlignment="1">
      <alignment/>
    </xf>
    <xf numFmtId="3" fontId="0" fillId="0" borderId="0" xfId="0" applyNumberFormat="1" applyFill="1" applyAlignment="1">
      <alignment/>
    </xf>
    <xf numFmtId="165" fontId="0" fillId="0" borderId="0" xfId="71" applyNumberFormat="1" applyFont="1" applyFill="1" applyAlignment="1">
      <alignment/>
    </xf>
    <xf numFmtId="2" fontId="0" fillId="0" borderId="0" xfId="0" applyNumberFormat="1" applyFill="1" applyAlignment="1">
      <alignment/>
    </xf>
    <xf numFmtId="0" fontId="78" fillId="0" borderId="0" xfId="0" applyFont="1" applyAlignment="1">
      <alignment horizontal="center" vertical="center" wrapText="1"/>
    </xf>
    <xf numFmtId="0" fontId="6" fillId="0" borderId="31" xfId="62" applyFont="1" applyBorder="1" applyAlignment="1">
      <alignment horizontal="left" vertical="center" wrapText="1"/>
      <protection/>
    </xf>
    <xf numFmtId="0" fontId="6" fillId="0" borderId="27" xfId="62" applyFont="1" applyBorder="1" applyAlignment="1">
      <alignment horizontal="left" vertical="center" wrapText="1"/>
      <protection/>
    </xf>
    <xf numFmtId="0" fontId="6" fillId="0" borderId="46" xfId="62" applyFont="1" applyBorder="1" applyAlignment="1">
      <alignment horizontal="left" vertical="center" wrapText="1"/>
      <protection/>
    </xf>
    <xf numFmtId="0" fontId="30" fillId="0" borderId="0" xfId="67" applyFont="1" applyAlignment="1">
      <alignment horizontal="left" vertical="center" wrapText="1"/>
    </xf>
    <xf numFmtId="0" fontId="30" fillId="0" borderId="0" xfId="63" applyFont="1" applyAlignment="1">
      <alignment horizontal="left" vertical="center" wrapText="1"/>
      <protection/>
    </xf>
    <xf numFmtId="0" fontId="79" fillId="0" borderId="0" xfId="61" applyFont="1" applyFill="1" applyAlignment="1">
      <alignment horizontal="left" vertical="center" wrapText="1"/>
    </xf>
    <xf numFmtId="0" fontId="6" fillId="0" borderId="0" xfId="67" applyFont="1" applyAlignment="1">
      <alignment horizontal="left" vertical="center"/>
    </xf>
    <xf numFmtId="0" fontId="10" fillId="0" borderId="0" xfId="67" applyFont="1" applyAlignment="1">
      <alignment horizontal="left" vertical="center" wrapText="1"/>
    </xf>
    <xf numFmtId="0" fontId="80" fillId="0" borderId="0" xfId="67" applyFont="1" applyAlignment="1">
      <alignment horizontal="right" vertical="center" wrapText="1"/>
    </xf>
    <xf numFmtId="9" fontId="6" fillId="42" borderId="47" xfId="67" applyNumberFormat="1" applyFont="1" applyFill="1" applyBorder="1" applyAlignment="1">
      <alignment horizontal="left" vertical="center" wrapText="1"/>
    </xf>
    <xf numFmtId="0" fontId="6" fillId="42" borderId="0" xfId="67" applyFont="1" applyFill="1" applyBorder="1" applyAlignment="1">
      <alignment horizontal="left" vertical="center" wrapText="1"/>
    </xf>
    <xf numFmtId="0" fontId="6" fillId="42" borderId="48" xfId="67" applyFont="1" applyFill="1" applyBorder="1" applyAlignment="1">
      <alignment horizontal="left" vertical="center" wrapText="1"/>
    </xf>
    <xf numFmtId="0" fontId="6" fillId="42" borderId="47" xfId="67" applyFont="1" applyFill="1" applyBorder="1" applyAlignment="1">
      <alignment horizontal="left" vertical="center" wrapText="1"/>
    </xf>
    <xf numFmtId="0" fontId="6" fillId="42" borderId="49" xfId="67" applyFont="1" applyFill="1" applyBorder="1" applyAlignment="1">
      <alignment horizontal="left" vertical="center" wrapText="1"/>
    </xf>
    <xf numFmtId="0" fontId="6" fillId="42" borderId="11" xfId="67" applyFont="1" applyFill="1" applyBorder="1" applyAlignment="1">
      <alignment horizontal="left" vertical="center" wrapText="1"/>
    </xf>
    <xf numFmtId="0" fontId="6" fillId="42" borderId="26" xfId="67" applyFont="1" applyFill="1" applyBorder="1" applyAlignment="1">
      <alignment horizontal="left" vertical="center" wrapText="1"/>
    </xf>
    <xf numFmtId="0" fontId="9" fillId="0" borderId="31" xfId="67" applyFont="1" applyBorder="1" applyAlignment="1">
      <alignment horizontal="center" vertical="center"/>
    </xf>
    <xf numFmtId="0" fontId="9" fillId="0" borderId="50" xfId="67" applyFont="1" applyBorder="1" applyAlignment="1">
      <alignment horizontal="center" vertical="center"/>
    </xf>
    <xf numFmtId="0" fontId="9" fillId="0" borderId="31" xfId="67" applyFont="1" applyBorder="1" applyAlignment="1">
      <alignment horizontal="center" vertical="center" wrapText="1"/>
    </xf>
    <xf numFmtId="0" fontId="9" fillId="0" borderId="50" xfId="67" applyFont="1" applyBorder="1" applyAlignment="1">
      <alignment horizontal="center" vertical="center" wrapText="1"/>
    </xf>
    <xf numFmtId="0" fontId="9" fillId="0" borderId="35" xfId="67" applyFont="1" applyBorder="1" applyAlignment="1">
      <alignment horizontal="center" vertical="center"/>
    </xf>
    <xf numFmtId="0" fontId="9" fillId="0" borderId="36" xfId="67" applyFont="1" applyBorder="1" applyAlignment="1">
      <alignment horizontal="center" vertical="center"/>
    </xf>
    <xf numFmtId="0" fontId="9" fillId="0" borderId="37" xfId="67" applyFont="1" applyBorder="1" applyAlignment="1">
      <alignment horizontal="center" vertical="center"/>
    </xf>
    <xf numFmtId="0" fontId="27" fillId="0" borderId="0" xfId="0" applyFont="1" applyAlignment="1">
      <alignment horizontal="center"/>
    </xf>
    <xf numFmtId="0" fontId="74" fillId="0" borderId="0" xfId="0" applyFont="1" applyAlignment="1">
      <alignment horizontal="center" wrapText="1"/>
    </xf>
    <xf numFmtId="0" fontId="69" fillId="0" borderId="35" xfId="0" applyFont="1" applyFill="1" applyBorder="1" applyAlignment="1">
      <alignment/>
    </xf>
    <xf numFmtId="0" fontId="69" fillId="0" borderId="37" xfId="0" applyFont="1" applyFill="1" applyBorder="1" applyAlignment="1">
      <alignment/>
    </xf>
    <xf numFmtId="0" fontId="74" fillId="0" borderId="0" xfId="0" applyFont="1" applyAlignment="1">
      <alignment horizontal="center"/>
    </xf>
    <xf numFmtId="0" fontId="6" fillId="0" borderId="0" xfId="0" applyFont="1" applyAlignment="1">
      <alignment horizontal="center"/>
    </xf>
    <xf numFmtId="0" fontId="10" fillId="37" borderId="0" xfId="65" applyFont="1" applyFill="1" applyBorder="1" applyAlignment="1">
      <alignment horizontal="right"/>
    </xf>
    <xf numFmtId="0" fontId="9" fillId="37" borderId="0" xfId="65" applyFont="1" applyFill="1" applyBorder="1" applyAlignment="1">
      <alignment horizontal="center"/>
    </xf>
    <xf numFmtId="0" fontId="9" fillId="37" borderId="0" xfId="65" applyFont="1" applyFill="1" applyBorder="1" applyAlignment="1">
      <alignment horizontal="center" vertical="center"/>
    </xf>
    <xf numFmtId="0" fontId="13" fillId="37" borderId="0" xfId="60" applyFont="1" applyFill="1" applyBorder="1" applyAlignment="1">
      <alignment horizontal="center" vertical="center"/>
      <protection/>
    </xf>
    <xf numFmtId="0" fontId="15" fillId="37" borderId="17" xfId="65" applyFont="1" applyFill="1" applyBorder="1" applyAlignment="1">
      <alignment horizontal="center" wrapText="1"/>
    </xf>
    <xf numFmtId="0" fontId="0" fillId="0" borderId="51" xfId="0" applyBorder="1" applyAlignment="1">
      <alignment/>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Hyperlink" xfId="54"/>
    <cellStyle name="Hyperlink 2" xfId="55"/>
    <cellStyle name="Hyperlink_mcc-err-namibia_mkt" xfId="56"/>
    <cellStyle name="Input" xfId="57"/>
    <cellStyle name="Linked Cell" xfId="58"/>
    <cellStyle name="Neutral" xfId="59"/>
    <cellStyle name="Normal 2" xfId="60"/>
    <cellStyle name="Normal 2 2" xfId="61"/>
    <cellStyle name="Normal 3" xfId="62"/>
    <cellStyle name="Normal 3 2" xfId="63"/>
    <cellStyle name="Normal_47_Schools_ERR_Finalized" xfId="64"/>
    <cellStyle name="Normal_Beneficiary Analysis - Poverty Scorecard - 10.28.08" xfId="65"/>
    <cellStyle name="Normal_ConsolidatedAg_IM_Clean" xfId="66"/>
    <cellStyle name="Normal_mcc-err-namibia_mkt" xfId="67"/>
    <cellStyle name="Normal_Mongolia Health ERR.IM Cleaned - v15" xfId="68"/>
    <cellStyle name="Note" xfId="69"/>
    <cellStyle name="Output" xfId="70"/>
    <cellStyle name="Percent" xfId="71"/>
    <cellStyle name="Percent 2" xfId="72"/>
    <cellStyle name="Title" xfId="73"/>
    <cellStyle name="Total" xfId="74"/>
    <cellStyle name="Warning Text" xfId="75"/>
  </cellStyles>
  <dxfs count="16">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indexed="10"/>
      </font>
    </dxf>
    <dxf>
      <font>
        <color indexed="9"/>
      </font>
      <fill>
        <patternFill patternType="none">
          <bgColor indexed="65"/>
        </patternFill>
      </fill>
    </dxf>
    <dxf>
      <font>
        <color rgb="FFFFFFFF"/>
      </font>
      <fill>
        <patternFill patternType="none">
          <bgColor indexed="65"/>
        </patternFill>
      </fill>
      <border/>
    </dxf>
    <dxf>
      <font>
        <color rgb="FFFF0000"/>
      </font>
      <border/>
    </dxf>
    <dxf>
      <font>
        <color rgb="FFFF0000"/>
      </font>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 Undiscounted annual net benefits of Wasterwater Rehabilitation Project
</a:t>
            </a:r>
          </a:p>
        </c:rich>
      </c:tx>
      <c:layout>
        <c:manualLayout>
          <c:xMode val="factor"/>
          <c:yMode val="factor"/>
          <c:x val="0.07"/>
          <c:y val="-0.00475"/>
        </c:manualLayout>
      </c:layout>
      <c:spPr>
        <a:noFill/>
        <a:ln w="3175">
          <a:noFill/>
        </a:ln>
      </c:spPr>
    </c:title>
    <c:plotArea>
      <c:layout>
        <c:manualLayout>
          <c:xMode val="edge"/>
          <c:yMode val="edge"/>
          <c:x val="0.07425"/>
          <c:y val="0.09525"/>
          <c:w val="0.917"/>
          <c:h val="0.84175"/>
        </c:manualLayout>
      </c:layout>
      <c:areaChart>
        <c:grouping val="standard"/>
        <c:varyColors val="0"/>
        <c:ser>
          <c:idx val="0"/>
          <c:order val="0"/>
          <c:tx>
            <c:v>Net Benefits</c:v>
          </c:tx>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val>
            <c:numRef>
              <c:f>'Combined Cost-Benefit'!$D$137:$W$137</c:f>
              <c:numCache>
                <c:ptCount val="20"/>
                <c:pt idx="0">
                  <c:v>-37746458.541458555</c:v>
                </c:pt>
                <c:pt idx="1">
                  <c:v>-44127202.79720281</c:v>
                </c:pt>
                <c:pt idx="2">
                  <c:v>-82504664.62109321</c:v>
                </c:pt>
                <c:pt idx="3">
                  <c:v>-13021077.060213488</c:v>
                </c:pt>
                <c:pt idx="4">
                  <c:v>15988304.500000322</c:v>
                </c:pt>
                <c:pt idx="5">
                  <c:v>26619795.85035009</c:v>
                </c:pt>
                <c:pt idx="6">
                  <c:v>33046179.691977262</c:v>
                </c:pt>
                <c:pt idx="7">
                  <c:v>44336932.00824098</c:v>
                </c:pt>
                <c:pt idx="8">
                  <c:v>56603631.03108269</c:v>
                </c:pt>
                <c:pt idx="9">
                  <c:v>57541667.2554487</c:v>
                </c:pt>
                <c:pt idx="10">
                  <c:v>58507400.47590424</c:v>
                </c:pt>
                <c:pt idx="11">
                  <c:v>59064033.525348954</c:v>
                </c:pt>
                <c:pt idx="12">
                  <c:v>59163597.443972</c:v>
                </c:pt>
                <c:pt idx="13">
                  <c:v>59322437.41041618</c:v>
                </c:pt>
                <c:pt idx="14">
                  <c:v>-186284107.87455344</c:v>
                </c:pt>
                <c:pt idx="15">
                  <c:v>59540795.484884456</c:v>
                </c:pt>
                <c:pt idx="16">
                  <c:v>59654800.129157245</c:v>
                </c:pt>
                <c:pt idx="17">
                  <c:v>59772184.42534199</c:v>
                </c:pt>
                <c:pt idx="18">
                  <c:v>59925355.50859382</c:v>
                </c:pt>
                <c:pt idx="19">
                  <c:v>60083639.152431004</c:v>
                </c:pt>
              </c:numCache>
            </c:numRef>
          </c:val>
        </c:ser>
        <c:axId val="61850021"/>
        <c:axId val="19779278"/>
      </c:areaChart>
      <c:catAx>
        <c:axId val="61850021"/>
        <c:scaling>
          <c:orientation val="minMax"/>
        </c:scaling>
        <c:axPos val="b"/>
        <c:title>
          <c:tx>
            <c:rich>
              <a:bodyPr vert="horz" rot="0" anchor="ctr"/>
              <a:lstStyle/>
              <a:p>
                <a:pPr algn="ctr">
                  <a:defRPr/>
                </a:pPr>
                <a:r>
                  <a:rPr lang="en-US" cap="none" sz="1200" b="1" i="0" u="none" baseline="0">
                    <a:solidFill>
                      <a:srgbClr val="000000"/>
                    </a:solidFill>
                  </a:rPr>
                  <a:t>Year</a:t>
                </a:r>
              </a:p>
            </c:rich>
          </c:tx>
          <c:layout>
            <c:manualLayout>
              <c:xMode val="factor"/>
              <c:yMode val="factor"/>
              <c:x val="0.009"/>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defRPr>
            </a:pPr>
          </a:p>
        </c:txPr>
        <c:crossAx val="19779278"/>
        <c:crosses val="autoZero"/>
        <c:auto val="1"/>
        <c:lblOffset val="100"/>
        <c:tickLblSkip val="1"/>
        <c:noMultiLvlLbl val="0"/>
      </c:catAx>
      <c:valAx>
        <c:axId val="19779278"/>
        <c:scaling>
          <c:orientation val="minMax"/>
        </c:scaling>
        <c:axPos val="l"/>
        <c:title>
          <c:tx>
            <c:rich>
              <a:bodyPr vert="horz" rot="-5400000" anchor="ctr"/>
              <a:lstStyle/>
              <a:p>
                <a:pPr algn="ctr">
                  <a:defRPr/>
                </a:pPr>
                <a:r>
                  <a:rPr lang="en-US" cap="none" sz="1200" b="1" i="0" u="none" baseline="0">
                    <a:solidFill>
                      <a:srgbClr val="000000"/>
                    </a:solidFill>
                  </a:rPr>
                  <a:t>In millions US Dollars, PPP</a:t>
                </a:r>
              </a:p>
            </c:rich>
          </c:tx>
          <c:layout>
            <c:manualLayout>
              <c:xMode val="factor"/>
              <c:yMode val="factor"/>
              <c:x val="-0.01675"/>
              <c:y val="-0.027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25" b="0" i="0" u="none" baseline="0">
                <a:solidFill>
                  <a:srgbClr val="000000"/>
                </a:solidFill>
              </a:defRPr>
            </a:pPr>
          </a:p>
        </c:txPr>
        <c:crossAx val="61850021"/>
        <c:crossesAt val="1"/>
        <c:crossBetween val="midCat"/>
        <c:dispUnits/>
      </c:valAx>
      <c:spPr>
        <a:solidFill>
          <a:srgbClr val="C0C0C0"/>
        </a:solidFill>
        <a:ln w="12700">
          <a:solidFill>
            <a:srgbClr val="80808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2.png" /><Relationship Id="rId5"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xdr:row>
      <xdr:rowOff>9525</xdr:rowOff>
    </xdr:from>
    <xdr:to>
      <xdr:col>1</xdr:col>
      <xdr:colOff>19050</xdr:colOff>
      <xdr:row>5</xdr:row>
      <xdr:rowOff>142875</xdr:rowOff>
    </xdr:to>
    <xdr:pic>
      <xdr:nvPicPr>
        <xdr:cNvPr id="1" name="Picture 1"/>
        <xdr:cNvPicPr preferRelativeResize="1">
          <a:picLocks noChangeAspect="1"/>
        </xdr:cNvPicPr>
      </xdr:nvPicPr>
      <xdr:blipFill>
        <a:blip r:embed="rId1"/>
        <a:stretch>
          <a:fillRect/>
        </a:stretch>
      </xdr:blipFill>
      <xdr:spPr>
        <a:xfrm>
          <a:off x="47625" y="200025"/>
          <a:ext cx="261937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23</xdr:row>
      <xdr:rowOff>19050</xdr:rowOff>
    </xdr:from>
    <xdr:to>
      <xdr:col>1</xdr:col>
      <xdr:colOff>2276475</xdr:colOff>
      <xdr:row>24</xdr:row>
      <xdr:rowOff>9525</xdr:rowOff>
    </xdr:to>
    <xdr:pic>
      <xdr:nvPicPr>
        <xdr:cNvPr id="1" name="Picture 2" descr="MCC horizontal"/>
        <xdr:cNvPicPr preferRelativeResize="1">
          <a:picLocks noChangeAspect="1"/>
        </xdr:cNvPicPr>
      </xdr:nvPicPr>
      <xdr:blipFill>
        <a:blip r:embed="rId1"/>
        <a:stretch>
          <a:fillRect/>
        </a:stretch>
      </xdr:blipFill>
      <xdr:spPr>
        <a:xfrm>
          <a:off x="476250" y="6829425"/>
          <a:ext cx="2181225" cy="180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31</xdr:row>
      <xdr:rowOff>85725</xdr:rowOff>
    </xdr:from>
    <xdr:to>
      <xdr:col>6</xdr:col>
      <xdr:colOff>447675</xdr:colOff>
      <xdr:row>52</xdr:row>
      <xdr:rowOff>76200</xdr:rowOff>
    </xdr:to>
    <xdr:graphicFrame>
      <xdr:nvGraphicFramePr>
        <xdr:cNvPr id="1" name="Chart 5"/>
        <xdr:cNvGraphicFramePr/>
      </xdr:nvGraphicFramePr>
      <xdr:xfrm>
        <a:off x="638175" y="7734300"/>
        <a:ext cx="9601200" cy="39909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6</xdr:row>
      <xdr:rowOff>0</xdr:rowOff>
    </xdr:from>
    <xdr:to>
      <xdr:col>0</xdr:col>
      <xdr:colOff>28575</xdr:colOff>
      <xdr:row>6</xdr:row>
      <xdr:rowOff>28575</xdr:rowOff>
    </xdr:to>
    <xdr:pic>
      <xdr:nvPicPr>
        <xdr:cNvPr id="2" name="CB_00000000000000000000000000000001"/>
        <xdr:cNvPicPr preferRelativeResize="1">
          <a:picLocks noChangeAspect="1"/>
        </xdr:cNvPicPr>
      </xdr:nvPicPr>
      <xdr:blipFill>
        <a:blip r:embed="rId2"/>
        <a:stretch>
          <a:fillRect/>
        </a:stretch>
      </xdr:blipFill>
      <xdr:spPr>
        <a:xfrm>
          <a:off x="0" y="1152525"/>
          <a:ext cx="28575" cy="28575"/>
        </a:xfrm>
        <a:prstGeom prst="rect">
          <a:avLst/>
        </a:prstGeom>
        <a:noFill/>
        <a:ln w="9525" cmpd="sng">
          <a:noFill/>
        </a:ln>
      </xdr:spPr>
    </xdr:pic>
    <xdr:clientData/>
  </xdr:twoCellAnchor>
  <xdr:twoCellAnchor editAs="oneCell">
    <xdr:from>
      <xdr:col>0</xdr:col>
      <xdr:colOff>0</xdr:colOff>
      <xdr:row>6</xdr:row>
      <xdr:rowOff>0</xdr:rowOff>
    </xdr:from>
    <xdr:to>
      <xdr:col>0</xdr:col>
      <xdr:colOff>28575</xdr:colOff>
      <xdr:row>6</xdr:row>
      <xdr:rowOff>28575</xdr:rowOff>
    </xdr:to>
    <xdr:pic>
      <xdr:nvPicPr>
        <xdr:cNvPr id="3" name="CB_00000000000000000000000000000003"/>
        <xdr:cNvPicPr preferRelativeResize="1">
          <a:picLocks noChangeAspect="1"/>
        </xdr:cNvPicPr>
      </xdr:nvPicPr>
      <xdr:blipFill>
        <a:blip r:embed="rId2"/>
        <a:stretch>
          <a:fillRect/>
        </a:stretch>
      </xdr:blipFill>
      <xdr:spPr>
        <a:xfrm>
          <a:off x="0" y="1152525"/>
          <a:ext cx="28575" cy="28575"/>
        </a:xfrm>
        <a:prstGeom prst="rect">
          <a:avLst/>
        </a:prstGeom>
        <a:noFill/>
        <a:ln w="9525" cmpd="sng">
          <a:noFill/>
        </a:ln>
      </xdr:spPr>
    </xdr:pic>
    <xdr:clientData/>
  </xdr:twoCellAnchor>
  <xdr:twoCellAnchor editAs="oneCell">
    <xdr:from>
      <xdr:col>0</xdr:col>
      <xdr:colOff>0</xdr:colOff>
      <xdr:row>6</xdr:row>
      <xdr:rowOff>0</xdr:rowOff>
    </xdr:from>
    <xdr:to>
      <xdr:col>0</xdr:col>
      <xdr:colOff>28575</xdr:colOff>
      <xdr:row>6</xdr:row>
      <xdr:rowOff>28575</xdr:rowOff>
    </xdr:to>
    <xdr:pic>
      <xdr:nvPicPr>
        <xdr:cNvPr id="4" name="CB_00000000000000000000000000000000"/>
        <xdr:cNvPicPr preferRelativeResize="1">
          <a:picLocks noChangeAspect="1"/>
        </xdr:cNvPicPr>
      </xdr:nvPicPr>
      <xdr:blipFill>
        <a:blip r:embed="rId2"/>
        <a:stretch>
          <a:fillRect/>
        </a:stretch>
      </xdr:blipFill>
      <xdr:spPr>
        <a:xfrm>
          <a:off x="0" y="1152525"/>
          <a:ext cx="28575" cy="28575"/>
        </a:xfrm>
        <a:prstGeom prst="rect">
          <a:avLst/>
        </a:prstGeom>
        <a:noFill/>
        <a:ln w="9525" cmpd="sng">
          <a:noFill/>
        </a:ln>
      </xdr:spPr>
    </xdr:pic>
    <xdr:clientData/>
  </xdr:twoCellAnchor>
  <xdr:twoCellAnchor editAs="oneCell">
    <xdr:from>
      <xdr:col>0</xdr:col>
      <xdr:colOff>0</xdr:colOff>
      <xdr:row>0</xdr:row>
      <xdr:rowOff>0</xdr:rowOff>
    </xdr:from>
    <xdr:to>
      <xdr:col>0</xdr:col>
      <xdr:colOff>28575</xdr:colOff>
      <xdr:row>0</xdr:row>
      <xdr:rowOff>28575</xdr:rowOff>
    </xdr:to>
    <xdr:pic>
      <xdr:nvPicPr>
        <xdr:cNvPr id="5" name="CB_Block_0"/>
        <xdr:cNvPicPr preferRelativeResize="1">
          <a:picLocks noChangeAspect="1"/>
        </xdr:cNvPicPr>
      </xdr:nvPicPr>
      <xdr:blipFill>
        <a:blip r:embed="rId2"/>
        <a:stretch>
          <a:fillRect/>
        </a:stretch>
      </xdr:blipFill>
      <xdr:spPr>
        <a:xfrm>
          <a:off x="0" y="0"/>
          <a:ext cx="28575" cy="2857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CB_Block_7.0.0.0: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6</xdr:row>
      <xdr:rowOff>0</xdr:rowOff>
    </xdr:from>
    <xdr:to>
      <xdr:col>0</xdr:col>
      <xdr:colOff>28575</xdr:colOff>
      <xdr:row>6</xdr:row>
      <xdr:rowOff>28575</xdr:rowOff>
    </xdr:to>
    <xdr:pic>
      <xdr:nvPicPr>
        <xdr:cNvPr id="7" name="Picture 6"/>
        <xdr:cNvPicPr preferRelativeResize="1">
          <a:picLocks noChangeAspect="1"/>
        </xdr:cNvPicPr>
      </xdr:nvPicPr>
      <xdr:blipFill>
        <a:blip r:embed="rId2"/>
        <a:stretch>
          <a:fillRect/>
        </a:stretch>
      </xdr:blipFill>
      <xdr:spPr>
        <a:xfrm>
          <a:off x="0" y="1152525"/>
          <a:ext cx="28575" cy="28575"/>
        </a:xfrm>
        <a:prstGeom prst="rect">
          <a:avLst/>
        </a:prstGeom>
        <a:noFill/>
        <a:ln w="9525" cmpd="sng">
          <a:noFill/>
        </a:ln>
      </xdr:spPr>
    </xdr:pic>
    <xdr:clientData/>
  </xdr:twoCellAnchor>
  <xdr:twoCellAnchor editAs="oneCell">
    <xdr:from>
      <xdr:col>0</xdr:col>
      <xdr:colOff>0</xdr:colOff>
      <xdr:row>6</xdr:row>
      <xdr:rowOff>0</xdr:rowOff>
    </xdr:from>
    <xdr:to>
      <xdr:col>0</xdr:col>
      <xdr:colOff>28575</xdr:colOff>
      <xdr:row>6</xdr:row>
      <xdr:rowOff>28575</xdr:rowOff>
    </xdr:to>
    <xdr:pic>
      <xdr:nvPicPr>
        <xdr:cNvPr id="8" name="Picture 7"/>
        <xdr:cNvPicPr preferRelativeResize="1">
          <a:picLocks noChangeAspect="1"/>
        </xdr:cNvPicPr>
      </xdr:nvPicPr>
      <xdr:blipFill>
        <a:blip r:embed="rId2"/>
        <a:stretch>
          <a:fillRect/>
        </a:stretch>
      </xdr:blipFill>
      <xdr:spPr>
        <a:xfrm>
          <a:off x="0" y="1152525"/>
          <a:ext cx="28575" cy="28575"/>
        </a:xfrm>
        <a:prstGeom prst="rect">
          <a:avLst/>
        </a:prstGeom>
        <a:noFill/>
        <a:ln w="9525" cmpd="sng">
          <a:noFill/>
        </a:ln>
      </xdr:spPr>
    </xdr:pic>
    <xdr:clientData/>
  </xdr:twoCellAnchor>
  <xdr:twoCellAnchor editAs="oneCell">
    <xdr:from>
      <xdr:col>0</xdr:col>
      <xdr:colOff>0</xdr:colOff>
      <xdr:row>6</xdr:row>
      <xdr:rowOff>0</xdr:rowOff>
    </xdr:from>
    <xdr:to>
      <xdr:col>0</xdr:col>
      <xdr:colOff>28575</xdr:colOff>
      <xdr:row>6</xdr:row>
      <xdr:rowOff>28575</xdr:rowOff>
    </xdr:to>
    <xdr:pic>
      <xdr:nvPicPr>
        <xdr:cNvPr id="9" name="Picture 8"/>
        <xdr:cNvPicPr preferRelativeResize="1">
          <a:picLocks noChangeAspect="1"/>
        </xdr:cNvPicPr>
      </xdr:nvPicPr>
      <xdr:blipFill>
        <a:blip r:embed="rId2"/>
        <a:stretch>
          <a:fillRect/>
        </a:stretch>
      </xdr:blipFill>
      <xdr:spPr>
        <a:xfrm>
          <a:off x="0" y="1152525"/>
          <a:ext cx="28575" cy="28575"/>
        </a:xfrm>
        <a:prstGeom prst="rect">
          <a:avLst/>
        </a:prstGeom>
        <a:noFill/>
        <a:ln w="9525" cmpd="sng">
          <a:noFill/>
        </a:ln>
      </xdr:spPr>
    </xdr:pic>
    <xdr:clientData/>
  </xdr:twoCellAnchor>
  <xdr:twoCellAnchor editAs="oneCell">
    <xdr:from>
      <xdr:col>0</xdr:col>
      <xdr:colOff>0</xdr:colOff>
      <xdr:row>0</xdr:row>
      <xdr:rowOff>0</xdr:rowOff>
    </xdr:from>
    <xdr:to>
      <xdr:col>0</xdr:col>
      <xdr:colOff>28575</xdr:colOff>
      <xdr:row>0</xdr:row>
      <xdr:rowOff>28575</xdr:rowOff>
    </xdr:to>
    <xdr:pic>
      <xdr:nvPicPr>
        <xdr:cNvPr id="10" name="Picture 9"/>
        <xdr:cNvPicPr preferRelativeResize="1">
          <a:picLocks noChangeAspect="1"/>
        </xdr:cNvPicPr>
      </xdr:nvPicPr>
      <xdr:blipFill>
        <a:blip r:embed="rId2"/>
        <a:stretch>
          <a:fillRect/>
        </a:stretch>
      </xdr:blipFill>
      <xdr:spPr>
        <a:xfrm>
          <a:off x="0" y="0"/>
          <a:ext cx="28575" cy="2857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11" name="Picture 10"/>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6</xdr:row>
      <xdr:rowOff>0</xdr:rowOff>
    </xdr:from>
    <xdr:to>
      <xdr:col>0</xdr:col>
      <xdr:colOff>28575</xdr:colOff>
      <xdr:row>6</xdr:row>
      <xdr:rowOff>28575</xdr:rowOff>
    </xdr:to>
    <xdr:pic>
      <xdr:nvPicPr>
        <xdr:cNvPr id="12" name="Picture 11"/>
        <xdr:cNvPicPr preferRelativeResize="1">
          <a:picLocks noChangeAspect="1"/>
        </xdr:cNvPicPr>
      </xdr:nvPicPr>
      <xdr:blipFill>
        <a:blip r:embed="rId2"/>
        <a:stretch>
          <a:fillRect/>
        </a:stretch>
      </xdr:blipFill>
      <xdr:spPr>
        <a:xfrm>
          <a:off x="0" y="1152525"/>
          <a:ext cx="28575" cy="28575"/>
        </a:xfrm>
        <a:prstGeom prst="rect">
          <a:avLst/>
        </a:prstGeom>
        <a:noFill/>
        <a:ln w="9525" cmpd="sng">
          <a:noFill/>
        </a:ln>
      </xdr:spPr>
    </xdr:pic>
    <xdr:clientData/>
  </xdr:twoCellAnchor>
  <xdr:twoCellAnchor editAs="oneCell">
    <xdr:from>
      <xdr:col>0</xdr:col>
      <xdr:colOff>0</xdr:colOff>
      <xdr:row>6</xdr:row>
      <xdr:rowOff>0</xdr:rowOff>
    </xdr:from>
    <xdr:to>
      <xdr:col>0</xdr:col>
      <xdr:colOff>28575</xdr:colOff>
      <xdr:row>6</xdr:row>
      <xdr:rowOff>28575</xdr:rowOff>
    </xdr:to>
    <xdr:pic>
      <xdr:nvPicPr>
        <xdr:cNvPr id="13" name="Picture 12"/>
        <xdr:cNvPicPr preferRelativeResize="1">
          <a:picLocks noChangeAspect="1"/>
        </xdr:cNvPicPr>
      </xdr:nvPicPr>
      <xdr:blipFill>
        <a:blip r:embed="rId2"/>
        <a:stretch>
          <a:fillRect/>
        </a:stretch>
      </xdr:blipFill>
      <xdr:spPr>
        <a:xfrm>
          <a:off x="0" y="1152525"/>
          <a:ext cx="28575" cy="28575"/>
        </a:xfrm>
        <a:prstGeom prst="rect">
          <a:avLst/>
        </a:prstGeom>
        <a:noFill/>
        <a:ln w="9525" cmpd="sng">
          <a:noFill/>
        </a:ln>
      </xdr:spPr>
    </xdr:pic>
    <xdr:clientData/>
  </xdr:twoCellAnchor>
  <xdr:twoCellAnchor editAs="oneCell">
    <xdr:from>
      <xdr:col>0</xdr:col>
      <xdr:colOff>0</xdr:colOff>
      <xdr:row>6</xdr:row>
      <xdr:rowOff>0</xdr:rowOff>
    </xdr:from>
    <xdr:to>
      <xdr:col>0</xdr:col>
      <xdr:colOff>28575</xdr:colOff>
      <xdr:row>6</xdr:row>
      <xdr:rowOff>28575</xdr:rowOff>
    </xdr:to>
    <xdr:pic>
      <xdr:nvPicPr>
        <xdr:cNvPr id="14" name="Picture 13"/>
        <xdr:cNvPicPr preferRelativeResize="1">
          <a:picLocks noChangeAspect="1"/>
        </xdr:cNvPicPr>
      </xdr:nvPicPr>
      <xdr:blipFill>
        <a:blip r:embed="rId2"/>
        <a:stretch>
          <a:fillRect/>
        </a:stretch>
      </xdr:blipFill>
      <xdr:spPr>
        <a:xfrm>
          <a:off x="0" y="1152525"/>
          <a:ext cx="28575" cy="28575"/>
        </a:xfrm>
        <a:prstGeom prst="rect">
          <a:avLst/>
        </a:prstGeom>
        <a:noFill/>
        <a:ln w="9525" cmpd="sng">
          <a:noFill/>
        </a:ln>
      </xdr:spPr>
    </xdr:pic>
    <xdr:clientData/>
  </xdr:twoCellAnchor>
  <xdr:twoCellAnchor editAs="oneCell">
    <xdr:from>
      <xdr:col>0</xdr:col>
      <xdr:colOff>0</xdr:colOff>
      <xdr:row>0</xdr:row>
      <xdr:rowOff>0</xdr:rowOff>
    </xdr:from>
    <xdr:to>
      <xdr:col>0</xdr:col>
      <xdr:colOff>28575</xdr:colOff>
      <xdr:row>0</xdr:row>
      <xdr:rowOff>28575</xdr:rowOff>
    </xdr:to>
    <xdr:pic>
      <xdr:nvPicPr>
        <xdr:cNvPr id="15" name="Picture 14"/>
        <xdr:cNvPicPr preferRelativeResize="1">
          <a:picLocks noChangeAspect="1"/>
        </xdr:cNvPicPr>
      </xdr:nvPicPr>
      <xdr:blipFill>
        <a:blip r:embed="rId2"/>
        <a:stretch>
          <a:fillRect/>
        </a:stretch>
      </xdr:blipFill>
      <xdr:spPr>
        <a:xfrm>
          <a:off x="0" y="0"/>
          <a:ext cx="28575" cy="2857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16" name="Picture 15"/>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6</xdr:row>
      <xdr:rowOff>0</xdr:rowOff>
    </xdr:from>
    <xdr:to>
      <xdr:col>0</xdr:col>
      <xdr:colOff>28575</xdr:colOff>
      <xdr:row>6</xdr:row>
      <xdr:rowOff>28575</xdr:rowOff>
    </xdr:to>
    <xdr:pic>
      <xdr:nvPicPr>
        <xdr:cNvPr id="17" name="Picture 16"/>
        <xdr:cNvPicPr preferRelativeResize="1">
          <a:picLocks noChangeAspect="1"/>
        </xdr:cNvPicPr>
      </xdr:nvPicPr>
      <xdr:blipFill>
        <a:blip r:embed="rId2"/>
        <a:stretch>
          <a:fillRect/>
        </a:stretch>
      </xdr:blipFill>
      <xdr:spPr>
        <a:xfrm>
          <a:off x="0" y="1152525"/>
          <a:ext cx="28575" cy="28575"/>
        </a:xfrm>
        <a:prstGeom prst="rect">
          <a:avLst/>
        </a:prstGeom>
        <a:noFill/>
        <a:ln w="9525" cmpd="sng">
          <a:noFill/>
        </a:ln>
      </xdr:spPr>
    </xdr:pic>
    <xdr:clientData/>
  </xdr:twoCellAnchor>
  <xdr:twoCellAnchor editAs="oneCell">
    <xdr:from>
      <xdr:col>0</xdr:col>
      <xdr:colOff>0</xdr:colOff>
      <xdr:row>6</xdr:row>
      <xdr:rowOff>0</xdr:rowOff>
    </xdr:from>
    <xdr:to>
      <xdr:col>0</xdr:col>
      <xdr:colOff>28575</xdr:colOff>
      <xdr:row>6</xdr:row>
      <xdr:rowOff>28575</xdr:rowOff>
    </xdr:to>
    <xdr:pic>
      <xdr:nvPicPr>
        <xdr:cNvPr id="18" name="Picture 17"/>
        <xdr:cNvPicPr preferRelativeResize="1">
          <a:picLocks noChangeAspect="1"/>
        </xdr:cNvPicPr>
      </xdr:nvPicPr>
      <xdr:blipFill>
        <a:blip r:embed="rId2"/>
        <a:stretch>
          <a:fillRect/>
        </a:stretch>
      </xdr:blipFill>
      <xdr:spPr>
        <a:xfrm>
          <a:off x="0" y="1152525"/>
          <a:ext cx="28575" cy="28575"/>
        </a:xfrm>
        <a:prstGeom prst="rect">
          <a:avLst/>
        </a:prstGeom>
        <a:noFill/>
        <a:ln w="9525" cmpd="sng">
          <a:noFill/>
        </a:ln>
      </xdr:spPr>
    </xdr:pic>
    <xdr:clientData/>
  </xdr:twoCellAnchor>
  <xdr:twoCellAnchor editAs="oneCell">
    <xdr:from>
      <xdr:col>0</xdr:col>
      <xdr:colOff>0</xdr:colOff>
      <xdr:row>6</xdr:row>
      <xdr:rowOff>0</xdr:rowOff>
    </xdr:from>
    <xdr:to>
      <xdr:col>0</xdr:col>
      <xdr:colOff>28575</xdr:colOff>
      <xdr:row>6</xdr:row>
      <xdr:rowOff>28575</xdr:rowOff>
    </xdr:to>
    <xdr:pic>
      <xdr:nvPicPr>
        <xdr:cNvPr id="19" name="Picture 18"/>
        <xdr:cNvPicPr preferRelativeResize="1">
          <a:picLocks noChangeAspect="1"/>
        </xdr:cNvPicPr>
      </xdr:nvPicPr>
      <xdr:blipFill>
        <a:blip r:embed="rId2"/>
        <a:stretch>
          <a:fillRect/>
        </a:stretch>
      </xdr:blipFill>
      <xdr:spPr>
        <a:xfrm>
          <a:off x="0" y="1152525"/>
          <a:ext cx="28575" cy="28575"/>
        </a:xfrm>
        <a:prstGeom prst="rect">
          <a:avLst/>
        </a:prstGeom>
        <a:noFill/>
        <a:ln w="9525" cmpd="sng">
          <a:noFill/>
        </a:ln>
      </xdr:spPr>
    </xdr:pic>
    <xdr:clientData/>
  </xdr:twoCellAnchor>
  <xdr:twoCellAnchor editAs="oneCell">
    <xdr:from>
      <xdr:col>0</xdr:col>
      <xdr:colOff>0</xdr:colOff>
      <xdr:row>0</xdr:row>
      <xdr:rowOff>0</xdr:rowOff>
    </xdr:from>
    <xdr:to>
      <xdr:col>0</xdr:col>
      <xdr:colOff>28575</xdr:colOff>
      <xdr:row>0</xdr:row>
      <xdr:rowOff>28575</xdr:rowOff>
    </xdr:to>
    <xdr:pic>
      <xdr:nvPicPr>
        <xdr:cNvPr id="20" name="Picture 20"/>
        <xdr:cNvPicPr preferRelativeResize="1">
          <a:picLocks noChangeAspect="1"/>
        </xdr:cNvPicPr>
      </xdr:nvPicPr>
      <xdr:blipFill>
        <a:blip r:embed="rId2"/>
        <a:stretch>
          <a:fillRect/>
        </a:stretch>
      </xdr:blipFill>
      <xdr:spPr>
        <a:xfrm>
          <a:off x="0" y="0"/>
          <a:ext cx="28575" cy="2857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1" name="Picture 2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5</xdr:col>
      <xdr:colOff>485775</xdr:colOff>
      <xdr:row>1</xdr:row>
      <xdr:rowOff>180975</xdr:rowOff>
    </xdr:from>
    <xdr:to>
      <xdr:col>6</xdr:col>
      <xdr:colOff>1209675</xdr:colOff>
      <xdr:row>2</xdr:row>
      <xdr:rowOff>171450</xdr:rowOff>
    </xdr:to>
    <xdr:pic>
      <xdr:nvPicPr>
        <xdr:cNvPr id="22" name="Picture 4" descr="MCC horizontal"/>
        <xdr:cNvPicPr preferRelativeResize="1">
          <a:picLocks noChangeAspect="1"/>
        </xdr:cNvPicPr>
      </xdr:nvPicPr>
      <xdr:blipFill>
        <a:blip r:embed="rId4"/>
        <a:stretch>
          <a:fillRect/>
        </a:stretch>
      </xdr:blipFill>
      <xdr:spPr>
        <a:xfrm>
          <a:off x="8829675" y="371475"/>
          <a:ext cx="2171700" cy="180975"/>
        </a:xfrm>
        <a:prstGeom prst="rect">
          <a:avLst/>
        </a:prstGeom>
        <a:noFill/>
        <a:ln w="9525" cmpd="sng">
          <a:noFill/>
        </a:ln>
      </xdr:spPr>
    </xdr:pic>
    <xdr:clientData/>
  </xdr:twoCellAnchor>
  <xdr:twoCellAnchor editAs="oneCell">
    <xdr:from>
      <xdr:col>1</xdr:col>
      <xdr:colOff>323850</xdr:colOff>
      <xdr:row>53</xdr:row>
      <xdr:rowOff>171450</xdr:rowOff>
    </xdr:from>
    <xdr:to>
      <xdr:col>6</xdr:col>
      <xdr:colOff>504825</xdr:colOff>
      <xdr:row>81</xdr:row>
      <xdr:rowOff>66675</xdr:rowOff>
    </xdr:to>
    <xdr:pic>
      <xdr:nvPicPr>
        <xdr:cNvPr id="23" name="Picture 1"/>
        <xdr:cNvPicPr preferRelativeResize="1">
          <a:picLocks noChangeAspect="1"/>
        </xdr:cNvPicPr>
      </xdr:nvPicPr>
      <xdr:blipFill>
        <a:blip r:embed="rId5"/>
        <a:stretch>
          <a:fillRect/>
        </a:stretch>
      </xdr:blipFill>
      <xdr:spPr>
        <a:xfrm>
          <a:off x="609600" y="12011025"/>
          <a:ext cx="9686925" cy="5229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123825</xdr:rowOff>
    </xdr:from>
    <xdr:to>
      <xdr:col>1</xdr:col>
      <xdr:colOff>2638425</xdr:colOff>
      <xdr:row>4</xdr:row>
      <xdr:rowOff>171450</xdr:rowOff>
    </xdr:to>
    <xdr:pic>
      <xdr:nvPicPr>
        <xdr:cNvPr id="1" name="Picture 1" descr="content-branding-logo-horz"/>
        <xdr:cNvPicPr preferRelativeResize="1">
          <a:picLocks noChangeAspect="1"/>
        </xdr:cNvPicPr>
      </xdr:nvPicPr>
      <xdr:blipFill>
        <a:blip r:embed="rId1"/>
        <a:stretch>
          <a:fillRect/>
        </a:stretch>
      </xdr:blipFill>
      <xdr:spPr>
        <a:xfrm>
          <a:off x="123825" y="123825"/>
          <a:ext cx="2638425" cy="828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erenb\Compacts\Jordan\Projects\Analysis\Working\P1-B\Option%20B%20priority%20works%2016.06.10_BD_0_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cecon"/>
      <sheetName val="Wcon"/>
      <sheetName val="Hsehold"/>
      <sheetName val="Heli"/>
      <sheetName val="Prod"/>
      <sheetName val="CBA"/>
      <sheetName val="CBA_BD"/>
      <sheetName val="CBA_BD_Rescaled"/>
      <sheetName val="BA"/>
      <sheetName val="PSFront"/>
    </sheetNames>
    <sheetDataSet>
      <sheetData sheetId="4">
        <row r="115">
          <cell r="B115">
            <v>0.03</v>
          </cell>
        </row>
        <row r="118">
          <cell r="B118">
            <v>1</v>
          </cell>
        </row>
        <row r="119">
          <cell r="B119">
            <v>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B41"/>
  <sheetViews>
    <sheetView showGridLines="0" zoomScale="80" zoomScaleNormal="80" zoomScalePageLayoutView="0" workbookViewId="0" topLeftCell="A1">
      <selection activeCell="D18" sqref="D18"/>
    </sheetView>
  </sheetViews>
  <sheetFormatPr defaultColWidth="9.140625" defaultRowHeight="15"/>
  <cols>
    <col min="1" max="1" width="39.7109375" style="0" customWidth="1"/>
    <col min="2" max="2" width="106.421875" style="0" customWidth="1"/>
  </cols>
  <sheetData>
    <row r="1" spans="1:2" ht="15">
      <c r="A1" s="151"/>
      <c r="B1" s="152" t="s">
        <v>380</v>
      </c>
    </row>
    <row r="2" spans="1:2" ht="15">
      <c r="A2" s="151"/>
      <c r="B2" s="304" t="s">
        <v>422</v>
      </c>
    </row>
    <row r="3" spans="1:2" ht="15">
      <c r="A3" s="151"/>
      <c r="B3" s="304"/>
    </row>
    <row r="4" spans="1:2" ht="15">
      <c r="A4" s="151"/>
      <c r="B4" s="304"/>
    </row>
    <row r="5" spans="1:2" ht="15">
      <c r="A5" s="151"/>
      <c r="B5" s="304"/>
    </row>
    <row r="6" spans="1:2" ht="15">
      <c r="A6" s="151"/>
      <c r="B6" s="304"/>
    </row>
    <row r="7" spans="1:2" ht="21" thickBot="1">
      <c r="A7" s="151"/>
      <c r="B7" s="153"/>
    </row>
    <row r="8" spans="1:2" ht="27.75" customHeight="1" thickTop="1">
      <c r="A8" s="154" t="s">
        <v>381</v>
      </c>
      <c r="B8" s="155" t="s">
        <v>422</v>
      </c>
    </row>
    <row r="9" spans="1:2" ht="15.75" thickBot="1">
      <c r="A9" s="156"/>
      <c r="B9" s="157"/>
    </row>
    <row r="10" spans="1:2" ht="15.75" thickTop="1">
      <c r="A10" s="158" t="s">
        <v>382</v>
      </c>
      <c r="B10" s="159" t="s">
        <v>383</v>
      </c>
    </row>
    <row r="11" spans="1:2" ht="15">
      <c r="A11" s="160" t="s">
        <v>384</v>
      </c>
      <c r="B11" s="161">
        <v>40561</v>
      </c>
    </row>
    <row r="12" spans="1:2" ht="15">
      <c r="A12" s="162" t="s">
        <v>385</v>
      </c>
      <c r="B12" s="163" t="s">
        <v>396</v>
      </c>
    </row>
    <row r="13" spans="1:2" ht="56.25" customHeight="1">
      <c r="A13" s="164" t="s">
        <v>386</v>
      </c>
      <c r="B13" s="279" t="s">
        <v>398</v>
      </c>
    </row>
    <row r="14" spans="1:2" ht="31.5" customHeight="1">
      <c r="A14" s="305" t="s">
        <v>387</v>
      </c>
      <c r="B14" s="278" t="s">
        <v>456</v>
      </c>
    </row>
    <row r="15" spans="1:2" ht="31.5" customHeight="1">
      <c r="A15" s="306"/>
      <c r="B15" s="278" t="s">
        <v>457</v>
      </c>
    </row>
    <row r="16" spans="1:2" ht="31.5" customHeight="1">
      <c r="A16" s="306"/>
      <c r="B16" s="278" t="s">
        <v>455</v>
      </c>
    </row>
    <row r="17" spans="1:2" ht="31.5" customHeight="1">
      <c r="A17" s="307"/>
      <c r="B17" s="339"/>
    </row>
    <row r="18" spans="1:2" ht="60.75" customHeight="1">
      <c r="A18" s="160" t="s">
        <v>387</v>
      </c>
      <c r="B18" s="178" t="s">
        <v>423</v>
      </c>
    </row>
    <row r="19" spans="1:2" ht="25.5">
      <c r="A19" s="160" t="s">
        <v>388</v>
      </c>
      <c r="B19" s="165" t="s">
        <v>389</v>
      </c>
    </row>
    <row r="20" spans="1:2" ht="15">
      <c r="A20" s="166" t="s">
        <v>390</v>
      </c>
      <c r="B20" s="163" t="s">
        <v>397</v>
      </c>
    </row>
    <row r="21" spans="1:2" ht="15">
      <c r="A21" s="167" t="s">
        <v>391</v>
      </c>
      <c r="B21" s="168"/>
    </row>
    <row r="22" spans="1:2" ht="15">
      <c r="A22" s="169"/>
      <c r="B22" s="170" t="s">
        <v>392</v>
      </c>
    </row>
    <row r="23" spans="1:2" ht="25.5">
      <c r="A23" s="169"/>
      <c r="B23" s="171" t="s">
        <v>393</v>
      </c>
    </row>
    <row r="24" spans="1:2" ht="15">
      <c r="A24" s="169"/>
      <c r="B24" s="171"/>
    </row>
    <row r="25" spans="1:2" ht="15">
      <c r="A25" s="172"/>
      <c r="B25" s="170" t="s">
        <v>394</v>
      </c>
    </row>
    <row r="26" spans="1:2" ht="45">
      <c r="A26" s="172"/>
      <c r="B26" s="173" t="s">
        <v>437</v>
      </c>
    </row>
    <row r="27" spans="1:2" ht="15">
      <c r="A27" s="172"/>
      <c r="B27" s="174"/>
    </row>
    <row r="28" spans="1:2" ht="15">
      <c r="A28" s="172"/>
      <c r="B28" s="170" t="s">
        <v>449</v>
      </c>
    </row>
    <row r="29" spans="1:2" ht="15">
      <c r="A29" s="172"/>
      <c r="B29" s="175" t="s">
        <v>436</v>
      </c>
    </row>
    <row r="30" spans="1:2" ht="15">
      <c r="A30" s="172"/>
      <c r="B30" s="175"/>
    </row>
    <row r="31" spans="1:2" ht="15">
      <c r="A31" s="172"/>
      <c r="B31" s="170" t="s">
        <v>434</v>
      </c>
    </row>
    <row r="32" spans="1:2" ht="15">
      <c r="A32" s="172"/>
      <c r="B32" s="175" t="s">
        <v>435</v>
      </c>
    </row>
    <row r="33" spans="1:2" ht="15">
      <c r="A33" s="172"/>
      <c r="B33" s="175"/>
    </row>
    <row r="34" spans="1:2" ht="15">
      <c r="A34" s="172"/>
      <c r="B34" s="170" t="s">
        <v>59</v>
      </c>
    </row>
    <row r="35" spans="1:2" ht="15">
      <c r="A35" s="172"/>
      <c r="B35" s="175" t="s">
        <v>450</v>
      </c>
    </row>
    <row r="36" spans="1:2" ht="15">
      <c r="A36" s="172"/>
      <c r="B36" s="174"/>
    </row>
    <row r="37" spans="1:2" ht="15">
      <c r="A37" s="172"/>
      <c r="B37" s="170" t="s">
        <v>451</v>
      </c>
    </row>
    <row r="38" spans="1:2" ht="15">
      <c r="A38" s="172"/>
      <c r="B38" s="175" t="s">
        <v>452</v>
      </c>
    </row>
    <row r="39" spans="1:2" ht="15">
      <c r="A39" s="172"/>
      <c r="B39" s="174"/>
    </row>
    <row r="40" spans="1:2" ht="15">
      <c r="A40" s="172"/>
      <c r="B40" s="170" t="s">
        <v>453</v>
      </c>
    </row>
    <row r="41" spans="1:2" ht="15.75" thickBot="1">
      <c r="A41" s="176"/>
      <c r="B41" s="177" t="s">
        <v>454</v>
      </c>
    </row>
    <row r="42" ht="15.75" thickTop="1"/>
  </sheetData>
  <sheetProtection/>
  <mergeCells count="2">
    <mergeCell ref="B2:B6"/>
    <mergeCell ref="A14:A17"/>
  </mergeCells>
  <hyperlinks>
    <hyperlink ref="B22" location="'Activity Description'!A1" display="Activity Description"/>
    <hyperlink ref="B25" location="'ERR &amp; Sensitivity Analysis'!A1" display="ERR &amp; Sensitivity Analysis"/>
    <hyperlink ref="B28" location="'Combined Cost-Benefit'!A1" display="Combined Cost-Benefit"/>
    <hyperlink ref="B31" location="P2_Streams!A1" display="P2-Streams"/>
    <hyperlink ref="B37" location="Sept_Proj_Streams!A1" display="Sept_Proj_Streams"/>
    <hyperlink ref="B40" location="Agriculture!A1" display="Agriculture"/>
    <hyperlink ref="B34" location="Data!A1" display="Data"/>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9"/>
  <dimension ref="A1:V139"/>
  <sheetViews>
    <sheetView zoomScalePageLayoutView="0" workbookViewId="0" topLeftCell="A1">
      <selection activeCell="C16" sqref="C16"/>
    </sheetView>
  </sheetViews>
  <sheetFormatPr defaultColWidth="9.140625" defaultRowHeight="15"/>
  <cols>
    <col min="1" max="1" width="57.57421875" style="0" customWidth="1"/>
    <col min="2" max="2" width="14.57421875" style="0" bestFit="1" customWidth="1"/>
    <col min="3" max="5" width="9.28125" style="0" bestFit="1" customWidth="1"/>
    <col min="6" max="7" width="9.57421875" style="0" bestFit="1" customWidth="1"/>
  </cols>
  <sheetData>
    <row r="1" ht="15">
      <c r="A1" s="7" t="s">
        <v>12</v>
      </c>
    </row>
    <row r="2" ht="15">
      <c r="A2" s="7" t="s">
        <v>325</v>
      </c>
    </row>
    <row r="3" ht="15">
      <c r="A3" s="7" t="s">
        <v>221</v>
      </c>
    </row>
    <row r="4" ht="15">
      <c r="A4" s="7" t="s">
        <v>238</v>
      </c>
    </row>
    <row r="5" spans="1:4" ht="15">
      <c r="A5" t="s">
        <v>195</v>
      </c>
      <c r="C5">
        <f>0.5+0.5*0.84</f>
        <v>0.9199999999999999</v>
      </c>
      <c r="D5" t="s">
        <v>214</v>
      </c>
    </row>
    <row r="6" spans="1:3" ht="15">
      <c r="A6" t="s">
        <v>196</v>
      </c>
      <c r="C6">
        <f>1-C5</f>
        <v>0.08000000000000007</v>
      </c>
    </row>
    <row r="7" spans="1:3" ht="15">
      <c r="A7" t="s">
        <v>326</v>
      </c>
      <c r="C7">
        <v>5.4</v>
      </c>
    </row>
    <row r="8" spans="1:3" ht="15">
      <c r="A8" t="s">
        <v>233</v>
      </c>
      <c r="C8">
        <f>0.26</f>
        <v>0.26</v>
      </c>
    </row>
    <row r="9" spans="1:3" ht="15">
      <c r="A9" t="s">
        <v>234</v>
      </c>
      <c r="C9">
        <f>3.3</f>
        <v>3.3</v>
      </c>
    </row>
    <row r="10" spans="1:3" ht="15">
      <c r="A10" t="s">
        <v>200</v>
      </c>
      <c r="C10" s="32">
        <f>C8/C9</f>
        <v>0.0787878787878788</v>
      </c>
    </row>
    <row r="12" spans="1:4" ht="15">
      <c r="A12" t="s">
        <v>231</v>
      </c>
      <c r="C12">
        <v>0.66</v>
      </c>
      <c r="D12" t="s">
        <v>237</v>
      </c>
    </row>
    <row r="13" spans="1:4" ht="15">
      <c r="A13" t="s">
        <v>232</v>
      </c>
      <c r="C13">
        <v>2.5</v>
      </c>
      <c r="D13" t="s">
        <v>331</v>
      </c>
    </row>
    <row r="14" spans="1:3" ht="15">
      <c r="A14" t="s">
        <v>200</v>
      </c>
      <c r="C14" s="32">
        <f>C12/C13</f>
        <v>0.264</v>
      </c>
    </row>
    <row r="15" ht="15">
      <c r="C15" s="32"/>
    </row>
    <row r="16" spans="1:5" ht="15">
      <c r="A16" t="s">
        <v>235</v>
      </c>
      <c r="C16" s="3">
        <f>Agriculture!B15/'BA'!C9</f>
        <v>393.93939393939394</v>
      </c>
      <c r="E16">
        <f>C16*C9</f>
        <v>1300</v>
      </c>
    </row>
    <row r="17" spans="1:3" ht="15">
      <c r="A17" t="s">
        <v>332</v>
      </c>
      <c r="C17" s="3">
        <f>C16*C8</f>
        <v>102.42424242424242</v>
      </c>
    </row>
    <row r="18" spans="1:3" ht="15">
      <c r="A18" t="s">
        <v>201</v>
      </c>
      <c r="C18" s="32"/>
    </row>
    <row r="19" spans="1:3" ht="15">
      <c r="A19" t="s">
        <v>198</v>
      </c>
      <c r="C19" s="3">
        <f>C17*HH_Size</f>
        <v>553.0909090909091</v>
      </c>
    </row>
    <row r="20" spans="1:3" ht="15">
      <c r="A20" t="s">
        <v>199</v>
      </c>
      <c r="C20" s="3">
        <f>C16*HH_Size</f>
        <v>2127.2727272727275</v>
      </c>
    </row>
    <row r="21" ht="15">
      <c r="C21" s="32"/>
    </row>
    <row r="23" spans="1:3" ht="15">
      <c r="A23" t="s">
        <v>230</v>
      </c>
      <c r="C23" s="3">
        <f>Agriculture!B24/C13</f>
        <v>4600</v>
      </c>
    </row>
    <row r="24" spans="1:5" ht="15">
      <c r="A24" t="s">
        <v>332</v>
      </c>
      <c r="C24" s="3">
        <f>C23*C12</f>
        <v>3036</v>
      </c>
      <c r="E24">
        <f>'P3_Streams'!W92/Agriculture!B23</f>
        <v>11500</v>
      </c>
    </row>
    <row r="25" spans="1:3" ht="15">
      <c r="A25" t="s">
        <v>201</v>
      </c>
      <c r="C25" s="3"/>
    </row>
    <row r="26" spans="1:3" ht="15">
      <c r="A26" t="s">
        <v>198</v>
      </c>
      <c r="C26" s="3">
        <f>C24*HH_Size</f>
        <v>16394.4</v>
      </c>
    </row>
    <row r="27" spans="1:3" ht="15">
      <c r="A27" t="s">
        <v>199</v>
      </c>
      <c r="C27" s="3">
        <f>C23*HH_Size</f>
        <v>24840</v>
      </c>
    </row>
    <row r="29" spans="1:3" ht="15">
      <c r="A29" t="s">
        <v>210</v>
      </c>
      <c r="C29" s="2">
        <f>C27/(C26+C27)</f>
        <v>0.6024096385542168</v>
      </c>
    </row>
    <row r="30" spans="1:3" ht="15">
      <c r="A30" t="s">
        <v>211</v>
      </c>
      <c r="C30" s="2">
        <f>1-C29</f>
        <v>0.3975903614457832</v>
      </c>
    </row>
    <row r="31" spans="3:6" ht="15">
      <c r="C31" s="333" t="s">
        <v>204</v>
      </c>
      <c r="D31" s="333"/>
      <c r="E31" s="333"/>
      <c r="F31" s="333"/>
    </row>
    <row r="32" spans="1:6" ht="15">
      <c r="A32" t="s">
        <v>202</v>
      </c>
      <c r="C32" s="33" t="s">
        <v>205</v>
      </c>
      <c r="D32" s="33" t="s">
        <v>206</v>
      </c>
      <c r="E32" s="34" t="s">
        <v>207</v>
      </c>
      <c r="F32" s="33" t="s">
        <v>208</v>
      </c>
    </row>
    <row r="33" spans="1:9" ht="15">
      <c r="A33" t="s">
        <v>203</v>
      </c>
      <c r="C33" s="2">
        <v>0</v>
      </c>
      <c r="D33" s="36">
        <v>0.02586666027690286</v>
      </c>
      <c r="E33" s="36">
        <v>0.25040850370472456</v>
      </c>
      <c r="F33" s="36">
        <v>0.7237248360183721</v>
      </c>
      <c r="I33" s="1">
        <f>3200*12800/1.4</f>
        <v>29257142.85714286</v>
      </c>
    </row>
    <row r="34" spans="1:9" ht="15">
      <c r="A34" t="s">
        <v>236</v>
      </c>
      <c r="C34" s="3">
        <f>($C27+$C20)*C33</f>
        <v>0</v>
      </c>
      <c r="D34" s="3">
        <f>($C27+$C20)*D33</f>
        <v>697.5532822309514</v>
      </c>
      <c r="E34" s="3">
        <f>($C27+$C20)*E33</f>
        <v>6752.834412633591</v>
      </c>
      <c r="F34" s="3">
        <f>($C27+$C20)*F33</f>
        <v>19516.885032408172</v>
      </c>
      <c r="H34" s="3"/>
      <c r="I34">
        <f>I33/E40</f>
        <v>3432.5817957973427</v>
      </c>
    </row>
    <row r="35" spans="3:6" ht="15">
      <c r="C35" s="333" t="s">
        <v>204</v>
      </c>
      <c r="D35" s="333"/>
      <c r="E35" s="333"/>
      <c r="F35" s="333"/>
    </row>
    <row r="36" spans="3:6" ht="15">
      <c r="C36" s="33" t="s">
        <v>205</v>
      </c>
      <c r="D36" s="33" t="s">
        <v>206</v>
      </c>
      <c r="E36" s="34" t="s">
        <v>207</v>
      </c>
      <c r="F36" s="33" t="s">
        <v>208</v>
      </c>
    </row>
    <row r="37" spans="1:6" ht="15">
      <c r="A37" t="s">
        <v>209</v>
      </c>
      <c r="C37" s="2">
        <v>0</v>
      </c>
      <c r="D37" s="36">
        <v>0.03</v>
      </c>
      <c r="E37" s="36">
        <v>0.97</v>
      </c>
      <c r="F37" s="36">
        <v>0</v>
      </c>
    </row>
    <row r="38" spans="1:8" ht="15">
      <c r="A38" t="s">
        <v>236</v>
      </c>
      <c r="C38" s="3">
        <f>C37*($C26+$C19)</f>
        <v>0</v>
      </c>
      <c r="D38" s="3">
        <f>D37*($C26+$C19)</f>
        <v>508.4247272727273</v>
      </c>
      <c r="E38" s="3">
        <f>E37*($C26+$C19)</f>
        <v>16439.066181818183</v>
      </c>
      <c r="F38" s="3">
        <f>F37*($C26+$C19)</f>
        <v>0</v>
      </c>
      <c r="H38" s="3"/>
    </row>
    <row r="39" spans="3:9" ht="15">
      <c r="C39" s="3"/>
      <c r="D39" s="3"/>
      <c r="E39" s="3"/>
      <c r="F39" s="3"/>
      <c r="I39" s="3">
        <f>3200*12800/E40</f>
        <v>4805.61451411628</v>
      </c>
    </row>
    <row r="40" spans="1:9" ht="15">
      <c r="A40" t="s">
        <v>239</v>
      </c>
      <c r="C40" s="3">
        <f>C27+C20+C19+C26*(1+0.5*Agriculture!B29)</f>
        <v>46026.163636363635</v>
      </c>
      <c r="D40" s="3"/>
      <c r="E40" s="3">
        <f>C40/HH_Size</f>
        <v>8523.363636363636</v>
      </c>
      <c r="F40" s="3"/>
      <c r="I40" s="3">
        <f>I39/HH_Size</f>
        <v>889.9286137252369</v>
      </c>
    </row>
    <row r="41" spans="3:9" ht="15">
      <c r="C41" s="3"/>
      <c r="D41" s="3"/>
      <c r="E41" s="3"/>
      <c r="F41" s="3"/>
      <c r="I41" s="141">
        <f>I40/365</f>
        <v>2.4381605855485944</v>
      </c>
    </row>
    <row r="42" spans="3:6" ht="15">
      <c r="C42" s="333" t="s">
        <v>204</v>
      </c>
      <c r="D42" s="333"/>
      <c r="E42" s="333"/>
      <c r="F42" s="333"/>
    </row>
    <row r="43" spans="3:6" ht="15">
      <c r="C43" s="33" t="s">
        <v>205</v>
      </c>
      <c r="D43" s="33" t="s">
        <v>206</v>
      </c>
      <c r="E43" s="34" t="s">
        <v>207</v>
      </c>
      <c r="F43" s="33" t="s">
        <v>208</v>
      </c>
    </row>
    <row r="44" spans="1:6" ht="15">
      <c r="A44" t="s">
        <v>212</v>
      </c>
      <c r="C44" s="2">
        <f>$C29*C33+$C30*C37</f>
        <v>0</v>
      </c>
      <c r="D44" s="36">
        <f>$C29*D33+$C30*D37</f>
        <v>0.027510036311387265</v>
      </c>
      <c r="E44" s="36">
        <f>$C29*E33+$C30*E37</f>
        <v>0.5365111468100751</v>
      </c>
      <c r="F44" s="36">
        <f>$C29*F33+$C30*F37</f>
        <v>0.4359788168785374</v>
      </c>
    </row>
    <row r="45" spans="3:6" ht="15">
      <c r="C45" s="333" t="s">
        <v>204</v>
      </c>
      <c r="D45" s="333"/>
      <c r="E45" s="333"/>
      <c r="F45" s="333"/>
    </row>
    <row r="46" spans="3:6" ht="15">
      <c r="C46" s="33" t="s">
        <v>205</v>
      </c>
      <c r="D46" s="33" t="s">
        <v>206</v>
      </c>
      <c r="E46" s="34" t="s">
        <v>207</v>
      </c>
      <c r="F46" s="33" t="s">
        <v>208</v>
      </c>
    </row>
    <row r="47" spans="1:6" ht="15">
      <c r="A47" s="37" t="s">
        <v>213</v>
      </c>
      <c r="C47" s="2">
        <f>$C5*C33+$C6*C37</f>
        <v>0</v>
      </c>
      <c r="D47" s="36">
        <f>$C5*D33+$C6*D37</f>
        <v>0.026197327454750632</v>
      </c>
      <c r="E47" s="36">
        <f>$C5*E33+$C6*E37</f>
        <v>0.30797582340834667</v>
      </c>
      <c r="F47" s="36">
        <f>$C5*F33+$C6*F37</f>
        <v>0.6658268491369023</v>
      </c>
    </row>
    <row r="49" spans="1:2" ht="15">
      <c r="A49" s="37" t="s">
        <v>215</v>
      </c>
      <c r="B49" s="1">
        <f>NPV(0.1,'P3_Streams'!D105:W105)/PPP_Conversion</f>
        <v>365972975.4428501</v>
      </c>
    </row>
    <row r="50" spans="3:9" ht="15">
      <c r="C50" s="333" t="s">
        <v>204</v>
      </c>
      <c r="D50" s="333"/>
      <c r="E50" s="333"/>
      <c r="F50" s="333"/>
      <c r="I50" s="142"/>
    </row>
    <row r="51" spans="3:9" ht="15">
      <c r="C51" s="33" t="s">
        <v>205</v>
      </c>
      <c r="D51" s="33" t="s">
        <v>206</v>
      </c>
      <c r="E51" s="34" t="s">
        <v>207</v>
      </c>
      <c r="F51" s="33" t="s">
        <v>208</v>
      </c>
      <c r="I51" s="142"/>
    </row>
    <row r="52" spans="1:6" ht="15">
      <c r="A52" t="s">
        <v>222</v>
      </c>
      <c r="C52" s="1">
        <f>$B49*C47</f>
        <v>0</v>
      </c>
      <c r="D52" s="1">
        <f>$B49*D47</f>
        <v>9587513.877265757</v>
      </c>
      <c r="E52" s="1">
        <f>$B49*E47</f>
        <v>112710828.4572144</v>
      </c>
      <c r="F52" s="1">
        <f>$B49*F47</f>
        <v>243674633.1083698</v>
      </c>
    </row>
    <row r="53" spans="1:6" ht="15">
      <c r="A53" t="s">
        <v>223</v>
      </c>
      <c r="C53" s="3">
        <f>($C40)*C44</f>
        <v>0</v>
      </c>
      <c r="D53" s="3">
        <f>($C40)*D44</f>
        <v>1266.1814329102158</v>
      </c>
      <c r="E53" s="3">
        <f>($C40)*E44</f>
        <v>24693.54983581363</v>
      </c>
      <c r="F53" s="3">
        <f>($C40)*F44</f>
        <v>20066.43236763978</v>
      </c>
    </row>
    <row r="54" spans="1:6" ht="15">
      <c r="A54" t="s">
        <v>224</v>
      </c>
      <c r="C54">
        <v>0</v>
      </c>
      <c r="D54" s="3">
        <f>D52/D53</f>
        <v>7571.99057581316</v>
      </c>
      <c r="E54" s="3">
        <f>E52/E53</f>
        <v>4564.383379733734</v>
      </c>
      <c r="F54" s="3">
        <f>F52/F53</f>
        <v>12143.395928283333</v>
      </c>
    </row>
    <row r="55" spans="4:6" ht="15">
      <c r="D55" s="3"/>
      <c r="E55" s="3"/>
      <c r="F55" s="3"/>
    </row>
    <row r="56" spans="3:6" ht="15">
      <c r="C56" s="333" t="s">
        <v>204</v>
      </c>
      <c r="D56" s="333"/>
      <c r="E56" s="333"/>
      <c r="F56" s="333"/>
    </row>
    <row r="57" spans="3:6" ht="15">
      <c r="C57" s="33" t="s">
        <v>205</v>
      </c>
      <c r="D57" s="33" t="s">
        <v>206</v>
      </c>
      <c r="E57" s="34" t="s">
        <v>207</v>
      </c>
      <c r="F57" s="33" t="s">
        <v>208</v>
      </c>
    </row>
    <row r="58" spans="1:6" ht="15">
      <c r="A58" s="37" t="s">
        <v>252</v>
      </c>
      <c r="C58">
        <v>0</v>
      </c>
      <c r="D58" s="3">
        <f>2*365</f>
        <v>730</v>
      </c>
      <c r="E58" s="3">
        <f>3*365</f>
        <v>1095</v>
      </c>
      <c r="F58" s="3">
        <f>10.2997441383138*365</f>
        <v>3759.406610484537</v>
      </c>
    </row>
    <row r="59" spans="1:7" ht="15">
      <c r="A59" s="37" t="s">
        <v>257</v>
      </c>
      <c r="G59" s="3">
        <v>244.18947566196587</v>
      </c>
    </row>
    <row r="60" spans="1:7" ht="15">
      <c r="A60" s="37" t="s">
        <v>258</v>
      </c>
      <c r="G60" s="3">
        <f>G59*12</f>
        <v>2930.2737079435906</v>
      </c>
    </row>
    <row r="64" ht="15">
      <c r="A64" s="7" t="s">
        <v>240</v>
      </c>
    </row>
    <row r="65" spans="2:22" ht="15">
      <c r="B65" s="40" t="s">
        <v>8</v>
      </c>
      <c r="C65" s="5">
        <v>2011</v>
      </c>
      <c r="D65" s="5">
        <v>2012</v>
      </c>
      <c r="E65" s="5">
        <v>2013</v>
      </c>
      <c r="F65" s="5">
        <v>2014</v>
      </c>
      <c r="G65" s="5">
        <v>2015</v>
      </c>
      <c r="H65" s="5">
        <v>2016</v>
      </c>
      <c r="I65" s="5">
        <v>2017</v>
      </c>
      <c r="J65" s="5">
        <v>2018</v>
      </c>
      <c r="K65" s="5">
        <v>2019</v>
      </c>
      <c r="L65" s="5">
        <v>2020</v>
      </c>
      <c r="M65" s="5">
        <v>2021</v>
      </c>
      <c r="N65" s="5">
        <v>2022</v>
      </c>
      <c r="O65" s="5">
        <v>2023</v>
      </c>
      <c r="P65" s="5">
        <v>2024</v>
      </c>
      <c r="Q65" s="5">
        <v>2025</v>
      </c>
      <c r="R65" s="5">
        <v>2026</v>
      </c>
      <c r="S65" s="5">
        <v>2027</v>
      </c>
      <c r="T65" s="5">
        <v>2028</v>
      </c>
      <c r="U65" s="5">
        <v>2029</v>
      </c>
      <c r="V65" s="5">
        <v>2030</v>
      </c>
    </row>
    <row r="66" spans="2:22" ht="15">
      <c r="B66" s="40" t="s">
        <v>242</v>
      </c>
      <c r="C66" s="5">
        <v>1</v>
      </c>
      <c r="D66" s="5">
        <v>2</v>
      </c>
      <c r="E66" s="5">
        <v>3</v>
      </c>
      <c r="F66" s="5">
        <v>4</v>
      </c>
      <c r="G66" s="5">
        <v>5</v>
      </c>
      <c r="H66" s="5">
        <v>6</v>
      </c>
      <c r="I66" s="5">
        <v>7</v>
      </c>
      <c r="J66" s="5">
        <v>8</v>
      </c>
      <c r="K66" s="5">
        <v>9</v>
      </c>
      <c r="L66" s="5">
        <v>10</v>
      </c>
      <c r="M66" s="5">
        <v>11</v>
      </c>
      <c r="N66" s="5">
        <v>12</v>
      </c>
      <c r="O66" s="5">
        <v>13</v>
      </c>
      <c r="P66" s="5">
        <v>14</v>
      </c>
      <c r="Q66" s="5">
        <v>15</v>
      </c>
      <c r="R66" s="5">
        <v>16</v>
      </c>
      <c r="S66" s="5">
        <v>17</v>
      </c>
      <c r="T66" s="5">
        <v>18</v>
      </c>
      <c r="U66" s="5">
        <v>19</v>
      </c>
      <c r="V66" s="5">
        <v>20</v>
      </c>
    </row>
    <row r="67" spans="1:22" ht="15">
      <c r="A67" t="s">
        <v>241</v>
      </c>
      <c r="C67" s="3">
        <f>'P3_Streams'!D17</f>
        <v>949094</v>
      </c>
      <c r="D67" s="3">
        <f>'P3_Streams'!E17</f>
        <v>977567</v>
      </c>
      <c r="E67" s="3">
        <f>'P3_Streams'!F17</f>
        <v>1006894</v>
      </c>
      <c r="F67" s="3">
        <f>'P3_Streams'!G17</f>
        <v>1037101</v>
      </c>
      <c r="G67" s="3">
        <f>'P3_Streams'!H17</f>
        <v>1068214</v>
      </c>
      <c r="H67" s="3">
        <f>'P3_Streams'!I17</f>
        <v>1100260</v>
      </c>
      <c r="I67" s="3">
        <f>'P3_Streams'!J17</f>
        <v>1133268</v>
      </c>
      <c r="J67" s="3">
        <f>'P3_Streams'!K17</f>
        <v>1167266</v>
      </c>
      <c r="K67" s="3">
        <f>'P3_Streams'!L17</f>
        <v>1202284</v>
      </c>
      <c r="L67" s="3">
        <f>'P3_Streams'!M17</f>
        <v>1238353</v>
      </c>
      <c r="M67" s="3">
        <f>'P3_Streams'!N17</f>
        <v>1275504</v>
      </c>
      <c r="N67" s="3">
        <f>'P3_Streams'!O17</f>
        <v>1313769</v>
      </c>
      <c r="O67" s="3">
        <f>'P3_Streams'!P17</f>
        <v>1353182</v>
      </c>
      <c r="P67" s="3">
        <f>'P3_Streams'!Q17</f>
        <v>1393777</v>
      </c>
      <c r="Q67" s="3">
        <f>'P3_Streams'!R17</f>
        <v>1435590</v>
      </c>
      <c r="R67" s="3">
        <f>'P3_Streams'!S17</f>
        <v>1478658</v>
      </c>
      <c r="S67" s="3">
        <f>'P3_Streams'!T17</f>
        <v>1523018</v>
      </c>
      <c r="T67" s="3">
        <f>'P3_Streams'!U17</f>
        <v>1568709</v>
      </c>
      <c r="U67" s="3">
        <f>'P3_Streams'!V17</f>
        <v>1615770</v>
      </c>
      <c r="V67" s="3">
        <f>'P3_Streams'!W17</f>
        <v>1664243</v>
      </c>
    </row>
    <row r="68" spans="1:22" ht="15">
      <c r="A68" t="s">
        <v>243</v>
      </c>
      <c r="D68" s="3"/>
      <c r="E68" s="3"/>
      <c r="F68" s="3">
        <f aca="true" t="shared" si="0" ref="F68:V68">F67-E67</f>
        <v>30207</v>
      </c>
      <c r="G68" s="3">
        <f t="shared" si="0"/>
        <v>31113</v>
      </c>
      <c r="H68" s="3">
        <f t="shared" si="0"/>
        <v>32046</v>
      </c>
      <c r="I68" s="3">
        <f t="shared" si="0"/>
        <v>33008</v>
      </c>
      <c r="J68" s="3">
        <f t="shared" si="0"/>
        <v>33998</v>
      </c>
      <c r="K68" s="3">
        <f t="shared" si="0"/>
        <v>35018</v>
      </c>
      <c r="L68" s="3">
        <f t="shared" si="0"/>
        <v>36069</v>
      </c>
      <c r="M68" s="3">
        <f t="shared" si="0"/>
        <v>37151</v>
      </c>
      <c r="N68" s="3">
        <f t="shared" si="0"/>
        <v>38265</v>
      </c>
      <c r="O68" s="3">
        <f t="shared" si="0"/>
        <v>39413</v>
      </c>
      <c r="P68" s="3">
        <f t="shared" si="0"/>
        <v>40595</v>
      </c>
      <c r="Q68" s="3">
        <f t="shared" si="0"/>
        <v>41813</v>
      </c>
      <c r="R68" s="3">
        <f t="shared" si="0"/>
        <v>43068</v>
      </c>
      <c r="S68" s="3">
        <f t="shared" si="0"/>
        <v>44360</v>
      </c>
      <c r="T68" s="3">
        <f t="shared" si="0"/>
        <v>45691</v>
      </c>
      <c r="U68" s="3">
        <f t="shared" si="0"/>
        <v>47061</v>
      </c>
      <c r="V68" s="3">
        <f t="shared" si="0"/>
        <v>48473</v>
      </c>
    </row>
    <row r="70" spans="1:22" ht="15">
      <c r="A70" t="s">
        <v>244</v>
      </c>
      <c r="C70">
        <f>'P3_Streams'!D11</f>
        <v>1905500</v>
      </c>
      <c r="D70">
        <f>'P3_Streams'!E11</f>
        <v>1962665</v>
      </c>
      <c r="E70">
        <f>'P3_Streams'!F11</f>
        <v>2021545</v>
      </c>
      <c r="F70">
        <f>'P3_Streams'!G11</f>
        <v>2082191</v>
      </c>
      <c r="G70">
        <f>'P3_Streams'!H11</f>
        <v>2144657</v>
      </c>
      <c r="H70">
        <f>'P3_Streams'!I11</f>
        <v>2208997</v>
      </c>
      <c r="I70">
        <f>'P3_Streams'!J11</f>
        <v>2275267</v>
      </c>
      <c r="J70">
        <f>'P3_Streams'!K11</f>
        <v>2343525</v>
      </c>
      <c r="K70">
        <f>'P3_Streams'!L11</f>
        <v>2413831</v>
      </c>
      <c r="L70">
        <f>'P3_Streams'!M11</f>
        <v>2486246</v>
      </c>
      <c r="M70">
        <f>'P3_Streams'!N11</f>
        <v>2560833</v>
      </c>
      <c r="N70">
        <f>'P3_Streams'!O11</f>
        <v>2637658</v>
      </c>
      <c r="O70">
        <f>'P3_Streams'!P11</f>
        <v>2716788</v>
      </c>
      <c r="P70">
        <f>'P3_Streams'!Q11</f>
        <v>2798292</v>
      </c>
      <c r="Q70">
        <f>'P3_Streams'!R11</f>
        <v>2882241</v>
      </c>
      <c r="R70">
        <f>'P3_Streams'!S11</f>
        <v>2968708</v>
      </c>
      <c r="S70">
        <f>'P3_Streams'!T11</f>
        <v>3057769</v>
      </c>
      <c r="T70">
        <f>'P3_Streams'!U11</f>
        <v>3149502</v>
      </c>
      <c r="U70">
        <f>'P3_Streams'!V11</f>
        <v>3243987</v>
      </c>
      <c r="V70">
        <f>'P3_Streams'!W11</f>
        <v>3341307</v>
      </c>
    </row>
    <row r="71" spans="1:22" ht="15">
      <c r="A71" t="s">
        <v>243</v>
      </c>
      <c r="D71" s="3"/>
      <c r="E71" s="3"/>
      <c r="F71" s="3">
        <f>F70-E70</f>
        <v>60646</v>
      </c>
      <c r="G71" s="3">
        <f>G70-F70</f>
        <v>62466</v>
      </c>
      <c r="H71" s="3">
        <f>H70-G70</f>
        <v>64340</v>
      </c>
      <c r="I71" s="3">
        <f>I70-H70</f>
        <v>66270</v>
      </c>
      <c r="J71" s="3">
        <f>J70-I70</f>
        <v>68258</v>
      </c>
      <c r="K71" s="3">
        <f>K70-J70</f>
        <v>70306</v>
      </c>
      <c r="L71" s="3">
        <f>L70-K70</f>
        <v>72415</v>
      </c>
      <c r="M71" s="3">
        <f>M70-L70</f>
        <v>74587</v>
      </c>
      <c r="N71" s="3">
        <f>N70-M70</f>
        <v>76825</v>
      </c>
      <c r="O71" s="3">
        <f>O70-N70</f>
        <v>79130</v>
      </c>
      <c r="P71" s="3">
        <f>P70-O70</f>
        <v>81504</v>
      </c>
      <c r="Q71" s="3">
        <f>Q70-P70</f>
        <v>83949</v>
      </c>
      <c r="R71" s="3">
        <f>R70-Q70</f>
        <v>86467</v>
      </c>
      <c r="S71" s="3">
        <f>S70-R70</f>
        <v>89061</v>
      </c>
      <c r="T71" s="3">
        <f>T70-S70</f>
        <v>91733</v>
      </c>
      <c r="U71" s="3">
        <f>U70-T70</f>
        <v>94485</v>
      </c>
      <c r="V71" s="3">
        <f>V70-U70</f>
        <v>97320</v>
      </c>
    </row>
    <row r="72" ht="15">
      <c r="D72" t="s">
        <v>324</v>
      </c>
    </row>
    <row r="73" spans="1:4" ht="15">
      <c r="A73" t="s">
        <v>246</v>
      </c>
      <c r="B73" s="144">
        <f>SUM(C68:V68)</f>
        <v>657349</v>
      </c>
      <c r="C73" s="2">
        <f>B73/(B73+B74)</f>
        <v>0.3324795623513298</v>
      </c>
      <c r="D73" s="3">
        <f>B73/HH_Size</f>
        <v>121731.29629629629</v>
      </c>
    </row>
    <row r="74" spans="1:4" ht="15">
      <c r="A74" t="s">
        <v>245</v>
      </c>
      <c r="B74" s="143">
        <f>SUM(C71:V71)</f>
        <v>1319762</v>
      </c>
      <c r="C74" s="2">
        <f>1-C73</f>
        <v>0.6675204376486702</v>
      </c>
      <c r="D74" s="3">
        <f>B74/HH_Size</f>
        <v>244400.37037037036</v>
      </c>
    </row>
    <row r="75" spans="1:2" ht="15">
      <c r="A75" t="s">
        <v>239</v>
      </c>
      <c r="B75" s="3">
        <f>B73+B74</f>
        <v>1977111</v>
      </c>
    </row>
    <row r="76" spans="2:3" ht="15">
      <c r="B76" s="3"/>
      <c r="C76" s="1"/>
    </row>
    <row r="77" ht="15">
      <c r="A77" s="37" t="s">
        <v>247</v>
      </c>
    </row>
    <row r="78" spans="3:6" ht="15">
      <c r="C78" s="333" t="s">
        <v>204</v>
      </c>
      <c r="D78" s="333"/>
      <c r="E78" s="333"/>
      <c r="F78" s="333"/>
    </row>
    <row r="79" spans="1:6" ht="15">
      <c r="A79" s="37" t="s">
        <v>248</v>
      </c>
      <c r="C79" s="33" t="s">
        <v>205</v>
      </c>
      <c r="D79" s="33" t="s">
        <v>206</v>
      </c>
      <c r="E79" s="34" t="s">
        <v>207</v>
      </c>
      <c r="F79" s="33" t="s">
        <v>208</v>
      </c>
    </row>
    <row r="80" spans="1:6" ht="15">
      <c r="A80" s="37" t="s">
        <v>249</v>
      </c>
      <c r="C80" s="2">
        <v>0</v>
      </c>
      <c r="D80" s="35">
        <v>0.03586666027690286</v>
      </c>
      <c r="E80" s="35">
        <v>0.2704085037047246</v>
      </c>
      <c r="F80" s="35">
        <v>0.6937248360183722</v>
      </c>
    </row>
    <row r="81" spans="1:6" ht="15">
      <c r="A81" s="37"/>
      <c r="C81" s="2"/>
      <c r="D81" s="35"/>
      <c r="E81" s="35"/>
      <c r="F81" s="35"/>
    </row>
    <row r="82" spans="3:6" ht="15">
      <c r="C82" s="333" t="s">
        <v>204</v>
      </c>
      <c r="D82" s="333"/>
      <c r="E82" s="333"/>
      <c r="F82" s="333"/>
    </row>
    <row r="83" spans="1:6" ht="15">
      <c r="A83" s="37" t="s">
        <v>250</v>
      </c>
      <c r="C83" s="33" t="s">
        <v>205</v>
      </c>
      <c r="D83" s="33" t="s">
        <v>206</v>
      </c>
      <c r="E83" s="34" t="s">
        <v>207</v>
      </c>
      <c r="F83" s="33" t="s">
        <v>208</v>
      </c>
    </row>
    <row r="84" spans="1:6" ht="15">
      <c r="A84" s="37" t="s">
        <v>249</v>
      </c>
      <c r="C84" s="2">
        <v>0</v>
      </c>
      <c r="D84" s="35">
        <v>0.0258666602769029</v>
      </c>
      <c r="E84" s="35">
        <v>0.25040850370472456</v>
      </c>
      <c r="F84" s="35">
        <v>0.7237248360183722</v>
      </c>
    </row>
    <row r="85" spans="1:6" ht="15">
      <c r="A85" s="37"/>
      <c r="C85" s="2"/>
      <c r="D85" s="35"/>
      <c r="E85" s="35"/>
      <c r="F85" s="35"/>
    </row>
    <row r="86" spans="3:6" ht="15">
      <c r="C86" s="333" t="s">
        <v>204</v>
      </c>
      <c r="D86" s="333"/>
      <c r="E86" s="333"/>
      <c r="F86" s="333"/>
    </row>
    <row r="87" spans="1:6" ht="15">
      <c r="A87" s="37" t="s">
        <v>262</v>
      </c>
      <c r="C87" s="2">
        <v>0</v>
      </c>
      <c r="D87" s="35">
        <v>0.038</v>
      </c>
      <c r="E87" s="35">
        <v>0.302</v>
      </c>
      <c r="F87" s="35">
        <v>0.66</v>
      </c>
    </row>
    <row r="89" spans="3:6" ht="15">
      <c r="C89" s="333" t="s">
        <v>204</v>
      </c>
      <c r="D89" s="333"/>
      <c r="E89" s="333"/>
      <c r="F89" s="333"/>
    </row>
    <row r="90" spans="3:6" ht="15">
      <c r="C90" s="33" t="s">
        <v>205</v>
      </c>
      <c r="D90" s="33" t="s">
        <v>206</v>
      </c>
      <c r="E90" s="34" t="s">
        <v>207</v>
      </c>
      <c r="F90" s="33" t="s">
        <v>208</v>
      </c>
    </row>
    <row r="91" spans="1:6" ht="15">
      <c r="A91" s="37" t="s">
        <v>251</v>
      </c>
      <c r="C91" s="2">
        <f>$C73*C80+$C74*C84</f>
        <v>0</v>
      </c>
      <c r="D91" s="35">
        <f>$C73*D80+$C74*D84</f>
        <v>0.029191455900416184</v>
      </c>
      <c r="E91" s="35">
        <f>$C73*E80+$C74*E84</f>
        <v>0.25705809495175114</v>
      </c>
      <c r="F91" s="35">
        <f>$C73*F80+$C74*F84</f>
        <v>0.7137504491478324</v>
      </c>
    </row>
    <row r="93" spans="1:2" ht="15">
      <c r="A93" s="37" t="s">
        <v>263</v>
      </c>
      <c r="B93" s="1">
        <f>NPV(0.1,'P3_Streams'!D90:W90)/PPP_Conversion</f>
        <v>181680950.90412897</v>
      </c>
    </row>
    <row r="94" spans="3:6" ht="15">
      <c r="C94" s="333" t="s">
        <v>204</v>
      </c>
      <c r="D94" s="333"/>
      <c r="E94" s="333"/>
      <c r="F94" s="333"/>
    </row>
    <row r="95" spans="3:6" ht="15">
      <c r="C95" s="33" t="s">
        <v>205</v>
      </c>
      <c r="D95" s="33" t="s">
        <v>206</v>
      </c>
      <c r="E95" s="34" t="s">
        <v>207</v>
      </c>
      <c r="F95" s="33" t="s">
        <v>208</v>
      </c>
    </row>
    <row r="96" spans="1:6" ht="15">
      <c r="A96" t="s">
        <v>222</v>
      </c>
      <c r="C96" s="1">
        <f>$B93*C87</f>
        <v>0</v>
      </c>
      <c r="D96" s="1">
        <f>$B93*D87</f>
        <v>6903876.134356901</v>
      </c>
      <c r="E96" s="1">
        <f>$B93*E87</f>
        <v>54867647.17304695</v>
      </c>
      <c r="F96" s="1">
        <f>$B93*F87</f>
        <v>119909427.59672512</v>
      </c>
    </row>
    <row r="97" spans="1:6" ht="15">
      <c r="A97" t="s">
        <v>223</v>
      </c>
      <c r="C97" s="3">
        <f>($B73+$B74)*C91</f>
        <v>0</v>
      </c>
      <c r="D97" s="3">
        <f>($B73+$B74)*D91</f>
        <v>57714.74856672774</v>
      </c>
      <c r="E97" s="3">
        <f>($B73+$B74)*E91</f>
        <v>508232.3871681516</v>
      </c>
      <c r="F97" s="3">
        <f>($B73+$B74)*F91</f>
        <v>1411163.86426512</v>
      </c>
    </row>
    <row r="98" spans="1:6" ht="15">
      <c r="A98" t="s">
        <v>224</v>
      </c>
      <c r="C98">
        <v>0</v>
      </c>
      <c r="D98" s="3">
        <f>D96/D97</f>
        <v>119.62065686511455</v>
      </c>
      <c r="E98" s="3">
        <f>E96/E97</f>
        <v>107.95779363603144</v>
      </c>
      <c r="F98" s="3">
        <f>F96/F97</f>
        <v>84.97200830689451</v>
      </c>
    </row>
    <row r="100" spans="3:6" ht="15">
      <c r="C100" s="333" t="s">
        <v>204</v>
      </c>
      <c r="D100" s="333"/>
      <c r="E100" s="333"/>
      <c r="F100" s="333"/>
    </row>
    <row r="101" spans="1:6" ht="15">
      <c r="A101" s="37" t="s">
        <v>256</v>
      </c>
      <c r="C101" s="33" t="s">
        <v>205</v>
      </c>
      <c r="D101" s="33" t="s">
        <v>206</v>
      </c>
      <c r="E101" s="34" t="s">
        <v>207</v>
      </c>
      <c r="F101" s="33" t="s">
        <v>208</v>
      </c>
    </row>
    <row r="102" spans="1:6" ht="15">
      <c r="A102" s="37" t="s">
        <v>252</v>
      </c>
      <c r="C102">
        <v>0</v>
      </c>
      <c r="D102" s="3">
        <f>2*365</f>
        <v>730</v>
      </c>
      <c r="E102" s="3">
        <f>3*365</f>
        <v>1095</v>
      </c>
      <c r="F102" s="3">
        <f>10.2997441383138*365</f>
        <v>3759.406610484537</v>
      </c>
    </row>
    <row r="103" spans="1:7" ht="15">
      <c r="A103" s="37" t="s">
        <v>257</v>
      </c>
      <c r="G103" s="3">
        <v>244.18947566196587</v>
      </c>
    </row>
    <row r="104" spans="1:7" ht="15">
      <c r="A104" s="37" t="s">
        <v>258</v>
      </c>
      <c r="G104" s="3">
        <f>G103*12</f>
        <v>2930.2737079435906</v>
      </c>
    </row>
    <row r="106" spans="3:6" ht="15">
      <c r="C106" s="333" t="s">
        <v>204</v>
      </c>
      <c r="D106" s="333"/>
      <c r="E106" s="333"/>
      <c r="F106" s="333"/>
    </row>
    <row r="107" spans="1:6" ht="15">
      <c r="A107" t="s">
        <v>255</v>
      </c>
      <c r="C107" s="33" t="s">
        <v>205</v>
      </c>
      <c r="D107" s="33" t="s">
        <v>206</v>
      </c>
      <c r="E107" s="34" t="s">
        <v>207</v>
      </c>
      <c r="F107" s="33" t="s">
        <v>208</v>
      </c>
    </row>
    <row r="108" spans="1:6" ht="15">
      <c r="A108" s="37" t="s">
        <v>252</v>
      </c>
      <c r="C108">
        <v>0</v>
      </c>
      <c r="D108" s="3">
        <f>2*365</f>
        <v>730</v>
      </c>
      <c r="E108" s="3">
        <f>3*365</f>
        <v>1095</v>
      </c>
      <c r="F108" s="41">
        <f>10.2934030294063*365</f>
        <v>3757.0921057332994</v>
      </c>
    </row>
    <row r="109" spans="1:7" ht="15">
      <c r="A109" s="37" t="s">
        <v>253</v>
      </c>
      <c r="G109" s="3">
        <v>251.01507014054823</v>
      </c>
    </row>
    <row r="110" spans="1:7" ht="15">
      <c r="A110" s="37" t="s">
        <v>254</v>
      </c>
      <c r="G110" s="3">
        <f>G109*12</f>
        <v>3012.180841686579</v>
      </c>
    </row>
    <row r="112" spans="3:6" ht="15">
      <c r="C112" s="333" t="s">
        <v>204</v>
      </c>
      <c r="D112" s="333"/>
      <c r="E112" s="333"/>
      <c r="F112" s="333"/>
    </row>
    <row r="113" spans="1:6" ht="15">
      <c r="A113" s="37" t="s">
        <v>259</v>
      </c>
      <c r="C113" s="33" t="s">
        <v>205</v>
      </c>
      <c r="D113" s="33" t="s">
        <v>206</v>
      </c>
      <c r="E113" s="34" t="s">
        <v>207</v>
      </c>
      <c r="F113" s="33" t="s">
        <v>208</v>
      </c>
    </row>
    <row r="114" spans="1:6" ht="15">
      <c r="A114" s="37" t="s">
        <v>252</v>
      </c>
      <c r="C114" s="3">
        <f>$C73*C102+$C74*C108</f>
        <v>0</v>
      </c>
      <c r="D114" s="3">
        <f>$C73*D102+$C74*D108</f>
        <v>730</v>
      </c>
      <c r="E114" s="3">
        <f>$C73*E102+$C74*E108</f>
        <v>1095</v>
      </c>
      <c r="F114" s="3">
        <f>$C73*F102+$C74*F108</f>
        <v>3757.861631260051</v>
      </c>
    </row>
    <row r="115" spans="1:7" ht="15">
      <c r="A115" s="37" t="s">
        <v>257</v>
      </c>
      <c r="G115" s="3">
        <f>C73*G103+C74*G109</f>
        <v>248.74569947552152</v>
      </c>
    </row>
    <row r="116" spans="1:7" ht="15">
      <c r="A116" s="37" t="s">
        <v>258</v>
      </c>
      <c r="G116" s="3">
        <f>G115*12</f>
        <v>2984.9483937062582</v>
      </c>
    </row>
    <row r="117" spans="1:7" ht="15">
      <c r="A117" s="37"/>
      <c r="G117" s="3"/>
    </row>
    <row r="118" spans="1:7" ht="15">
      <c r="A118" s="37"/>
      <c r="G118" s="3"/>
    </row>
    <row r="119" spans="1:7" ht="15">
      <c r="A119" s="138" t="s">
        <v>298</v>
      </c>
      <c r="G119" s="3"/>
    </row>
    <row r="120" ht="15">
      <c r="A120" s="37" t="s">
        <v>299</v>
      </c>
    </row>
    <row r="121" spans="1:2" ht="15">
      <c r="A121" s="37" t="s">
        <v>260</v>
      </c>
      <c r="B121" s="2">
        <f>C40/(C40+B75)</f>
        <v>0.022749897764537494</v>
      </c>
    </row>
    <row r="122" spans="1:2" ht="15">
      <c r="A122" s="37" t="s">
        <v>261</v>
      </c>
      <c r="B122" s="8">
        <f>1-B121</f>
        <v>0.9772501022354625</v>
      </c>
    </row>
    <row r="123" spans="3:6" ht="15">
      <c r="C123" s="333" t="s">
        <v>204</v>
      </c>
      <c r="D123" s="333"/>
      <c r="E123" s="333"/>
      <c r="F123" s="333"/>
    </row>
    <row r="124" spans="3:6" ht="15">
      <c r="C124" s="33" t="s">
        <v>205</v>
      </c>
      <c r="D124" s="33" t="s">
        <v>206</v>
      </c>
      <c r="E124" s="34" t="s">
        <v>207</v>
      </c>
      <c r="F124" s="33" t="s">
        <v>208</v>
      </c>
    </row>
    <row r="125" spans="1:6" ht="15">
      <c r="A125" t="s">
        <v>212</v>
      </c>
      <c r="C125" s="8">
        <f>$B121*C44+$B122*C91</f>
        <v>0</v>
      </c>
      <c r="D125" s="8">
        <f>$B121*D44+$B122*D91</f>
        <v>0.029153203776666484</v>
      </c>
      <c r="E125" s="8">
        <f>$B121*E44+$B122*E91</f>
        <v>0.26341562331151597</v>
      </c>
      <c r="F125" s="8">
        <f>$B121*F44+$B122*F91</f>
        <v>0.7074311729118172</v>
      </c>
    </row>
    <row r="127" spans="3:6" ht="15">
      <c r="C127" s="333" t="s">
        <v>204</v>
      </c>
      <c r="D127" s="333"/>
      <c r="E127" s="333"/>
      <c r="F127" s="333"/>
    </row>
    <row r="128" spans="3:6" ht="15">
      <c r="C128" s="33" t="s">
        <v>205</v>
      </c>
      <c r="D128" s="33" t="s">
        <v>206</v>
      </c>
      <c r="E128" s="34" t="s">
        <v>207</v>
      </c>
      <c r="F128" s="33" t="s">
        <v>208</v>
      </c>
    </row>
    <row r="129" spans="1:6" ht="15">
      <c r="A129" s="37" t="s">
        <v>264</v>
      </c>
      <c r="C129" s="1">
        <f>C52+C96</f>
        <v>0</v>
      </c>
      <c r="D129" s="1">
        <f>D52+D96</f>
        <v>16491390.011622658</v>
      </c>
      <c r="E129" s="1">
        <f>E52+E96</f>
        <v>167578475.63026136</v>
      </c>
      <c r="F129" s="1">
        <f>F52+F96</f>
        <v>363584060.70509493</v>
      </c>
    </row>
    <row r="130" spans="1:9" ht="15">
      <c r="A130" t="s">
        <v>223</v>
      </c>
      <c r="C130" s="3">
        <f>C53+C97</f>
        <v>0</v>
      </c>
      <c r="D130" s="3">
        <f>D53+D97</f>
        <v>58980.929999637956</v>
      </c>
      <c r="E130" s="3">
        <f>E53+E97</f>
        <v>532925.9370039653</v>
      </c>
      <c r="F130" s="3">
        <f>F53+F97</f>
        <v>1431230.2966327597</v>
      </c>
      <c r="H130" s="3">
        <f>SUM(C130:F130)-C40</f>
        <v>1977110.9999999995</v>
      </c>
      <c r="I130" s="3">
        <f>H130/HH_Size</f>
        <v>366131.66666666657</v>
      </c>
    </row>
    <row r="131" spans="1:6" ht="15">
      <c r="A131" t="s">
        <v>224</v>
      </c>
      <c r="C131">
        <v>0</v>
      </c>
      <c r="D131" s="3">
        <f>D129/D130</f>
        <v>279.60545911574957</v>
      </c>
      <c r="E131" s="3">
        <f>E129/E130</f>
        <v>314.4498400141003</v>
      </c>
      <c r="F131" s="3">
        <f>F129/F130</f>
        <v>254.03602869537858</v>
      </c>
    </row>
    <row r="132" spans="4:6" ht="15">
      <c r="D132" s="3"/>
      <c r="E132" s="3"/>
      <c r="F132" s="3"/>
    </row>
    <row r="133" spans="3:6" ht="15">
      <c r="C133" s="333" t="s">
        <v>204</v>
      </c>
      <c r="D133" s="333"/>
      <c r="E133" s="333"/>
      <c r="F133" s="333"/>
    </row>
    <row r="134" spans="1:6" ht="15">
      <c r="A134" s="37" t="s">
        <v>265</v>
      </c>
      <c r="C134" s="33" t="s">
        <v>205</v>
      </c>
      <c r="D134" s="33" t="s">
        <v>206</v>
      </c>
      <c r="E134" s="34" t="s">
        <v>207</v>
      </c>
      <c r="F134" s="33" t="s">
        <v>208</v>
      </c>
    </row>
    <row r="135" spans="1:6" ht="15">
      <c r="A135" s="37" t="s">
        <v>252</v>
      </c>
      <c r="C135" s="3">
        <f>$B121*C58+$B122*C114</f>
        <v>0</v>
      </c>
      <c r="D135" s="3">
        <f>$B121*D58+$B122*D114</f>
        <v>730</v>
      </c>
      <c r="E135" s="3">
        <f>$B121*E58+$B122*E114</f>
        <v>1095</v>
      </c>
      <c r="F135" s="3">
        <f>$B121*F58+$B122*F114</f>
        <v>3757.8967793794563</v>
      </c>
    </row>
    <row r="136" spans="1:7" ht="15">
      <c r="A136" s="37" t="s">
        <v>257</v>
      </c>
      <c r="G136" s="3">
        <f>B121*G59+B122*G115</f>
        <v>248.64204584957076</v>
      </c>
    </row>
    <row r="137" spans="1:7" ht="15">
      <c r="A137" s="37" t="s">
        <v>258</v>
      </c>
      <c r="G137" s="3">
        <f>B121*G60+B122*G116</f>
        <v>2983.704550194849</v>
      </c>
    </row>
    <row r="138" spans="1:6" ht="15">
      <c r="A138" s="37" t="s">
        <v>300</v>
      </c>
      <c r="C138">
        <v>0</v>
      </c>
      <c r="D138" s="2">
        <f>D131/D135</f>
        <v>0.3830211768708898</v>
      </c>
      <c r="E138" s="2">
        <f>E131/E135</f>
        <v>0.287168803665845</v>
      </c>
      <c r="F138" s="2">
        <f>F131/F135</f>
        <v>0.06760058713941783</v>
      </c>
    </row>
    <row r="139" ht="15">
      <c r="D139" s="2"/>
    </row>
  </sheetData>
  <sheetProtection/>
  <mergeCells count="17">
    <mergeCell ref="C112:F112"/>
    <mergeCell ref="C127:F127"/>
    <mergeCell ref="C133:F133"/>
    <mergeCell ref="C50:F50"/>
    <mergeCell ref="C56:F56"/>
    <mergeCell ref="C123:F123"/>
    <mergeCell ref="C82:F82"/>
    <mergeCell ref="C86:F86"/>
    <mergeCell ref="C89:F89"/>
    <mergeCell ref="C94:F94"/>
    <mergeCell ref="C106:F106"/>
    <mergeCell ref="C100:F100"/>
    <mergeCell ref="C31:F31"/>
    <mergeCell ref="C35:F35"/>
    <mergeCell ref="C42:F42"/>
    <mergeCell ref="C45:F45"/>
    <mergeCell ref="C78:F78"/>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sheetPr codeName="Sheet10"/>
  <dimension ref="A1:IV51"/>
  <sheetViews>
    <sheetView zoomScalePageLayoutView="0" workbookViewId="0" topLeftCell="A1">
      <selection activeCell="C11" sqref="C11"/>
    </sheetView>
  </sheetViews>
  <sheetFormatPr defaultColWidth="9.140625" defaultRowHeight="15"/>
  <cols>
    <col min="1" max="1" width="1.8515625" style="42" customWidth="1"/>
    <col min="2" max="2" width="47.7109375" style="42" customWidth="1"/>
    <col min="3" max="3" width="16.8515625" style="42" bestFit="1" customWidth="1"/>
    <col min="4" max="4" width="2.7109375" style="42" customWidth="1"/>
    <col min="5" max="5" width="9.8515625" style="42" bestFit="1" customWidth="1"/>
    <col min="6" max="6" width="9.7109375" style="42" customWidth="1"/>
    <col min="7" max="8" width="9.8515625" style="42" bestFit="1" customWidth="1"/>
    <col min="9" max="9" width="3.00390625" style="42" customWidth="1"/>
    <col min="10" max="10" width="9.140625" style="42" customWidth="1"/>
    <col min="11" max="15" width="9.140625" style="44" customWidth="1"/>
    <col min="16" max="16" width="9.8515625" style="44" customWidth="1"/>
    <col min="17" max="16384" width="9.140625" style="44" customWidth="1"/>
  </cols>
  <sheetData>
    <row r="1" spans="2:256" s="42" customFormat="1" ht="12.75">
      <c r="B1" s="43"/>
      <c r="D1" s="43"/>
      <c r="E1" s="43"/>
      <c r="F1" s="43"/>
      <c r="G1" s="43"/>
      <c r="H1" s="43"/>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2:256" s="42" customFormat="1" ht="15.75">
      <c r="B2" s="43"/>
      <c r="D2" s="45"/>
      <c r="E2" s="43"/>
      <c r="F2" s="43"/>
      <c r="G2" s="43"/>
      <c r="H2" s="43"/>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1:256" s="42" customFormat="1" ht="16.5" customHeight="1">
      <c r="A3" s="43"/>
      <c r="B3" s="43"/>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1:256" s="42" customFormat="1" ht="16.5" customHeight="1">
      <c r="A4" s="43"/>
      <c r="B4" s="43"/>
      <c r="C4" s="334" t="s">
        <v>266</v>
      </c>
      <c r="D4" s="334"/>
      <c r="E4" s="334"/>
      <c r="F4" s="334"/>
      <c r="G4" s="334"/>
      <c r="H4" s="334"/>
      <c r="I4" s="33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c r="IU4" s="44"/>
      <c r="IV4" s="44"/>
    </row>
    <row r="5" spans="2:256" s="42" customFormat="1" ht="15.75">
      <c r="B5" s="43"/>
      <c r="C5" s="335"/>
      <c r="D5" s="335"/>
      <c r="E5" s="335"/>
      <c r="F5" s="335"/>
      <c r="G5" s="335"/>
      <c r="H5" s="335"/>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row>
    <row r="6" spans="2:256" s="42" customFormat="1" ht="15.75">
      <c r="B6" s="43"/>
      <c r="C6" s="46"/>
      <c r="D6" s="47"/>
      <c r="E6" s="43"/>
      <c r="F6" s="48"/>
      <c r="G6" s="48"/>
      <c r="H6" s="48"/>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row>
    <row r="7" spans="2:256" s="42" customFormat="1" ht="15.75">
      <c r="B7" s="336" t="s">
        <v>12</v>
      </c>
      <c r="C7" s="336"/>
      <c r="D7" s="336"/>
      <c r="E7" s="336"/>
      <c r="F7" s="336"/>
      <c r="G7" s="336"/>
      <c r="H7" s="336"/>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row>
    <row r="8" spans="2:256" s="42" customFormat="1" ht="24" customHeight="1" thickBot="1">
      <c r="B8" s="337" t="s">
        <v>301</v>
      </c>
      <c r="C8" s="337"/>
      <c r="D8" s="337"/>
      <c r="E8" s="337"/>
      <c r="F8" s="337"/>
      <c r="G8" s="337"/>
      <c r="H8" s="337"/>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row>
    <row r="9" spans="1:9" ht="12.75">
      <c r="A9" s="49"/>
      <c r="B9" s="50"/>
      <c r="C9" s="51"/>
      <c r="D9" s="52"/>
      <c r="E9" s="52"/>
      <c r="F9" s="52"/>
      <c r="G9" s="52"/>
      <c r="H9" s="52"/>
      <c r="I9" s="53"/>
    </row>
    <row r="10" spans="1:13" ht="12.75">
      <c r="A10" s="43"/>
      <c r="B10" s="54"/>
      <c r="C10" s="55"/>
      <c r="D10" s="43"/>
      <c r="E10" s="43"/>
      <c r="F10" s="43"/>
      <c r="G10" s="43"/>
      <c r="H10" s="43"/>
      <c r="I10" s="56"/>
      <c r="L10" s="44">
        <v>0.1352473928802917</v>
      </c>
      <c r="M10" s="145">
        <f>(C12-L10)/L10</f>
        <v>-0.0003004981896557261</v>
      </c>
    </row>
    <row r="11" spans="1:9" ht="12.75">
      <c r="A11" s="57"/>
      <c r="B11" s="58" t="s">
        <v>267</v>
      </c>
      <c r="C11" s="59">
        <f>'P3_Streams'!B154</f>
        <v>158486013.98601398</v>
      </c>
      <c r="D11" s="60"/>
      <c r="E11" s="60"/>
      <c r="F11" s="60"/>
      <c r="G11" s="60"/>
      <c r="H11" s="60"/>
      <c r="I11" s="56"/>
    </row>
    <row r="12" spans="1:9" ht="12.75">
      <c r="A12" s="57"/>
      <c r="B12" s="58" t="s">
        <v>268</v>
      </c>
      <c r="C12" s="61">
        <f>'P3_Streams'!C159</f>
        <v>0.1352067512835755</v>
      </c>
      <c r="D12" s="60"/>
      <c r="E12" s="60"/>
      <c r="F12" s="60"/>
      <c r="G12" s="60"/>
      <c r="H12" s="60"/>
      <c r="I12" s="56"/>
    </row>
    <row r="13" spans="1:9" ht="12.75">
      <c r="A13" s="57"/>
      <c r="B13" s="62" t="s">
        <v>269</v>
      </c>
      <c r="C13" s="59">
        <f>'P3_Streams'!C162</f>
        <v>503313556.74958754</v>
      </c>
      <c r="D13" s="60"/>
      <c r="E13" s="60"/>
      <c r="F13" s="60"/>
      <c r="G13" s="60"/>
      <c r="H13" s="60"/>
      <c r="I13" s="56"/>
    </row>
    <row r="14" spans="1:9" ht="12.75" customHeight="1">
      <c r="A14" s="57"/>
      <c r="B14" s="62" t="s">
        <v>270</v>
      </c>
      <c r="C14" s="59">
        <f>'P3_Streams'!C164</f>
        <v>602403545.7243043</v>
      </c>
      <c r="D14" s="60"/>
      <c r="E14" s="60"/>
      <c r="F14" s="60"/>
      <c r="G14" s="60"/>
      <c r="H14" s="60"/>
      <c r="I14" s="56"/>
    </row>
    <row r="15" spans="1:9" ht="12.75">
      <c r="A15" s="57"/>
      <c r="B15" s="63"/>
      <c r="C15" s="60"/>
      <c r="D15" s="60"/>
      <c r="E15" s="338" t="s">
        <v>271</v>
      </c>
      <c r="F15" s="338"/>
      <c r="G15" s="338"/>
      <c r="H15" s="338"/>
      <c r="I15" s="56"/>
    </row>
    <row r="16" spans="1:9" ht="13.5">
      <c r="A16" s="57"/>
      <c r="B16" s="64" t="s">
        <v>236</v>
      </c>
      <c r="C16" s="65" t="s">
        <v>272</v>
      </c>
      <c r="D16" s="66"/>
      <c r="E16" s="65" t="s">
        <v>273</v>
      </c>
      <c r="F16" s="65" t="s">
        <v>274</v>
      </c>
      <c r="G16" s="65" t="s">
        <v>275</v>
      </c>
      <c r="H16" s="65" t="s">
        <v>276</v>
      </c>
      <c r="I16" s="56"/>
    </row>
    <row r="17" spans="1:9" ht="12.75">
      <c r="A17" s="57"/>
      <c r="B17" s="67"/>
      <c r="C17" s="68"/>
      <c r="D17" s="69"/>
      <c r="E17" s="68"/>
      <c r="F17" s="68"/>
      <c r="G17" s="68"/>
      <c r="H17" s="68"/>
      <c r="I17" s="56"/>
    </row>
    <row r="18" spans="1:9" ht="12.75">
      <c r="A18" s="57"/>
      <c r="B18" s="60" t="s">
        <v>277</v>
      </c>
      <c r="C18" s="70">
        <f>SUM('BA'!C130:F130)/HH_Size</f>
        <v>374655.03030303016</v>
      </c>
      <c r="D18" s="71"/>
      <c r="E18" s="72"/>
      <c r="F18" s="72"/>
      <c r="G18" s="72"/>
      <c r="H18" s="72"/>
      <c r="I18" s="56"/>
    </row>
    <row r="19" spans="1:9" ht="12.75">
      <c r="A19" s="57"/>
      <c r="B19" s="54" t="s">
        <v>278</v>
      </c>
      <c r="C19" s="73">
        <f>SUM('BA'!C130:F130)</f>
        <v>2023137.163636363</v>
      </c>
      <c r="D19" s="71"/>
      <c r="E19" s="74"/>
      <c r="F19" s="74"/>
      <c r="G19" s="74"/>
      <c r="H19" s="74"/>
      <c r="I19" s="56"/>
    </row>
    <row r="20" spans="1:9" ht="13.5">
      <c r="A20" s="57"/>
      <c r="B20" s="54" t="s">
        <v>279</v>
      </c>
      <c r="C20" s="73">
        <v>9126715.662986442</v>
      </c>
      <c r="D20" s="71"/>
      <c r="E20" s="75"/>
      <c r="F20" s="75"/>
      <c r="G20" s="75"/>
      <c r="H20" s="75"/>
      <c r="I20" s="56"/>
    </row>
    <row r="21" spans="1:9" ht="12.75">
      <c r="A21" s="57"/>
      <c r="B21" s="54"/>
      <c r="C21" s="76"/>
      <c r="D21" s="71"/>
      <c r="E21" s="75"/>
      <c r="F21" s="75"/>
      <c r="G21" s="75"/>
      <c r="H21" s="75"/>
      <c r="I21" s="56"/>
    </row>
    <row r="22" spans="1:9" ht="12.75">
      <c r="A22" s="57"/>
      <c r="B22" s="54" t="s">
        <v>280</v>
      </c>
      <c r="C22" s="71"/>
      <c r="D22" s="71"/>
      <c r="E22" s="77">
        <f>'BA'!C125</f>
        <v>0</v>
      </c>
      <c r="F22" s="77">
        <f>'BA'!D125</f>
        <v>0.029153203776666484</v>
      </c>
      <c r="G22" s="77">
        <f>'BA'!E125</f>
        <v>0.26341562331151597</v>
      </c>
      <c r="H22" s="77">
        <f>'BA'!F125</f>
        <v>0.7074311729118172</v>
      </c>
      <c r="I22" s="78"/>
    </row>
    <row r="23" spans="1:9" ht="13.5">
      <c r="A23" s="57"/>
      <c r="B23" s="79" t="s">
        <v>281</v>
      </c>
      <c r="C23" s="80"/>
      <c r="D23" s="80"/>
      <c r="E23" s="81">
        <v>0</v>
      </c>
      <c r="F23" s="81">
        <v>0.02586666027690286</v>
      </c>
      <c r="G23" s="81">
        <v>0.25040850370472456</v>
      </c>
      <c r="H23" s="81">
        <v>0.7237248360183721</v>
      </c>
      <c r="I23" s="56"/>
    </row>
    <row r="24" spans="1:9" ht="12.75">
      <c r="A24" s="82"/>
      <c r="B24" s="83"/>
      <c r="C24" s="84"/>
      <c r="D24" s="84"/>
      <c r="E24" s="85"/>
      <c r="F24" s="86"/>
      <c r="G24" s="86"/>
      <c r="H24" s="86"/>
      <c r="I24" s="56"/>
    </row>
    <row r="25" spans="1:9" ht="12.75">
      <c r="A25" s="57"/>
      <c r="B25" s="64" t="s">
        <v>282</v>
      </c>
      <c r="C25" s="65"/>
      <c r="D25" s="66"/>
      <c r="E25" s="65"/>
      <c r="F25" s="65"/>
      <c r="G25" s="65"/>
      <c r="H25" s="65"/>
      <c r="I25" s="56"/>
    </row>
    <row r="26" spans="1:9" ht="12.75">
      <c r="A26" s="57"/>
      <c r="B26" s="67"/>
      <c r="C26" s="68"/>
      <c r="D26" s="69"/>
      <c r="E26" s="68"/>
      <c r="F26" s="68"/>
      <c r="G26" s="68"/>
      <c r="H26" s="68"/>
      <c r="I26" s="56"/>
    </row>
    <row r="27" spans="1:9" ht="12.75">
      <c r="A27" s="57"/>
      <c r="B27" s="87" t="s">
        <v>283</v>
      </c>
      <c r="C27" s="88">
        <f>(C14)/C19</f>
        <v>297.75714496863435</v>
      </c>
      <c r="D27" s="89"/>
      <c r="E27" s="88">
        <f>'BA'!C131</f>
        <v>0</v>
      </c>
      <c r="F27" s="88">
        <f>'BA'!D131</f>
        <v>279.60545911574957</v>
      </c>
      <c r="G27" s="88">
        <f>'BA'!E131</f>
        <v>314.4498400141003</v>
      </c>
      <c r="H27" s="88">
        <f>'BA'!F131</f>
        <v>254.03602869537858</v>
      </c>
      <c r="I27" s="90"/>
    </row>
    <row r="28" spans="1:9" ht="12.75">
      <c r="A28" s="57"/>
      <c r="B28" s="91" t="s">
        <v>284</v>
      </c>
      <c r="C28" s="92">
        <f>C27/C36</f>
        <v>0.09979444678903931</v>
      </c>
      <c r="D28" s="93"/>
      <c r="E28" s="92">
        <f>'BA'!C138</f>
        <v>0</v>
      </c>
      <c r="F28" s="92">
        <f>'BA'!D138</f>
        <v>0.3830211768708898</v>
      </c>
      <c r="G28" s="92">
        <f>'BA'!E138</f>
        <v>0.287168803665845</v>
      </c>
      <c r="H28" s="92">
        <f>'BA'!F138</f>
        <v>0.06760058713941783</v>
      </c>
      <c r="I28" s="56"/>
    </row>
    <row r="29" spans="1:9" ht="12.75">
      <c r="A29" s="57"/>
      <c r="B29" s="94"/>
      <c r="C29" s="84"/>
      <c r="D29" s="84"/>
      <c r="E29" s="95"/>
      <c r="F29" s="95"/>
      <c r="G29" s="95"/>
      <c r="H29" s="95"/>
      <c r="I29" s="56"/>
    </row>
    <row r="30" spans="1:9" ht="12.75">
      <c r="A30" s="57"/>
      <c r="B30" s="64" t="s">
        <v>285</v>
      </c>
      <c r="C30" s="96"/>
      <c r="D30" s="93"/>
      <c r="E30" s="97"/>
      <c r="F30" s="97"/>
      <c r="G30" s="97"/>
      <c r="H30" s="97"/>
      <c r="I30" s="56"/>
    </row>
    <row r="31" spans="1:9" ht="12.75">
      <c r="A31" s="57"/>
      <c r="B31" s="63"/>
      <c r="C31" s="98"/>
      <c r="D31" s="98"/>
      <c r="E31" s="99"/>
      <c r="F31" s="99"/>
      <c r="G31" s="99"/>
      <c r="H31" s="99"/>
      <c r="I31" s="56"/>
    </row>
    <row r="32" spans="1:10" ht="12.75">
      <c r="A32" s="100"/>
      <c r="B32" s="101" t="s">
        <v>286</v>
      </c>
      <c r="C32" s="102">
        <f>C14/C13</f>
        <v>1.1968752632347965</v>
      </c>
      <c r="D32" s="103"/>
      <c r="E32" s="104"/>
      <c r="F32" s="104"/>
      <c r="G32" s="104"/>
      <c r="H32" s="104"/>
      <c r="I32" s="105"/>
      <c r="J32" s="106"/>
    </row>
    <row r="33" spans="1:9" ht="12.75">
      <c r="A33" s="107"/>
      <c r="B33" s="108"/>
      <c r="C33" s="109"/>
      <c r="D33" s="109"/>
      <c r="E33" s="110"/>
      <c r="F33" s="110"/>
      <c r="G33" s="110"/>
      <c r="H33" s="110"/>
      <c r="I33" s="111"/>
    </row>
    <row r="34" spans="1:9" ht="12.75">
      <c r="A34" s="107"/>
      <c r="B34" s="112" t="s">
        <v>287</v>
      </c>
      <c r="C34" s="113">
        <v>0.48</v>
      </c>
      <c r="D34" s="114"/>
      <c r="E34" s="115"/>
      <c r="F34" s="115"/>
      <c r="G34" s="115"/>
      <c r="H34" s="115"/>
      <c r="I34" s="111"/>
    </row>
    <row r="35" spans="1:9" ht="12.75">
      <c r="A35" s="107"/>
      <c r="B35" s="116"/>
      <c r="C35" s="117"/>
      <c r="D35" s="114"/>
      <c r="E35" s="115"/>
      <c r="F35" s="115"/>
      <c r="G35" s="115"/>
      <c r="H35" s="115"/>
      <c r="I35" s="111"/>
    </row>
    <row r="36" spans="1:9" ht="12.75">
      <c r="A36" s="100"/>
      <c r="B36" s="87" t="s">
        <v>288</v>
      </c>
      <c r="C36" s="118">
        <f>'BA'!G137</f>
        <v>2983.704550194849</v>
      </c>
      <c r="D36" s="119"/>
      <c r="E36" s="120"/>
      <c r="F36" s="120"/>
      <c r="G36" s="120"/>
      <c r="H36" s="120"/>
      <c r="I36" s="105"/>
    </row>
    <row r="37" spans="1:10" ht="13.5">
      <c r="A37" s="57"/>
      <c r="B37" s="87" t="s">
        <v>289</v>
      </c>
      <c r="C37" s="118">
        <v>3012.180841686579</v>
      </c>
      <c r="D37" s="121"/>
      <c r="E37" s="121"/>
      <c r="F37" s="121"/>
      <c r="G37" s="121"/>
      <c r="H37" s="121"/>
      <c r="I37" s="56"/>
      <c r="J37" s="122"/>
    </row>
    <row r="38" spans="1:10" ht="12.75">
      <c r="A38" s="57"/>
      <c r="B38" s="87" t="s">
        <v>290</v>
      </c>
      <c r="C38" s="123">
        <v>5906043</v>
      </c>
      <c r="D38" s="121"/>
      <c r="E38" s="121"/>
      <c r="F38" s="121"/>
      <c r="G38" s="121"/>
      <c r="H38" s="121"/>
      <c r="I38" s="56"/>
      <c r="J38" s="124"/>
    </row>
    <row r="39" spans="1:10" ht="12.75">
      <c r="A39" s="57"/>
      <c r="B39" s="87"/>
      <c r="C39" s="125"/>
      <c r="D39" s="121"/>
      <c r="E39" s="121"/>
      <c r="F39" s="121"/>
      <c r="G39" s="121"/>
      <c r="H39" s="121"/>
      <c r="I39" s="56"/>
      <c r="J39" s="126"/>
    </row>
    <row r="40" spans="1:10" ht="12.75">
      <c r="A40" s="57"/>
      <c r="B40" s="127" t="s">
        <v>291</v>
      </c>
      <c r="C40" s="128"/>
      <c r="D40" s="121"/>
      <c r="E40" s="129"/>
      <c r="F40" s="129"/>
      <c r="G40" s="129"/>
      <c r="H40" s="129"/>
      <c r="I40" s="56"/>
      <c r="J40" s="126"/>
    </row>
    <row r="41" spans="1:10" ht="12.75">
      <c r="A41" s="57"/>
      <c r="B41" s="127" t="s">
        <v>292</v>
      </c>
      <c r="C41" s="128"/>
      <c r="D41" s="121"/>
      <c r="E41" s="129"/>
      <c r="F41" s="129"/>
      <c r="G41" s="129"/>
      <c r="H41" s="129"/>
      <c r="I41" s="56"/>
      <c r="J41" s="130"/>
    </row>
    <row r="42" spans="1:9" ht="12.75">
      <c r="A42" s="57"/>
      <c r="B42" s="127"/>
      <c r="C42" s="128"/>
      <c r="D42" s="121"/>
      <c r="E42" s="129"/>
      <c r="F42" s="129"/>
      <c r="G42" s="129"/>
      <c r="H42" s="129"/>
      <c r="I42" s="56"/>
    </row>
    <row r="43" spans="1:9" ht="12.75">
      <c r="A43" s="57"/>
      <c r="B43" s="131" t="s">
        <v>293</v>
      </c>
      <c r="C43" s="128"/>
      <c r="D43" s="121"/>
      <c r="E43" s="129"/>
      <c r="F43" s="129"/>
      <c r="G43" s="129"/>
      <c r="H43" s="129"/>
      <c r="I43" s="56"/>
    </row>
    <row r="44" spans="1:9" ht="12.75">
      <c r="A44" s="57"/>
      <c r="B44" s="131" t="s">
        <v>294</v>
      </c>
      <c r="C44" s="132"/>
      <c r="D44" s="132"/>
      <c r="E44" s="132"/>
      <c r="F44" s="132"/>
      <c r="G44" s="132"/>
      <c r="H44" s="132"/>
      <c r="I44" s="56"/>
    </row>
    <row r="45" spans="1:9" ht="12.75">
      <c r="A45" s="57"/>
      <c r="B45" s="133" t="s">
        <v>295</v>
      </c>
      <c r="C45" s="132"/>
      <c r="D45" s="132"/>
      <c r="E45" s="132"/>
      <c r="F45" s="132"/>
      <c r="G45" s="132"/>
      <c r="H45" s="132"/>
      <c r="I45" s="56"/>
    </row>
    <row r="46" spans="1:9" ht="13.5" thickBot="1">
      <c r="A46" s="134"/>
      <c r="B46" s="135"/>
      <c r="C46" s="136"/>
      <c r="D46" s="136"/>
      <c r="E46" s="136"/>
      <c r="F46" s="136"/>
      <c r="G46" s="136"/>
      <c r="H46" s="136"/>
      <c r="I46" s="137"/>
    </row>
    <row r="47" ht="12.75">
      <c r="A47" s="43"/>
    </row>
    <row r="48" ht="12.75">
      <c r="A48" s="43"/>
    </row>
    <row r="50" ht="12.75">
      <c r="J50" s="43"/>
    </row>
    <row r="51" ht="12.75">
      <c r="J51" s="43"/>
    </row>
  </sheetData>
  <sheetProtection/>
  <mergeCells count="5">
    <mergeCell ref="C4:I4"/>
    <mergeCell ref="C5:H5"/>
    <mergeCell ref="B7:H7"/>
    <mergeCell ref="B8:H8"/>
    <mergeCell ref="E15:H15"/>
  </mergeCells>
  <printOptions/>
  <pageMargins left="0.7" right="0.7" top="0.75" bottom="0.75" header="0.3" footer="0.3"/>
  <pageSetup horizontalDpi="600" verticalDpi="600" orientation="portrait" scale="82" r:id="rId2"/>
  <drawing r:id="rId1"/>
</worksheet>
</file>

<file path=xl/worksheets/sheet2.xml><?xml version="1.0" encoding="utf-8"?>
<worksheet xmlns="http://schemas.openxmlformats.org/spreadsheetml/2006/main" xmlns:r="http://schemas.openxmlformats.org/officeDocument/2006/relationships">
  <sheetPr codeName="Sheet11"/>
  <dimension ref="A1:C24"/>
  <sheetViews>
    <sheetView showGridLines="0" tabSelected="1" zoomScale="80" zoomScaleNormal="80" zoomScalePageLayoutView="0" workbookViewId="0" topLeftCell="A1">
      <selection activeCell="A1" sqref="A1"/>
    </sheetView>
  </sheetViews>
  <sheetFormatPr defaultColWidth="9.140625" defaultRowHeight="15"/>
  <cols>
    <col min="1" max="1" width="5.7109375" style="0" customWidth="1"/>
    <col min="2" max="2" width="94.7109375" style="0" customWidth="1"/>
    <col min="3" max="3" width="17.7109375" style="0" customWidth="1"/>
  </cols>
  <sheetData>
    <row r="1" spans="2:3" ht="20.25">
      <c r="B1" s="255"/>
      <c r="C1" s="256"/>
    </row>
    <row r="2" spans="2:3" ht="18">
      <c r="B2" s="308" t="s">
        <v>418</v>
      </c>
      <c r="C2" s="308"/>
    </row>
    <row r="3" spans="2:3" ht="15">
      <c r="B3" s="255"/>
      <c r="C3" s="255"/>
    </row>
    <row r="4" s="269" customFormat="1" ht="20.25" customHeight="1">
      <c r="B4" s="309" t="s">
        <v>425</v>
      </c>
    </row>
    <row r="5" s="269" customFormat="1" ht="29.25" customHeight="1">
      <c r="B5" s="309"/>
    </row>
    <row r="6" spans="2:3" ht="18">
      <c r="B6" s="258" t="s">
        <v>419</v>
      </c>
      <c r="C6" s="255"/>
    </row>
    <row r="7" spans="1:3" ht="15">
      <c r="A7" s="257"/>
      <c r="B7" s="257"/>
      <c r="C7" s="257"/>
    </row>
    <row r="8" spans="1:3" ht="18">
      <c r="A8" s="258"/>
      <c r="B8" s="259" t="s">
        <v>410</v>
      </c>
      <c r="C8" s="257"/>
    </row>
    <row r="9" spans="1:3" ht="15">
      <c r="A9" s="257"/>
      <c r="B9" s="257"/>
      <c r="C9" s="257"/>
    </row>
    <row r="10" spans="1:3" ht="15">
      <c r="A10" s="260"/>
      <c r="B10" s="261"/>
      <c r="C10" s="257"/>
    </row>
    <row r="11" spans="1:3" ht="63.75">
      <c r="A11" s="260"/>
      <c r="B11" s="262" t="s">
        <v>424</v>
      </c>
      <c r="C11" s="257"/>
    </row>
    <row r="12" spans="1:3" ht="15">
      <c r="A12" s="260"/>
      <c r="B12" s="262"/>
      <c r="C12" s="257"/>
    </row>
    <row r="13" spans="1:3" ht="15">
      <c r="A13" s="260"/>
      <c r="B13" s="263" t="s">
        <v>420</v>
      </c>
      <c r="C13" s="257"/>
    </row>
    <row r="14" spans="1:3" ht="15">
      <c r="A14" s="260"/>
      <c r="B14" s="261"/>
      <c r="C14" s="257"/>
    </row>
    <row r="15" spans="1:3" ht="38.25">
      <c r="A15" s="260"/>
      <c r="B15" s="264" t="s">
        <v>458</v>
      </c>
      <c r="C15" s="257"/>
    </row>
    <row r="16" spans="1:3" ht="15">
      <c r="A16" s="260"/>
      <c r="B16" s="265" t="s">
        <v>426</v>
      </c>
      <c r="C16" s="257"/>
    </row>
    <row r="17" spans="1:3" ht="15">
      <c r="A17" s="260"/>
      <c r="B17" s="265" t="s">
        <v>427</v>
      </c>
      <c r="C17" s="257"/>
    </row>
    <row r="18" spans="1:3" ht="25.5">
      <c r="A18" s="260"/>
      <c r="B18" s="265" t="s">
        <v>428</v>
      </c>
      <c r="C18" s="257"/>
    </row>
    <row r="19" spans="1:3" ht="15">
      <c r="A19" s="260"/>
      <c r="B19" s="265"/>
      <c r="C19" s="257"/>
    </row>
    <row r="20" spans="1:3" ht="15">
      <c r="A20" s="260"/>
      <c r="B20" s="266" t="s">
        <v>421</v>
      </c>
      <c r="C20" s="257"/>
    </row>
    <row r="21" spans="1:3" ht="15">
      <c r="A21" s="260"/>
      <c r="C21" s="257"/>
    </row>
    <row r="22" spans="1:3" ht="69.75" customHeight="1">
      <c r="A22" s="257"/>
      <c r="B22" s="267" t="s">
        <v>429</v>
      </c>
      <c r="C22" s="257"/>
    </row>
    <row r="23" spans="1:3" ht="35.25" customHeight="1">
      <c r="A23" s="257"/>
      <c r="B23" s="267" t="s">
        <v>431</v>
      </c>
      <c r="C23" s="257"/>
    </row>
    <row r="24" spans="1:3" ht="15">
      <c r="A24" s="257"/>
      <c r="B24" s="268" t="str">
        <f>'User Guide'!B1</f>
        <v>LAST UPDATED: 1/10/2011</v>
      </c>
      <c r="C24" s="257"/>
    </row>
  </sheetData>
  <sheetProtection/>
  <mergeCells count="2">
    <mergeCell ref="B2:C2"/>
    <mergeCell ref="B4:B5"/>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2"/>
  <dimension ref="A1:I65"/>
  <sheetViews>
    <sheetView showGridLines="0" zoomScale="90" zoomScaleNormal="90" zoomScalePageLayoutView="0" workbookViewId="0" topLeftCell="A1">
      <selection activeCell="A1" sqref="A1"/>
    </sheetView>
  </sheetViews>
  <sheetFormatPr defaultColWidth="9.140625" defaultRowHeight="15"/>
  <cols>
    <col min="1" max="1" width="4.28125" style="0" customWidth="1"/>
    <col min="2" max="2" width="25.00390625" style="0" customWidth="1"/>
    <col min="3" max="3" width="57.28125" style="0" customWidth="1"/>
    <col min="4" max="4" width="21.421875" style="0" customWidth="1"/>
    <col min="5" max="5" width="17.140625" style="0" customWidth="1"/>
    <col min="6" max="6" width="21.7109375" style="0" customWidth="1"/>
    <col min="7" max="7" width="18.28125" style="0" customWidth="1"/>
    <col min="9" max="9" width="18.00390625" style="0" customWidth="1"/>
  </cols>
  <sheetData>
    <row r="1" spans="1:9" ht="15" customHeight="1">
      <c r="A1" s="210"/>
      <c r="B1" s="312" t="s">
        <v>422</v>
      </c>
      <c r="C1" s="312"/>
      <c r="D1" s="312"/>
      <c r="E1" s="270"/>
      <c r="F1" s="270"/>
      <c r="G1" s="270"/>
      <c r="H1" s="210"/>
      <c r="I1" s="210"/>
    </row>
    <row r="2" spans="1:9" ht="15" customHeight="1">
      <c r="A2" s="210"/>
      <c r="B2" s="312"/>
      <c r="C2" s="312"/>
      <c r="D2" s="312"/>
      <c r="E2" s="270"/>
      <c r="F2" s="270"/>
      <c r="G2" s="270"/>
      <c r="H2" s="210"/>
      <c r="I2" s="210"/>
    </row>
    <row r="3" spans="1:9" ht="15" customHeight="1">
      <c r="A3" s="210"/>
      <c r="B3" s="312"/>
      <c r="C3" s="312"/>
      <c r="D3" s="312"/>
      <c r="E3" s="270"/>
      <c r="F3" s="270"/>
      <c r="G3" s="270"/>
      <c r="H3" s="210"/>
      <c r="I3" s="210"/>
    </row>
    <row r="4" spans="1:9" ht="15" customHeight="1">
      <c r="A4" s="210"/>
      <c r="B4" s="312"/>
      <c r="C4" s="312"/>
      <c r="D4" s="312"/>
      <c r="E4" s="270"/>
      <c r="F4" s="270"/>
      <c r="G4" s="270"/>
      <c r="H4" s="210"/>
      <c r="I4" s="210"/>
    </row>
    <row r="5" spans="1:9" ht="15" customHeight="1">
      <c r="A5" s="210"/>
      <c r="B5" s="312"/>
      <c r="C5" s="312"/>
      <c r="D5" s="312"/>
      <c r="E5" s="270"/>
      <c r="F5" s="270"/>
      <c r="G5" s="270"/>
      <c r="H5" s="210"/>
      <c r="I5" s="210"/>
    </row>
    <row r="6" spans="1:9" ht="15.75" thickBot="1">
      <c r="A6" s="210"/>
      <c r="B6" s="313" t="str">
        <f>'User Guide'!B1</f>
        <v>LAST UPDATED: 1/10/2011</v>
      </c>
      <c r="C6" s="313"/>
      <c r="D6" s="313"/>
      <c r="E6" s="313"/>
      <c r="F6" s="313"/>
      <c r="G6" s="313"/>
      <c r="H6" s="210"/>
      <c r="I6" s="210"/>
    </row>
    <row r="7" spans="1:9" ht="15.75" thickTop="1">
      <c r="A7" s="210"/>
      <c r="B7" s="213" t="s">
        <v>400</v>
      </c>
      <c r="C7" s="214"/>
      <c r="D7" s="215"/>
      <c r="E7" s="216"/>
      <c r="F7" s="215"/>
      <c r="G7" s="217"/>
      <c r="H7" s="210"/>
      <c r="I7" s="210"/>
    </row>
    <row r="8" spans="1:9" ht="15">
      <c r="A8" s="210"/>
      <c r="B8" s="314" t="s">
        <v>401</v>
      </c>
      <c r="C8" s="315"/>
      <c r="D8" s="315"/>
      <c r="E8" s="315"/>
      <c r="F8" s="315"/>
      <c r="G8" s="316"/>
      <c r="H8" s="210"/>
      <c r="I8" s="210"/>
    </row>
    <row r="9" spans="1:9" ht="15">
      <c r="A9" s="210"/>
      <c r="B9" s="317"/>
      <c r="C9" s="315"/>
      <c r="D9" s="315"/>
      <c r="E9" s="315"/>
      <c r="F9" s="315"/>
      <c r="G9" s="316"/>
      <c r="H9" s="210"/>
      <c r="I9" s="210"/>
    </row>
    <row r="10" spans="1:9" ht="15.75" thickBot="1">
      <c r="A10" s="210"/>
      <c r="B10" s="318"/>
      <c r="C10" s="319"/>
      <c r="D10" s="319"/>
      <c r="E10" s="319"/>
      <c r="F10" s="319"/>
      <c r="G10" s="320"/>
      <c r="H10" s="210"/>
      <c r="I10" s="210"/>
    </row>
    <row r="11" spans="1:9" ht="15.75" thickTop="1">
      <c r="A11" s="210"/>
      <c r="B11" s="210"/>
      <c r="C11" s="211"/>
      <c r="D11" s="245"/>
      <c r="E11" s="212"/>
      <c r="F11" s="210"/>
      <c r="G11" s="210"/>
      <c r="H11" s="210"/>
      <c r="I11" s="210"/>
    </row>
    <row r="12" spans="1:9" ht="15">
      <c r="A12" s="210"/>
      <c r="B12" s="218">
        <f>IF($I$15="N","NOTE: Current calculations are based on USER INPUT and are not the original MCC estimates.",IF($I$19="N","NOTE: Current calculations are based on USER INPUT and are not the original MCC estimates.",""))</f>
      </c>
      <c r="C12" s="211"/>
      <c r="D12" s="210"/>
      <c r="E12" s="210"/>
      <c r="F12" s="210"/>
      <c r="G12" s="210"/>
      <c r="H12" s="210"/>
      <c r="I12" s="210"/>
    </row>
    <row r="13" spans="1:9" ht="15.75">
      <c r="A13" s="210"/>
      <c r="B13" s="321" t="s">
        <v>402</v>
      </c>
      <c r="C13" s="323" t="s">
        <v>403</v>
      </c>
      <c r="D13" s="325" t="s">
        <v>404</v>
      </c>
      <c r="E13" s="326"/>
      <c r="F13" s="326"/>
      <c r="G13" s="327"/>
      <c r="H13" s="210"/>
      <c r="I13" s="210"/>
    </row>
    <row r="14" spans="1:9" ht="45.75" thickBot="1">
      <c r="A14" s="210"/>
      <c r="B14" s="322"/>
      <c r="C14" s="324"/>
      <c r="D14" s="219" t="s">
        <v>405</v>
      </c>
      <c r="E14" s="220" t="s">
        <v>406</v>
      </c>
      <c r="F14" s="220" t="s">
        <v>407</v>
      </c>
      <c r="G14" s="220" t="s">
        <v>408</v>
      </c>
      <c r="H14" s="210"/>
      <c r="I14" s="221" t="s">
        <v>409</v>
      </c>
    </row>
    <row r="15" spans="1:9" ht="36" customHeight="1">
      <c r="A15" s="210"/>
      <c r="B15" s="222" t="s">
        <v>410</v>
      </c>
      <c r="C15" s="223" t="s">
        <v>411</v>
      </c>
      <c r="D15" s="224">
        <v>1</v>
      </c>
      <c r="E15" s="225">
        <v>1</v>
      </c>
      <c r="F15" s="226" t="s">
        <v>412</v>
      </c>
      <c r="G15" s="227">
        <f>D15</f>
        <v>1</v>
      </c>
      <c r="H15" s="210"/>
      <c r="I15" s="228" t="str">
        <f>IF(D15=E15,IF(D16=E16,"Y","N"),"N")</f>
        <v>Y</v>
      </c>
    </row>
    <row r="16" spans="1:8" ht="27" customHeight="1">
      <c r="A16" s="210"/>
      <c r="B16" s="229" t="s">
        <v>410</v>
      </c>
      <c r="C16" s="230" t="s">
        <v>413</v>
      </c>
      <c r="D16" s="224">
        <v>1</v>
      </c>
      <c r="E16" s="225">
        <v>1</v>
      </c>
      <c r="F16" s="226" t="s">
        <v>412</v>
      </c>
      <c r="G16" s="227">
        <f>D16</f>
        <v>1</v>
      </c>
      <c r="H16" s="210"/>
    </row>
    <row r="17" spans="1:9" ht="15">
      <c r="A17" s="231"/>
      <c r="B17" s="232"/>
      <c r="C17" s="233"/>
      <c r="D17" s="234"/>
      <c r="E17" s="235"/>
      <c r="F17" s="235"/>
      <c r="G17" s="236"/>
      <c r="H17" s="210"/>
      <c r="I17" s="210"/>
    </row>
    <row r="18" spans="1:9" ht="37.5" customHeight="1">
      <c r="A18" s="210"/>
      <c r="B18" s="237" t="s">
        <v>414</v>
      </c>
      <c r="C18" s="238" t="s">
        <v>432</v>
      </c>
      <c r="D18" s="271">
        <v>0.66</v>
      </c>
      <c r="E18" s="225">
        <v>0.66</v>
      </c>
      <c r="F18" s="239" t="s">
        <v>433</v>
      </c>
      <c r="G18" s="281">
        <f>IF(I15="Y",D18,E18)</f>
        <v>0.66</v>
      </c>
      <c r="H18" s="210"/>
      <c r="I18" s="221" t="s">
        <v>440</v>
      </c>
    </row>
    <row r="19" spans="1:9" ht="37.5" customHeight="1">
      <c r="A19" s="241"/>
      <c r="B19" s="242" t="s">
        <v>414</v>
      </c>
      <c r="C19" s="243" t="s">
        <v>438</v>
      </c>
      <c r="D19" s="276">
        <v>2285</v>
      </c>
      <c r="E19" s="277">
        <v>2285</v>
      </c>
      <c r="F19" s="272" t="s">
        <v>439</v>
      </c>
      <c r="G19" s="280">
        <f>IF(I15="Y",D19,E19)</f>
        <v>2285</v>
      </c>
      <c r="H19" s="241"/>
      <c r="I19" s="228" t="str">
        <f>IF(D18=E18,IF(D19=E19,"Y","N"),"N")</f>
        <v>Y</v>
      </c>
    </row>
    <row r="20" spans="1:9" ht="39" customHeight="1">
      <c r="A20" s="210"/>
      <c r="B20" s="310">
        <f>IF($I$15="N",IF($I$19="N","Reminder: Please reset all summary parameters to original values before changing specific parameters.  Specific parameters will only be used in ERR computation when all summary parameters are set to initial values.",0),0)</f>
        <v>0</v>
      </c>
      <c r="C20" s="310"/>
      <c r="D20" s="310"/>
      <c r="E20" s="310"/>
      <c r="F20" s="310"/>
      <c r="G20" s="310"/>
      <c r="H20" s="210"/>
      <c r="I20" s="210"/>
    </row>
    <row r="21" spans="1:8" ht="15">
      <c r="A21" s="210"/>
      <c r="B21" s="210"/>
      <c r="C21" s="210"/>
      <c r="D21" s="245"/>
      <c r="E21" s="210"/>
      <c r="F21" s="210"/>
      <c r="G21" s="210"/>
      <c r="H21" s="246"/>
    </row>
    <row r="22" spans="1:9" ht="15">
      <c r="A22" s="210"/>
      <c r="B22" s="210"/>
      <c r="C22" s="247" t="s">
        <v>417</v>
      </c>
      <c r="D22" s="248">
        <f>'Combined Cost-Benefit'!C161</f>
        <v>0.1352067512835755</v>
      </c>
      <c r="E22" s="212"/>
      <c r="F22" s="210"/>
      <c r="G22" s="249"/>
      <c r="H22" s="246"/>
      <c r="I22" s="240" t="s">
        <v>415</v>
      </c>
    </row>
    <row r="23" spans="1:9" ht="15">
      <c r="A23" s="210"/>
      <c r="B23" s="210"/>
      <c r="C23" s="247"/>
      <c r="D23" s="250"/>
      <c r="E23" s="212"/>
      <c r="F23" s="210"/>
      <c r="G23" s="251"/>
      <c r="H23" s="210"/>
      <c r="I23" s="244" t="s">
        <v>392</v>
      </c>
    </row>
    <row r="24" spans="1:9" ht="15">
      <c r="A24" s="210"/>
      <c r="B24" s="210"/>
      <c r="C24" s="282" t="s">
        <v>441</v>
      </c>
      <c r="D24" s="283"/>
      <c r="E24" s="289" t="s">
        <v>442</v>
      </c>
      <c r="F24" s="210"/>
      <c r="G24" s="252"/>
      <c r="H24" s="210"/>
      <c r="I24" s="254" t="s">
        <v>416</v>
      </c>
    </row>
    <row r="25" spans="1:9" ht="15">
      <c r="A25" s="210"/>
      <c r="B25" s="210"/>
      <c r="C25" s="282"/>
      <c r="D25" s="284" t="s">
        <v>443</v>
      </c>
      <c r="E25" s="290">
        <v>0.135</v>
      </c>
      <c r="F25" s="210"/>
      <c r="G25" s="210"/>
      <c r="H25" s="210"/>
      <c r="I25" s="210"/>
    </row>
    <row r="26" spans="1:9" ht="15.75">
      <c r="A26" s="210"/>
      <c r="B26" s="253"/>
      <c r="C26" s="285"/>
      <c r="D26" s="284" t="s">
        <v>444</v>
      </c>
      <c r="E26" s="291">
        <v>40553</v>
      </c>
      <c r="F26" s="253"/>
      <c r="G26" s="253"/>
      <c r="H26" s="210"/>
      <c r="I26" s="210"/>
    </row>
    <row r="27" spans="1:9" ht="15">
      <c r="A27" s="210"/>
      <c r="B27" s="210"/>
      <c r="C27" s="285"/>
      <c r="D27" s="285"/>
      <c r="E27" s="285"/>
      <c r="F27" s="210"/>
      <c r="G27" s="210"/>
      <c r="H27" s="210"/>
      <c r="I27" s="210"/>
    </row>
    <row r="28" spans="1:9" ht="15">
      <c r="A28" s="210"/>
      <c r="B28" s="210"/>
      <c r="C28" s="286" t="s">
        <v>445</v>
      </c>
      <c r="D28" s="287">
        <f>'Combined Cost-Benefit'!C162</f>
        <v>296984948.0420821</v>
      </c>
      <c r="E28" s="285"/>
      <c r="F28" s="210"/>
      <c r="G28" s="210"/>
      <c r="H28" s="210"/>
      <c r="I28" s="210"/>
    </row>
    <row r="29" spans="1:9" ht="15">
      <c r="A29" s="210"/>
      <c r="B29" s="210"/>
      <c r="C29" s="286"/>
      <c r="D29" s="288"/>
      <c r="E29" s="285"/>
      <c r="F29" s="210"/>
      <c r="G29" s="210"/>
      <c r="H29" s="210"/>
      <c r="I29" s="210"/>
    </row>
    <row r="30" spans="1:9" ht="15">
      <c r="A30" s="210"/>
      <c r="B30" s="210"/>
      <c r="C30" s="286" t="s">
        <v>446</v>
      </c>
      <c r="D30" s="287">
        <f>'Combined Cost-Benefit'!C163</f>
        <v>248133583.47754678</v>
      </c>
      <c r="E30" s="285"/>
      <c r="F30" s="210"/>
      <c r="G30" s="210"/>
      <c r="H30" s="210"/>
      <c r="I30" s="210"/>
    </row>
    <row r="31" spans="1:9" ht="15">
      <c r="A31" s="210"/>
      <c r="B31" s="210"/>
      <c r="C31" s="211"/>
      <c r="D31" s="210"/>
      <c r="E31" s="212"/>
      <c r="F31" s="210"/>
      <c r="G31" s="210"/>
      <c r="H31" s="210"/>
      <c r="I31" s="210"/>
    </row>
    <row r="32" spans="1:9" ht="15">
      <c r="A32" s="210"/>
      <c r="B32" s="210"/>
      <c r="C32" s="211"/>
      <c r="D32" s="210"/>
      <c r="E32" s="212"/>
      <c r="F32" s="210"/>
      <c r="G32" s="210"/>
      <c r="H32" s="210"/>
      <c r="I32" s="210"/>
    </row>
    <row r="33" spans="1:9" ht="15">
      <c r="A33" s="210"/>
      <c r="B33" s="210"/>
      <c r="C33" s="211"/>
      <c r="D33" s="210"/>
      <c r="E33" s="212"/>
      <c r="F33" s="210"/>
      <c r="G33" s="210"/>
      <c r="H33" s="210"/>
      <c r="I33" s="210"/>
    </row>
    <row r="34" spans="1:9" ht="15">
      <c r="A34" s="210"/>
      <c r="B34" s="210"/>
      <c r="C34" s="211"/>
      <c r="D34" s="210"/>
      <c r="E34" s="212"/>
      <c r="F34" s="210"/>
      <c r="G34" s="210"/>
      <c r="H34" s="210"/>
      <c r="I34" s="210"/>
    </row>
    <row r="35" spans="1:9" ht="15">
      <c r="A35" s="210"/>
      <c r="B35" s="210"/>
      <c r="C35" s="211"/>
      <c r="D35" s="210"/>
      <c r="E35" s="212"/>
      <c r="F35" s="210"/>
      <c r="G35" s="210"/>
      <c r="H35" s="210"/>
      <c r="I35" s="210"/>
    </row>
    <row r="36" spans="1:9" ht="15">
      <c r="A36" s="210"/>
      <c r="B36" s="210"/>
      <c r="C36" s="211"/>
      <c r="D36" s="210"/>
      <c r="E36" s="212"/>
      <c r="F36" s="210"/>
      <c r="G36" s="210"/>
      <c r="H36" s="210"/>
      <c r="I36" s="210"/>
    </row>
    <row r="37" spans="1:9" ht="15">
      <c r="A37" s="210"/>
      <c r="B37" s="210"/>
      <c r="C37" s="211"/>
      <c r="D37" s="210"/>
      <c r="E37" s="212"/>
      <c r="F37" s="210"/>
      <c r="G37" s="210"/>
      <c r="H37" s="210"/>
      <c r="I37" s="210"/>
    </row>
    <row r="38" spans="1:9" ht="15">
      <c r="A38" s="210"/>
      <c r="B38" s="210"/>
      <c r="C38" s="211"/>
      <c r="D38" s="210"/>
      <c r="E38" s="212"/>
      <c r="F38" s="210"/>
      <c r="G38" s="210"/>
      <c r="H38" s="210"/>
      <c r="I38" s="210"/>
    </row>
    <row r="39" spans="1:9" ht="15">
      <c r="A39" s="210"/>
      <c r="B39" s="210"/>
      <c r="C39" s="211"/>
      <c r="D39" s="210"/>
      <c r="E39" s="212"/>
      <c r="F39" s="210"/>
      <c r="G39" s="210"/>
      <c r="H39" s="210"/>
      <c r="I39" s="210"/>
    </row>
    <row r="40" spans="1:9" ht="15">
      <c r="A40" s="210"/>
      <c r="B40" s="210"/>
      <c r="C40" s="211"/>
      <c r="D40" s="210"/>
      <c r="E40" s="212"/>
      <c r="F40" s="210"/>
      <c r="G40" s="210"/>
      <c r="H40" s="210"/>
      <c r="I40" s="210"/>
    </row>
    <row r="41" spans="1:9" ht="15">
      <c r="A41" s="210"/>
      <c r="B41" s="210"/>
      <c r="C41" s="211"/>
      <c r="D41" s="210"/>
      <c r="E41" s="212"/>
      <c r="F41" s="210"/>
      <c r="G41" s="210"/>
      <c r="H41" s="210"/>
      <c r="I41" s="210"/>
    </row>
    <row r="42" spans="1:9" ht="15">
      <c r="A42" s="210"/>
      <c r="B42" s="210"/>
      <c r="C42" s="211"/>
      <c r="D42" s="210"/>
      <c r="E42" s="212"/>
      <c r="F42" s="210"/>
      <c r="G42" s="210"/>
      <c r="H42" s="210"/>
      <c r="I42" s="210"/>
    </row>
    <row r="43" spans="1:9" ht="15">
      <c r="A43" s="210"/>
      <c r="B43" s="210"/>
      <c r="C43" s="211"/>
      <c r="D43" s="210"/>
      <c r="E43" s="212"/>
      <c r="F43" s="210"/>
      <c r="G43" s="210"/>
      <c r="H43" s="210"/>
      <c r="I43" s="210"/>
    </row>
    <row r="44" spans="1:9" ht="15">
      <c r="A44" s="210"/>
      <c r="B44" s="210"/>
      <c r="C44" s="211"/>
      <c r="D44" s="210"/>
      <c r="E44" s="212"/>
      <c r="F44" s="210"/>
      <c r="G44" s="210"/>
      <c r="H44" s="210"/>
      <c r="I44" s="210"/>
    </row>
    <row r="45" spans="1:9" ht="15">
      <c r="A45" s="210"/>
      <c r="B45" s="210"/>
      <c r="C45" s="211"/>
      <c r="D45" s="210"/>
      <c r="E45" s="212"/>
      <c r="F45" s="210"/>
      <c r="G45" s="210"/>
      <c r="H45" s="210"/>
      <c r="I45" s="210"/>
    </row>
    <row r="46" spans="1:9" ht="15">
      <c r="A46" s="210"/>
      <c r="B46" s="210"/>
      <c r="C46" s="211"/>
      <c r="D46" s="210"/>
      <c r="E46" s="212"/>
      <c r="F46" s="210"/>
      <c r="G46" s="210"/>
      <c r="H46" s="210"/>
      <c r="I46" s="210"/>
    </row>
    <row r="47" spans="1:9" ht="15">
      <c r="A47" s="210"/>
      <c r="B47" s="210"/>
      <c r="C47" s="211"/>
      <c r="D47" s="210"/>
      <c r="E47" s="212"/>
      <c r="F47" s="210"/>
      <c r="G47" s="210"/>
      <c r="H47" s="210"/>
      <c r="I47" s="210"/>
    </row>
    <row r="48" spans="1:9" ht="15">
      <c r="A48" s="210"/>
      <c r="B48" s="210"/>
      <c r="C48" s="211"/>
      <c r="D48" s="210"/>
      <c r="E48" s="212"/>
      <c r="F48" s="210"/>
      <c r="G48" s="210"/>
      <c r="H48" s="210"/>
      <c r="I48" s="210"/>
    </row>
    <row r="49" spans="1:9" ht="15">
      <c r="A49" s="210"/>
      <c r="B49" s="210"/>
      <c r="C49" s="211"/>
      <c r="D49" s="210"/>
      <c r="E49" s="212"/>
      <c r="F49" s="210"/>
      <c r="G49" s="210"/>
      <c r="H49" s="210"/>
      <c r="I49" s="210"/>
    </row>
    <row r="50" spans="1:9" ht="15">
      <c r="A50" s="210"/>
      <c r="B50" s="210"/>
      <c r="C50" s="211"/>
      <c r="D50" s="210"/>
      <c r="E50" s="212"/>
      <c r="F50" s="210"/>
      <c r="G50" s="210"/>
      <c r="H50" s="210"/>
      <c r="I50" s="210"/>
    </row>
    <row r="51" spans="1:9" ht="15">
      <c r="A51" s="210"/>
      <c r="B51" s="210"/>
      <c r="C51" s="211"/>
      <c r="D51" s="210"/>
      <c r="E51" s="212"/>
      <c r="F51" s="210"/>
      <c r="G51" s="210"/>
      <c r="H51" s="210"/>
      <c r="I51" s="210"/>
    </row>
    <row r="52" spans="1:9" ht="15">
      <c r="A52" s="210"/>
      <c r="B52" s="210"/>
      <c r="C52" s="211"/>
      <c r="D52" s="210"/>
      <c r="E52" s="212"/>
      <c r="F52" s="210"/>
      <c r="G52" s="210"/>
      <c r="H52" s="210"/>
      <c r="I52" s="210"/>
    </row>
    <row r="53" spans="1:9" ht="15">
      <c r="A53" s="210"/>
      <c r="B53" s="210"/>
      <c r="C53" s="211"/>
      <c r="D53" s="210"/>
      <c r="E53" s="212"/>
      <c r="F53" s="210"/>
      <c r="G53" s="210"/>
      <c r="H53" s="210"/>
      <c r="I53" s="210"/>
    </row>
    <row r="54" spans="1:9" ht="15">
      <c r="A54" s="210"/>
      <c r="B54" s="210"/>
      <c r="C54" s="211"/>
      <c r="D54" s="210"/>
      <c r="E54" s="212"/>
      <c r="F54" s="210"/>
      <c r="G54" s="210"/>
      <c r="H54" s="210"/>
      <c r="I54" s="210"/>
    </row>
    <row r="55" spans="1:9" ht="15">
      <c r="A55" s="210"/>
      <c r="B55" s="210"/>
      <c r="C55" s="211"/>
      <c r="D55" s="210"/>
      <c r="E55" s="212"/>
      <c r="F55" s="210"/>
      <c r="G55" s="210"/>
      <c r="H55" s="210"/>
      <c r="I55" s="210"/>
    </row>
    <row r="56" spans="1:9" ht="15">
      <c r="A56" s="210"/>
      <c r="B56" s="210"/>
      <c r="C56" s="211"/>
      <c r="D56" s="210"/>
      <c r="E56" s="212"/>
      <c r="F56" s="210"/>
      <c r="G56" s="210"/>
      <c r="H56" s="210"/>
      <c r="I56" s="210"/>
    </row>
    <row r="57" spans="1:9" ht="15">
      <c r="A57" s="210"/>
      <c r="B57" s="210"/>
      <c r="C57" s="211"/>
      <c r="D57" s="210"/>
      <c r="E57" s="212"/>
      <c r="F57" s="210"/>
      <c r="G57" s="210"/>
      <c r="H57" s="210"/>
      <c r="I57" s="210"/>
    </row>
    <row r="58" spans="1:9" ht="15">
      <c r="A58" s="210"/>
      <c r="B58" s="210"/>
      <c r="C58" s="211"/>
      <c r="D58" s="210"/>
      <c r="E58" s="212"/>
      <c r="F58" s="210"/>
      <c r="G58" s="210"/>
      <c r="H58" s="210"/>
      <c r="I58" s="210"/>
    </row>
    <row r="59" spans="1:9" ht="15">
      <c r="A59" s="210"/>
      <c r="B59" s="210"/>
      <c r="C59" s="211"/>
      <c r="D59" s="210"/>
      <c r="E59" s="212"/>
      <c r="F59" s="210"/>
      <c r="G59" s="210"/>
      <c r="H59" s="210"/>
      <c r="I59" s="210"/>
    </row>
    <row r="60" spans="1:9" ht="15">
      <c r="A60" s="210"/>
      <c r="B60" s="210"/>
      <c r="C60" s="211"/>
      <c r="D60" s="210"/>
      <c r="E60" s="212"/>
      <c r="F60" s="210"/>
      <c r="G60" s="210"/>
      <c r="H60" s="210"/>
      <c r="I60" s="210"/>
    </row>
    <row r="61" spans="1:9" ht="15">
      <c r="A61" s="210"/>
      <c r="B61" s="210"/>
      <c r="C61" s="211"/>
      <c r="D61" s="210"/>
      <c r="E61" s="212"/>
      <c r="F61" s="210"/>
      <c r="G61" s="210"/>
      <c r="H61" s="210"/>
      <c r="I61" s="210"/>
    </row>
    <row r="62" spans="1:9" ht="15">
      <c r="A62" s="210"/>
      <c r="B62" s="210"/>
      <c r="C62" s="211"/>
      <c r="D62" s="210"/>
      <c r="E62" s="212"/>
      <c r="F62" s="210"/>
      <c r="G62" s="210"/>
      <c r="H62" s="210"/>
      <c r="I62" s="210"/>
    </row>
    <row r="63" spans="1:9" ht="15">
      <c r="A63" s="210"/>
      <c r="F63" s="210"/>
      <c r="G63" s="210"/>
      <c r="H63" s="210"/>
      <c r="I63" s="210"/>
    </row>
    <row r="65" spans="2:5" ht="15">
      <c r="B65" s="311"/>
      <c r="C65" s="311"/>
      <c r="D65" s="311"/>
      <c r="E65" s="311"/>
    </row>
  </sheetData>
  <sheetProtection/>
  <mergeCells count="8">
    <mergeCell ref="B20:G20"/>
    <mergeCell ref="B65:E65"/>
    <mergeCell ref="B1:D5"/>
    <mergeCell ref="B6:G6"/>
    <mergeCell ref="B8:G10"/>
    <mergeCell ref="B13:B14"/>
    <mergeCell ref="C13:C14"/>
    <mergeCell ref="D13:G13"/>
  </mergeCells>
  <conditionalFormatting sqref="B26 B20">
    <cfRule type="cellIs" priority="1" dxfId="12" operator="equal" stopIfTrue="1">
      <formula>0</formula>
    </cfRule>
    <cfRule type="cellIs" priority="2" dxfId="13" operator="notEqual" stopIfTrue="1">
      <formula>0</formula>
    </cfRule>
  </conditionalFormatting>
  <hyperlinks>
    <hyperlink ref="I23" location="'Activity Description'!A1" display="Activity Description"/>
    <hyperlink ref="I24" location="'User Guide'!A1" display="User's Guide"/>
  </hyperlinks>
  <printOptions/>
  <pageMargins left="0.7" right="0.7" top="0.75" bottom="0.75" header="0.3" footer="0.3"/>
  <pageSetup horizontalDpi="200" verticalDpi="2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3"/>
  <dimension ref="A1:AB188"/>
  <sheetViews>
    <sheetView zoomScale="85" zoomScaleNormal="85" zoomScalePageLayoutView="0" workbookViewId="0" topLeftCell="A1">
      <selection activeCell="A1" sqref="A1:G1"/>
    </sheetView>
  </sheetViews>
  <sheetFormatPr defaultColWidth="9.140625" defaultRowHeight="15" outlineLevelRow="2"/>
  <cols>
    <col min="1" max="1" width="55.00390625" style="0" customWidth="1"/>
    <col min="2" max="2" width="15.28125" style="0" customWidth="1"/>
    <col min="3" max="3" width="19.7109375" style="0" customWidth="1"/>
    <col min="4" max="4" width="12.421875" style="0" customWidth="1"/>
    <col min="5" max="5" width="10.57421875" style="0" bestFit="1" customWidth="1"/>
    <col min="6" max="7" width="10.28125" style="0" customWidth="1"/>
    <col min="8" max="8" width="12.421875" style="0" customWidth="1"/>
    <col min="9" max="9" width="11.7109375" style="0" customWidth="1"/>
    <col min="10" max="10" width="10.00390625" style="0" customWidth="1"/>
    <col min="11" max="11" width="11.421875" style="0" customWidth="1"/>
    <col min="12" max="12" width="12.140625" style="0" customWidth="1"/>
    <col min="13" max="23" width="10.57421875" style="0" bestFit="1" customWidth="1"/>
    <col min="24" max="24" width="11.00390625" style="0" bestFit="1" customWidth="1"/>
    <col min="25" max="26" width="9.28125" style="0" bestFit="1" customWidth="1"/>
    <col min="27" max="27" width="12.00390625" style="0" bestFit="1" customWidth="1"/>
    <col min="28" max="28" width="10.00390625" style="0" bestFit="1" customWidth="1"/>
  </cols>
  <sheetData>
    <row r="1" spans="1:7" ht="18">
      <c r="A1" s="328" t="s">
        <v>399</v>
      </c>
      <c r="B1" s="328"/>
      <c r="C1" s="328"/>
      <c r="D1" s="328"/>
      <c r="E1" s="328"/>
      <c r="F1" s="328"/>
      <c r="G1" s="328"/>
    </row>
    <row r="2" spans="1:7" ht="18" customHeight="1">
      <c r="A2" s="329" t="s">
        <v>422</v>
      </c>
      <c r="B2" s="329"/>
      <c r="C2" s="329"/>
      <c r="D2" s="329"/>
      <c r="E2" s="329"/>
      <c r="F2" s="329"/>
      <c r="G2" s="329"/>
    </row>
    <row r="3" spans="1:7" ht="23.25" customHeight="1">
      <c r="A3" s="329"/>
      <c r="B3" s="329"/>
      <c r="C3" s="329"/>
      <c r="D3" s="329"/>
      <c r="E3" s="329"/>
      <c r="F3" s="329"/>
      <c r="G3" s="329"/>
    </row>
    <row r="4" spans="1:7" ht="18">
      <c r="A4" s="218">
        <f>IF('ERR &amp; Sensitivity Analysis'!$I$15="N","Note: Current calculations are based on user input and are not the original MCC estimates.",IF('ERR &amp; Sensitivity Analysis'!$I$19="N","Note: Current calculations are based on user input and are not the original MCC estimates.",0))</f>
        <v>0</v>
      </c>
      <c r="B4" s="185"/>
      <c r="C4" s="185"/>
      <c r="D4" s="185"/>
      <c r="G4" s="186" t="str">
        <f>'User Guide'!B1</f>
        <v>LAST UPDATED: 1/10/2011</v>
      </c>
    </row>
    <row r="5" ht="15" hidden="1" outlineLevel="1"/>
    <row r="6" spans="1:7" ht="15" hidden="1" outlineLevel="1">
      <c r="A6" s="7"/>
      <c r="C6" s="3"/>
      <c r="D6" s="3"/>
      <c r="E6" s="3"/>
      <c r="F6" s="3"/>
      <c r="G6" s="3"/>
    </row>
    <row r="7" ht="15" hidden="1" outlineLevel="1">
      <c r="A7" s="7" t="s">
        <v>31</v>
      </c>
    </row>
    <row r="8" ht="15" hidden="1" outlineLevel="1">
      <c r="A8" s="7" t="s">
        <v>97</v>
      </c>
    </row>
    <row r="9" spans="1:23" ht="15" hidden="1" outlineLevel="1">
      <c r="A9" s="7" t="s">
        <v>184</v>
      </c>
      <c r="B9" s="20" t="s">
        <v>30</v>
      </c>
      <c r="C9" s="5">
        <v>0</v>
      </c>
      <c r="D9" s="5">
        <v>1</v>
      </c>
      <c r="E9" s="5">
        <v>2</v>
      </c>
      <c r="F9" s="5">
        <v>3</v>
      </c>
      <c r="G9" s="5">
        <v>4</v>
      </c>
      <c r="H9" s="5">
        <v>5</v>
      </c>
      <c r="I9" s="5">
        <v>6</v>
      </c>
      <c r="J9" s="5">
        <v>7</v>
      </c>
      <c r="K9" s="5">
        <v>8</v>
      </c>
      <c r="L9" s="5">
        <v>9</v>
      </c>
      <c r="M9" s="5">
        <v>10</v>
      </c>
      <c r="N9" s="5">
        <v>11</v>
      </c>
      <c r="O9" s="5">
        <v>12</v>
      </c>
      <c r="P9" s="5">
        <v>13</v>
      </c>
      <c r="Q9" s="5">
        <v>14</v>
      </c>
      <c r="R9" s="5">
        <v>15</v>
      </c>
      <c r="S9" s="5">
        <v>16</v>
      </c>
      <c r="T9" s="5">
        <v>17</v>
      </c>
      <c r="U9" s="5">
        <v>18</v>
      </c>
      <c r="V9" s="5">
        <v>19</v>
      </c>
      <c r="W9" s="5">
        <v>20</v>
      </c>
    </row>
    <row r="10" spans="2:23" ht="15" hidden="1" outlineLevel="1">
      <c r="B10" s="20" t="s">
        <v>8</v>
      </c>
      <c r="C10" s="24">
        <v>2010</v>
      </c>
      <c r="D10" s="24">
        <v>2011</v>
      </c>
      <c r="E10" s="24">
        <v>2012</v>
      </c>
      <c r="F10" s="24">
        <v>2013</v>
      </c>
      <c r="G10" s="24">
        <v>2014</v>
      </c>
      <c r="H10" s="24">
        <v>2015</v>
      </c>
      <c r="I10" s="24">
        <v>2016</v>
      </c>
      <c r="J10" s="24">
        <v>2017</v>
      </c>
      <c r="K10" s="24">
        <v>2018</v>
      </c>
      <c r="L10" s="24">
        <v>2019</v>
      </c>
      <c r="M10" s="24">
        <v>2020</v>
      </c>
      <c r="N10" s="24">
        <v>2021</v>
      </c>
      <c r="O10" s="24">
        <v>2022</v>
      </c>
      <c r="P10" s="24">
        <v>2023</v>
      </c>
      <c r="Q10" s="24">
        <v>2024</v>
      </c>
      <c r="R10" s="24">
        <v>2025</v>
      </c>
      <c r="S10" s="24">
        <v>2026</v>
      </c>
      <c r="T10" s="24">
        <v>2027</v>
      </c>
      <c r="U10" s="24">
        <v>2028</v>
      </c>
      <c r="V10" s="24">
        <v>2029</v>
      </c>
      <c r="W10" s="24">
        <v>2030</v>
      </c>
    </row>
    <row r="11" spans="1:23" ht="15" hidden="1" outlineLevel="1">
      <c r="A11" t="s">
        <v>34</v>
      </c>
      <c r="B11" s="6"/>
      <c r="C11" s="12">
        <v>1850000</v>
      </c>
      <c r="D11" s="12">
        <f aca="true" t="shared" si="0" ref="D11:W11">ROUND(C11*(1+PopGrowth),0)</f>
        <v>1905500</v>
      </c>
      <c r="E11" s="12">
        <f t="shared" si="0"/>
        <v>1962665</v>
      </c>
      <c r="F11" s="12">
        <f t="shared" si="0"/>
        <v>2021545</v>
      </c>
      <c r="G11" s="12">
        <f t="shared" si="0"/>
        <v>2082191</v>
      </c>
      <c r="H11" s="12">
        <f t="shared" si="0"/>
        <v>2144657</v>
      </c>
      <c r="I11" s="12">
        <f t="shared" si="0"/>
        <v>2208997</v>
      </c>
      <c r="J11" s="12">
        <f t="shared" si="0"/>
        <v>2275267</v>
      </c>
      <c r="K11" s="12">
        <f t="shared" si="0"/>
        <v>2343525</v>
      </c>
      <c r="L11" s="12">
        <f t="shared" si="0"/>
        <v>2413831</v>
      </c>
      <c r="M11" s="12">
        <f t="shared" si="0"/>
        <v>2486246</v>
      </c>
      <c r="N11" s="12">
        <f t="shared" si="0"/>
        <v>2560833</v>
      </c>
      <c r="O11" s="12">
        <f t="shared" si="0"/>
        <v>2637658</v>
      </c>
      <c r="P11" s="12">
        <f t="shared" si="0"/>
        <v>2716788</v>
      </c>
      <c r="Q11" s="12">
        <f t="shared" si="0"/>
        <v>2798292</v>
      </c>
      <c r="R11" s="12">
        <f t="shared" si="0"/>
        <v>2882241</v>
      </c>
      <c r="S11" s="12">
        <f t="shared" si="0"/>
        <v>2968708</v>
      </c>
      <c r="T11" s="12">
        <f t="shared" si="0"/>
        <v>3057769</v>
      </c>
      <c r="U11" s="12">
        <f t="shared" si="0"/>
        <v>3149502</v>
      </c>
      <c r="V11" s="12">
        <f t="shared" si="0"/>
        <v>3243987</v>
      </c>
      <c r="W11" s="12">
        <f t="shared" si="0"/>
        <v>3341307</v>
      </c>
    </row>
    <row r="12" spans="1:23" ht="15" hidden="1" outlineLevel="1">
      <c r="A12" t="s">
        <v>46</v>
      </c>
      <c r="B12" s="6"/>
      <c r="C12" s="16">
        <f>C11*0.93-C28</f>
        <v>1421500</v>
      </c>
      <c r="D12" s="16">
        <f aca="true" t="shared" si="1" ref="D12:W12">D11*0.93-D28</f>
        <v>1464145</v>
      </c>
      <c r="E12" s="16">
        <f t="shared" si="1"/>
        <v>1508069.4500000002</v>
      </c>
      <c r="F12" s="16">
        <f t="shared" si="1"/>
        <v>1553311.85</v>
      </c>
      <c r="G12" s="16">
        <f t="shared" si="1"/>
        <v>1599910.6300000001</v>
      </c>
      <c r="H12" s="16">
        <f t="shared" si="1"/>
        <v>1647908.01</v>
      </c>
      <c r="I12" s="16">
        <f t="shared" si="1"/>
        <v>1697345.2100000002</v>
      </c>
      <c r="J12" s="16">
        <f t="shared" si="1"/>
        <v>1748265.31</v>
      </c>
      <c r="K12" s="16">
        <f t="shared" si="1"/>
        <v>1800713.25</v>
      </c>
      <c r="L12" s="16">
        <f t="shared" si="1"/>
        <v>1854734.83</v>
      </c>
      <c r="M12" s="16">
        <f t="shared" si="1"/>
        <v>1910376.7800000003</v>
      </c>
      <c r="N12" s="16">
        <f t="shared" si="1"/>
        <v>1967687.69</v>
      </c>
      <c r="O12" s="16">
        <f t="shared" si="1"/>
        <v>2026717.94</v>
      </c>
      <c r="P12" s="16">
        <f t="shared" si="1"/>
        <v>2087519.8400000003</v>
      </c>
      <c r="Q12" s="16">
        <f t="shared" si="1"/>
        <v>2150145.56</v>
      </c>
      <c r="R12" s="16">
        <f t="shared" si="1"/>
        <v>2214650.1300000004</v>
      </c>
      <c r="S12" s="16">
        <f t="shared" si="1"/>
        <v>2281089.44</v>
      </c>
      <c r="T12" s="16">
        <f t="shared" si="1"/>
        <v>2349522.17</v>
      </c>
      <c r="U12" s="16">
        <f t="shared" si="1"/>
        <v>2420007.8600000003</v>
      </c>
      <c r="V12" s="16">
        <f t="shared" si="1"/>
        <v>2492607.91</v>
      </c>
      <c r="W12" s="16">
        <f t="shared" si="1"/>
        <v>2567386.5100000002</v>
      </c>
    </row>
    <row r="13" spans="1:23" ht="15" hidden="1" outlineLevel="1">
      <c r="A13" t="s">
        <v>35</v>
      </c>
      <c r="B13" s="6"/>
      <c r="C13" s="12">
        <f>Data!B9</f>
        <v>103</v>
      </c>
      <c r="D13" s="12">
        <v>103</v>
      </c>
      <c r="E13" s="12">
        <v>103</v>
      </c>
      <c r="F13" s="12">
        <v>103</v>
      </c>
      <c r="G13" s="12">
        <v>104</v>
      </c>
      <c r="H13" s="12">
        <v>104</v>
      </c>
      <c r="I13" s="12">
        <v>104</v>
      </c>
      <c r="J13" s="12">
        <v>104</v>
      </c>
      <c r="K13" s="12">
        <v>104</v>
      </c>
      <c r="L13" s="12">
        <v>104</v>
      </c>
      <c r="M13" s="12">
        <v>104</v>
      </c>
      <c r="N13" s="12">
        <v>104</v>
      </c>
      <c r="O13" s="12">
        <v>104</v>
      </c>
      <c r="P13" s="12">
        <v>104</v>
      </c>
      <c r="Q13" s="12">
        <v>104</v>
      </c>
      <c r="R13" s="12">
        <v>104</v>
      </c>
      <c r="S13" s="12">
        <v>104</v>
      </c>
      <c r="T13" s="12">
        <v>104</v>
      </c>
      <c r="U13" s="12">
        <v>104</v>
      </c>
      <c r="V13" s="12">
        <v>104</v>
      </c>
      <c r="W13" s="12">
        <v>105</v>
      </c>
    </row>
    <row r="14" spans="1:23" ht="15" hidden="1" outlineLevel="1">
      <c r="A14" t="s">
        <v>40</v>
      </c>
      <c r="B14" s="6"/>
      <c r="C14" s="1">
        <f>C12*C13/1000*365</f>
        <v>53441292.5</v>
      </c>
      <c r="D14" s="1">
        <f aca="true" t="shared" si="2" ref="D14:W14">D12*D13/1000*365</f>
        <v>55044531.275</v>
      </c>
      <c r="E14" s="1">
        <f t="shared" si="2"/>
        <v>56695870.972750016</v>
      </c>
      <c r="F14" s="1">
        <f t="shared" si="2"/>
        <v>58396759.000750005</v>
      </c>
      <c r="G14" s="1">
        <f t="shared" si="2"/>
        <v>60732607.514800005</v>
      </c>
      <c r="H14" s="1">
        <f t="shared" si="2"/>
        <v>62554588.0596</v>
      </c>
      <c r="I14" s="1">
        <f t="shared" si="2"/>
        <v>64431224.171600014</v>
      </c>
      <c r="J14" s="1">
        <f t="shared" si="2"/>
        <v>66364151.1676</v>
      </c>
      <c r="K14" s="1">
        <f t="shared" si="2"/>
        <v>68355074.97</v>
      </c>
      <c r="L14" s="1">
        <f t="shared" si="2"/>
        <v>70405734.1468</v>
      </c>
      <c r="M14" s="1">
        <f t="shared" si="2"/>
        <v>72517902.56880002</v>
      </c>
      <c r="N14" s="1">
        <f t="shared" si="2"/>
        <v>74693424.7124</v>
      </c>
      <c r="O14" s="1">
        <f t="shared" si="2"/>
        <v>76934213.0024</v>
      </c>
      <c r="P14" s="1">
        <f t="shared" si="2"/>
        <v>79242253.12640002</v>
      </c>
      <c r="Q14" s="1">
        <f t="shared" si="2"/>
        <v>81619525.4576</v>
      </c>
      <c r="R14" s="1">
        <f t="shared" si="2"/>
        <v>84068118.93480001</v>
      </c>
      <c r="S14" s="1">
        <f t="shared" si="2"/>
        <v>86590155.1424</v>
      </c>
      <c r="T14" s="1">
        <f t="shared" si="2"/>
        <v>89187861.5732</v>
      </c>
      <c r="U14" s="1">
        <f t="shared" si="2"/>
        <v>91863498.3656</v>
      </c>
      <c r="V14" s="1">
        <f t="shared" si="2"/>
        <v>94619396.2636</v>
      </c>
      <c r="W14" s="1">
        <f t="shared" si="2"/>
        <v>98395087.99575001</v>
      </c>
    </row>
    <row r="15" spans="1:23" ht="15" hidden="1" outlineLevel="1">
      <c r="A15" t="s">
        <v>64</v>
      </c>
      <c r="B15" s="6"/>
      <c r="C15" s="3">
        <f aca="true" t="shared" si="3" ref="C15:W15">C14/365</f>
        <v>146414.5</v>
      </c>
      <c r="D15" s="3">
        <f t="shared" si="3"/>
        <v>150806.935</v>
      </c>
      <c r="E15" s="3">
        <f t="shared" si="3"/>
        <v>155331.15335000004</v>
      </c>
      <c r="F15" s="3">
        <f t="shared" si="3"/>
        <v>159991.12055000002</v>
      </c>
      <c r="G15" s="3">
        <f t="shared" si="3"/>
        <v>166390.70552000002</v>
      </c>
      <c r="H15" s="3">
        <f t="shared" si="3"/>
        <v>171382.43304</v>
      </c>
      <c r="I15" s="3">
        <f t="shared" si="3"/>
        <v>176523.90184000004</v>
      </c>
      <c r="J15" s="3">
        <f t="shared" si="3"/>
        <v>181819.59224</v>
      </c>
      <c r="K15" s="3">
        <f t="shared" si="3"/>
        <v>187274.17799999999</v>
      </c>
      <c r="L15" s="3">
        <f t="shared" si="3"/>
        <v>192892.42231999998</v>
      </c>
      <c r="M15" s="3">
        <f t="shared" si="3"/>
        <v>198679.18512000004</v>
      </c>
      <c r="N15" s="3">
        <f t="shared" si="3"/>
        <v>204639.51976000002</v>
      </c>
      <c r="O15" s="3">
        <f t="shared" si="3"/>
        <v>210778.66575999997</v>
      </c>
      <c r="P15" s="3">
        <f t="shared" si="3"/>
        <v>217102.06336000006</v>
      </c>
      <c r="Q15" s="3">
        <f t="shared" si="3"/>
        <v>223615.13824</v>
      </c>
      <c r="R15" s="3">
        <f t="shared" si="3"/>
        <v>230323.61352000004</v>
      </c>
      <c r="S15" s="3">
        <f t="shared" si="3"/>
        <v>237233.30176</v>
      </c>
      <c r="T15" s="3">
        <f t="shared" si="3"/>
        <v>244350.30568000002</v>
      </c>
      <c r="U15" s="3">
        <f t="shared" si="3"/>
        <v>251680.81744</v>
      </c>
      <c r="V15" s="3">
        <f t="shared" si="3"/>
        <v>259231.22264000002</v>
      </c>
      <c r="W15" s="3">
        <f t="shared" si="3"/>
        <v>269575.58355000004</v>
      </c>
    </row>
    <row r="16" spans="2:23" ht="15" hidden="1" outlineLevel="1">
      <c r="B16" s="6"/>
      <c r="C16" s="3"/>
      <c r="D16" s="3"/>
      <c r="E16" s="3"/>
      <c r="F16" s="3"/>
      <c r="G16" s="3"/>
      <c r="H16" s="3"/>
      <c r="I16" s="3"/>
      <c r="J16" s="3"/>
      <c r="K16" s="3"/>
      <c r="L16" s="3"/>
      <c r="M16" s="3"/>
      <c r="N16" s="3"/>
      <c r="O16" s="3"/>
      <c r="P16" s="3"/>
      <c r="Q16" s="3"/>
      <c r="R16" s="3"/>
      <c r="S16" s="3"/>
      <c r="T16" s="3"/>
      <c r="U16" s="3"/>
      <c r="V16" s="3"/>
      <c r="W16" s="3"/>
    </row>
    <row r="17" spans="1:26" ht="15" hidden="1" outlineLevel="1">
      <c r="A17" t="s">
        <v>36</v>
      </c>
      <c r="B17" s="6"/>
      <c r="C17" s="3">
        <v>921450</v>
      </c>
      <c r="D17" s="3">
        <f aca="true" t="shared" si="4" ref="D17:W17">ROUND(C17*(1+PopGrowth),0)</f>
        <v>949094</v>
      </c>
      <c r="E17" s="3">
        <f t="shared" si="4"/>
        <v>977567</v>
      </c>
      <c r="F17" s="3">
        <f t="shared" si="4"/>
        <v>1006894</v>
      </c>
      <c r="G17" s="3">
        <f t="shared" si="4"/>
        <v>1037101</v>
      </c>
      <c r="H17" s="3">
        <f t="shared" si="4"/>
        <v>1068214</v>
      </c>
      <c r="I17" s="3">
        <f t="shared" si="4"/>
        <v>1100260</v>
      </c>
      <c r="J17" s="3">
        <f t="shared" si="4"/>
        <v>1133268</v>
      </c>
      <c r="K17" s="3">
        <f t="shared" si="4"/>
        <v>1167266</v>
      </c>
      <c r="L17" s="3">
        <f t="shared" si="4"/>
        <v>1202284</v>
      </c>
      <c r="M17" s="3">
        <f t="shared" si="4"/>
        <v>1238353</v>
      </c>
      <c r="N17" s="3">
        <f t="shared" si="4"/>
        <v>1275504</v>
      </c>
      <c r="O17" s="3">
        <f t="shared" si="4"/>
        <v>1313769</v>
      </c>
      <c r="P17" s="3">
        <f t="shared" si="4"/>
        <v>1353182</v>
      </c>
      <c r="Q17" s="3">
        <f t="shared" si="4"/>
        <v>1393777</v>
      </c>
      <c r="R17" s="3">
        <f t="shared" si="4"/>
        <v>1435590</v>
      </c>
      <c r="S17" s="3">
        <f t="shared" si="4"/>
        <v>1478658</v>
      </c>
      <c r="T17" s="3">
        <f t="shared" si="4"/>
        <v>1523018</v>
      </c>
      <c r="U17" s="3">
        <f t="shared" si="4"/>
        <v>1568709</v>
      </c>
      <c r="V17" s="3">
        <f t="shared" si="4"/>
        <v>1615770</v>
      </c>
      <c r="W17" s="3">
        <f t="shared" si="4"/>
        <v>1664243</v>
      </c>
      <c r="X17" s="187"/>
      <c r="Y17" s="188">
        <f>W17*0.72</f>
        <v>1198254.96</v>
      </c>
      <c r="Z17" s="187"/>
    </row>
    <row r="18" spans="1:26" ht="15" hidden="1" outlineLevel="1">
      <c r="A18" t="s">
        <v>350</v>
      </c>
      <c r="B18" s="6"/>
      <c r="C18" s="3">
        <f>C17*Data!$B53</f>
        <v>663444</v>
      </c>
      <c r="D18" s="3">
        <f>D17*Data!$B53</f>
        <v>683347.6799999999</v>
      </c>
      <c r="E18" s="3">
        <f>E17*Data!$B53</f>
        <v>703848.24</v>
      </c>
      <c r="F18" s="3">
        <f>F17*Data!$B53</f>
        <v>724963.6799999999</v>
      </c>
      <c r="G18" s="3">
        <f>G17*Data!$B53</f>
        <v>746712.72</v>
      </c>
      <c r="H18" s="3">
        <f>H17*Data!$B53</f>
        <v>769114.08</v>
      </c>
      <c r="I18" s="3">
        <f>I17*Data!$B53</f>
        <v>792187.2</v>
      </c>
      <c r="J18" s="3">
        <f>J17*Data!$B53</f>
        <v>815952.96</v>
      </c>
      <c r="K18" s="3">
        <f>K17*Data!$B53</f>
        <v>840431.52</v>
      </c>
      <c r="L18" s="3">
        <f>L17*Data!$B53</f>
        <v>865644.48</v>
      </c>
      <c r="M18" s="3">
        <f>M17*Data!$B53</f>
        <v>891614.1599999999</v>
      </c>
      <c r="N18" s="3">
        <f>N17*Data!$B53</f>
        <v>918362.88</v>
      </c>
      <c r="O18" s="3">
        <f>O17*Data!$B53</f>
        <v>945913.6799999999</v>
      </c>
      <c r="P18" s="3">
        <f>P17*Data!$B53</f>
        <v>974291.0399999999</v>
      </c>
      <c r="Q18" s="3">
        <f>Q17*Data!$B53</f>
        <v>1003519.44</v>
      </c>
      <c r="R18" s="3">
        <f>R17*Data!$B53</f>
        <v>1033624.7999999999</v>
      </c>
      <c r="S18" s="3">
        <f>S17*Data!$B53</f>
        <v>1064633.76</v>
      </c>
      <c r="T18" s="3">
        <f>T17*Data!$B53</f>
        <v>1096572.96</v>
      </c>
      <c r="U18" s="3">
        <f>U17*Data!$B53</f>
        <v>1129470.48</v>
      </c>
      <c r="V18" s="3">
        <f>V17*Data!$B53</f>
        <v>1163354.4</v>
      </c>
      <c r="W18" s="3">
        <f>W17*Data!$B53</f>
        <v>1198254.96</v>
      </c>
      <c r="X18" s="187"/>
      <c r="Y18" s="188"/>
      <c r="Z18" s="187"/>
    </row>
    <row r="19" spans="1:26" ht="15" hidden="1" outlineLevel="1">
      <c r="A19" t="s">
        <v>373</v>
      </c>
      <c r="B19" s="6"/>
      <c r="C19" s="3"/>
      <c r="D19" s="2"/>
      <c r="E19" s="2"/>
      <c r="F19" s="2"/>
      <c r="G19" s="2"/>
      <c r="H19" s="2">
        <v>0.5</v>
      </c>
      <c r="I19" s="2">
        <v>1</v>
      </c>
      <c r="J19" s="2">
        <v>1</v>
      </c>
      <c r="K19" s="2">
        <v>1</v>
      </c>
      <c r="L19" s="2">
        <v>1</v>
      </c>
      <c r="M19" s="2">
        <v>1</v>
      </c>
      <c r="N19" s="2">
        <v>1</v>
      </c>
      <c r="O19" s="2">
        <v>1</v>
      </c>
      <c r="P19" s="2">
        <v>1</v>
      </c>
      <c r="Q19" s="2">
        <v>1</v>
      </c>
      <c r="R19" s="2">
        <v>1</v>
      </c>
      <c r="S19" s="2">
        <v>1</v>
      </c>
      <c r="T19" s="2">
        <v>1</v>
      </c>
      <c r="U19" s="2">
        <v>1</v>
      </c>
      <c r="V19" s="2">
        <v>1</v>
      </c>
      <c r="W19" s="2">
        <v>1</v>
      </c>
      <c r="X19" s="187"/>
      <c r="Y19" s="188"/>
      <c r="Z19" s="187"/>
    </row>
    <row r="20" spans="1:26" ht="15" hidden="1" outlineLevel="1">
      <c r="A20" t="s">
        <v>349</v>
      </c>
      <c r="B20" s="6"/>
      <c r="C20" s="3">
        <f>C17*Data!$B53</f>
        <v>663444</v>
      </c>
      <c r="D20" s="3">
        <f>D17*Data!$B53</f>
        <v>683347.6799999999</v>
      </c>
      <c r="E20" s="3">
        <f>E17*Data!$B53</f>
        <v>703848.24</v>
      </c>
      <c r="F20" s="3">
        <f>F17*Data!$B53</f>
        <v>724963.6799999999</v>
      </c>
      <c r="G20" s="3">
        <f>G17*Data!$B53</f>
        <v>746712.72</v>
      </c>
      <c r="H20" s="3">
        <f>H17*(Data!$B53*(1-H19)+Data!$B54*H19)</f>
        <v>838547.9899999999</v>
      </c>
      <c r="I20" s="3">
        <f>I17*(Data!$B53*(1-I19)+Data!$B54*I19)</f>
        <v>935221</v>
      </c>
      <c r="J20" s="3">
        <f>J17*(Data!$B53*(1-J19)+Data!$B54*J19)</f>
        <v>963277.7999999999</v>
      </c>
      <c r="K20" s="3">
        <f>K17*(Data!$B53*(1-K19)+Data!$B54*K19)</f>
        <v>992176.1</v>
      </c>
      <c r="L20" s="3">
        <f>L17*(Data!$B53*(1-L19)+Data!$B54*L19)</f>
        <v>1021941.4</v>
      </c>
      <c r="M20" s="3">
        <f>M17*(Data!$B53*(1-M19)+Data!$B54*M19)</f>
        <v>1052600.05</v>
      </c>
      <c r="N20" s="3">
        <f>N17*(Data!$B53*(1-N19)+Data!$B54*N19)</f>
        <v>1084178.4</v>
      </c>
      <c r="O20" s="3">
        <f>O17*(Data!$B53*(1-O19)+Data!$B54*O19)</f>
        <v>1116703.65</v>
      </c>
      <c r="P20" s="3">
        <f>P17*(Data!$B53*(1-P19)+Data!$B54*P19)</f>
        <v>1150204.7</v>
      </c>
      <c r="Q20" s="3">
        <f>Q17*(Data!$B53*(1-Q19)+Data!$B54*Q19)</f>
        <v>1184710.45</v>
      </c>
      <c r="R20" s="3">
        <f>R17*(Data!$B53*(1-R19)+Data!$B54*R19)</f>
        <v>1220251.5</v>
      </c>
      <c r="S20" s="3">
        <f>S17*(Data!$B53*(1-S19)+Data!$B54*S19)</f>
        <v>1256859.3</v>
      </c>
      <c r="T20" s="3">
        <f>T17*(Data!$B53*(1-T19)+Data!$B54*T19)</f>
        <v>1294565.3</v>
      </c>
      <c r="U20" s="3">
        <f>U17*(Data!$B53*(1-U19)+Data!$B54*U19)</f>
        <v>1333402.65</v>
      </c>
      <c r="V20" s="3">
        <f>V17*(Data!$B53*(1-V19)+Data!$B54*V19)</f>
        <v>1373404.5</v>
      </c>
      <c r="W20" s="3">
        <f>W17*(Data!$B53*(1-W19)+Data!$B54*W19)</f>
        <v>1414606.55</v>
      </c>
      <c r="X20" s="188">
        <f>X17*(Data!$B53*(1-X19)+Data!$B54*X19)</f>
        <v>0</v>
      </c>
      <c r="Y20" s="188">
        <f>Y17*(Data!$B53*(1-Y19)+Data!$B54*Y19)</f>
        <v>862743.5711999999</v>
      </c>
      <c r="Z20" s="188">
        <f>Z17*(Data!$B53*(1-Z19)+Data!$B54*Z19)</f>
        <v>0</v>
      </c>
    </row>
    <row r="21" spans="1:26" ht="15" hidden="1" outlineLevel="1">
      <c r="A21" t="s">
        <v>37</v>
      </c>
      <c r="B21" s="6"/>
      <c r="C21" s="12">
        <f>Data!B10</f>
        <v>58</v>
      </c>
      <c r="D21" s="12">
        <f aca="true" t="shared" si="5" ref="D21:U21">C21</f>
        <v>58</v>
      </c>
      <c r="E21" s="12">
        <f t="shared" si="5"/>
        <v>58</v>
      </c>
      <c r="F21" s="12">
        <f t="shared" si="5"/>
        <v>58</v>
      </c>
      <c r="G21" s="12">
        <v>83</v>
      </c>
      <c r="H21" s="12">
        <v>83</v>
      </c>
      <c r="I21" s="12">
        <f t="shared" si="5"/>
        <v>83</v>
      </c>
      <c r="J21" s="12">
        <f t="shared" si="5"/>
        <v>83</v>
      </c>
      <c r="K21" s="12">
        <f t="shared" si="5"/>
        <v>83</v>
      </c>
      <c r="L21" s="12">
        <v>84</v>
      </c>
      <c r="M21" s="12">
        <f t="shared" si="5"/>
        <v>84</v>
      </c>
      <c r="N21" s="12">
        <f t="shared" si="5"/>
        <v>84</v>
      </c>
      <c r="O21" s="12">
        <f t="shared" si="5"/>
        <v>84</v>
      </c>
      <c r="P21" s="12">
        <f t="shared" si="5"/>
        <v>84</v>
      </c>
      <c r="Q21" s="12">
        <v>86</v>
      </c>
      <c r="R21" s="12">
        <f t="shared" si="5"/>
        <v>86</v>
      </c>
      <c r="S21" s="12">
        <f t="shared" si="5"/>
        <v>86</v>
      </c>
      <c r="T21" s="12">
        <f t="shared" si="5"/>
        <v>86</v>
      </c>
      <c r="U21" s="12">
        <f t="shared" si="5"/>
        <v>86</v>
      </c>
      <c r="V21" s="12">
        <v>87</v>
      </c>
      <c r="W21" s="12">
        <v>88</v>
      </c>
      <c r="X21" s="187"/>
      <c r="Y21" s="187"/>
      <c r="Z21" s="187"/>
    </row>
    <row r="22" spans="1:23" ht="15" hidden="1" outlineLevel="1">
      <c r="A22" t="s">
        <v>45</v>
      </c>
      <c r="B22" s="6"/>
      <c r="C22" s="1">
        <f>C20*C21*365/1000</f>
        <v>14045109.48</v>
      </c>
      <c r="D22" s="1">
        <f aca="true" t="shared" si="6" ref="D22:W22">D20*D21*365/1000</f>
        <v>14466470.385599999</v>
      </c>
      <c r="E22" s="1">
        <f t="shared" si="6"/>
        <v>14900467.2408</v>
      </c>
      <c r="F22" s="1">
        <f t="shared" si="6"/>
        <v>15347481.105599998</v>
      </c>
      <c r="G22" s="1">
        <f t="shared" si="6"/>
        <v>22621661.852399997</v>
      </c>
      <c r="H22" s="1">
        <f t="shared" si="6"/>
        <v>25403811.357049994</v>
      </c>
      <c r="I22" s="1">
        <f t="shared" si="6"/>
        <v>28332520.195</v>
      </c>
      <c r="J22" s="1">
        <f t="shared" si="6"/>
        <v>29182500.950999998</v>
      </c>
      <c r="K22" s="1">
        <f t="shared" si="6"/>
        <v>30057974.9495</v>
      </c>
      <c r="L22" s="1">
        <f t="shared" si="6"/>
        <v>31332723.324000005</v>
      </c>
      <c r="M22" s="1">
        <f t="shared" si="6"/>
        <v>32272717.533</v>
      </c>
      <c r="N22" s="1">
        <f t="shared" si="6"/>
        <v>33240909.743999995</v>
      </c>
      <c r="O22" s="1">
        <f t="shared" si="6"/>
        <v>34238133.908999994</v>
      </c>
      <c r="P22" s="1">
        <f t="shared" si="6"/>
        <v>35265276.102</v>
      </c>
      <c r="Q22" s="1">
        <f t="shared" si="6"/>
        <v>37188061.0255</v>
      </c>
      <c r="R22" s="1">
        <f t="shared" si="6"/>
        <v>38303694.585</v>
      </c>
      <c r="S22" s="1">
        <f t="shared" si="6"/>
        <v>39452813.427</v>
      </c>
      <c r="T22" s="1">
        <f t="shared" si="6"/>
        <v>40636404.767</v>
      </c>
      <c r="U22" s="1">
        <f t="shared" si="6"/>
        <v>41855509.1835</v>
      </c>
      <c r="V22" s="1">
        <f t="shared" si="6"/>
        <v>43612459.8975</v>
      </c>
      <c r="W22" s="1">
        <f t="shared" si="6"/>
        <v>45437162.386</v>
      </c>
    </row>
    <row r="23" spans="1:23" ht="15" hidden="1" outlineLevel="1">
      <c r="A23" t="s">
        <v>65</v>
      </c>
      <c r="B23" s="6"/>
      <c r="C23" s="3">
        <f>C22/365</f>
        <v>38479.752</v>
      </c>
      <c r="D23" s="3">
        <f aca="true" t="shared" si="7" ref="D23:W23">D22/365</f>
        <v>39634.16544</v>
      </c>
      <c r="E23" s="3">
        <f t="shared" si="7"/>
        <v>40823.19792</v>
      </c>
      <c r="F23" s="3">
        <f t="shared" si="7"/>
        <v>42047.89343999999</v>
      </c>
      <c r="G23" s="3">
        <f t="shared" si="7"/>
        <v>61977.155759999994</v>
      </c>
      <c r="H23" s="3">
        <f t="shared" si="7"/>
        <v>69599.48316999998</v>
      </c>
      <c r="I23" s="3">
        <f t="shared" si="7"/>
        <v>77623.34300000001</v>
      </c>
      <c r="J23" s="3">
        <f t="shared" si="7"/>
        <v>79952.05739999999</v>
      </c>
      <c r="K23" s="3">
        <f t="shared" si="7"/>
        <v>82350.6163</v>
      </c>
      <c r="L23" s="3">
        <f t="shared" si="7"/>
        <v>85843.07760000002</v>
      </c>
      <c r="M23" s="3">
        <f t="shared" si="7"/>
        <v>88418.4042</v>
      </c>
      <c r="N23" s="3">
        <f t="shared" si="7"/>
        <v>91070.98559999999</v>
      </c>
      <c r="O23" s="3">
        <f t="shared" si="7"/>
        <v>93803.10659999998</v>
      </c>
      <c r="P23" s="3">
        <f t="shared" si="7"/>
        <v>96617.1948</v>
      </c>
      <c r="Q23" s="3">
        <f t="shared" si="7"/>
        <v>101885.0987</v>
      </c>
      <c r="R23" s="3">
        <f t="shared" si="7"/>
        <v>104941.629</v>
      </c>
      <c r="S23" s="3">
        <f t="shared" si="7"/>
        <v>108089.8998</v>
      </c>
      <c r="T23" s="3">
        <f t="shared" si="7"/>
        <v>111332.6158</v>
      </c>
      <c r="U23" s="3">
        <f t="shared" si="7"/>
        <v>114672.62789999999</v>
      </c>
      <c r="V23" s="3">
        <f t="shared" si="7"/>
        <v>119486.1915</v>
      </c>
      <c r="W23" s="3">
        <f t="shared" si="7"/>
        <v>124485.3764</v>
      </c>
    </row>
    <row r="24" spans="2:23" ht="15" hidden="1" outlineLevel="1">
      <c r="B24" s="6"/>
      <c r="C24" s="3"/>
      <c r="D24" s="3"/>
      <c r="E24" s="3"/>
      <c r="F24" s="3"/>
      <c r="G24" s="3"/>
      <c r="H24" s="3"/>
      <c r="I24" s="3"/>
      <c r="J24" s="3"/>
      <c r="K24" s="3"/>
      <c r="L24" s="3"/>
      <c r="M24" s="3"/>
      <c r="N24" s="3"/>
      <c r="O24" s="3"/>
      <c r="P24" s="3"/>
      <c r="Q24" s="3"/>
      <c r="R24" s="3"/>
      <c r="S24" s="3"/>
      <c r="T24" s="3"/>
      <c r="U24" s="3"/>
      <c r="V24" s="3"/>
      <c r="W24" s="3"/>
    </row>
    <row r="25" spans="1:23" ht="15" hidden="1" outlineLevel="1">
      <c r="A25" t="s">
        <v>47</v>
      </c>
      <c r="B25" s="6"/>
      <c r="C25" s="3">
        <f aca="true" t="shared" si="8" ref="C25:W25">C17-C20</f>
        <v>258006</v>
      </c>
      <c r="D25" s="3">
        <f t="shared" si="8"/>
        <v>265746.32000000007</v>
      </c>
      <c r="E25" s="3">
        <f t="shared" si="8"/>
        <v>273718.76</v>
      </c>
      <c r="F25" s="3">
        <f t="shared" si="8"/>
        <v>281930.32000000007</v>
      </c>
      <c r="G25" s="3">
        <f t="shared" si="8"/>
        <v>290388.28</v>
      </c>
      <c r="H25" s="3">
        <f t="shared" si="8"/>
        <v>229666.01000000013</v>
      </c>
      <c r="I25" s="3">
        <f t="shared" si="8"/>
        <v>165039</v>
      </c>
      <c r="J25" s="3">
        <f t="shared" si="8"/>
        <v>169990.20000000007</v>
      </c>
      <c r="K25" s="3">
        <f t="shared" si="8"/>
        <v>175089.90000000002</v>
      </c>
      <c r="L25" s="3">
        <f t="shared" si="8"/>
        <v>180342.59999999998</v>
      </c>
      <c r="M25" s="3">
        <f t="shared" si="8"/>
        <v>185752.94999999995</v>
      </c>
      <c r="N25" s="3">
        <f t="shared" si="8"/>
        <v>191325.6000000001</v>
      </c>
      <c r="O25" s="3">
        <f t="shared" si="8"/>
        <v>197065.3500000001</v>
      </c>
      <c r="P25" s="3">
        <f t="shared" si="8"/>
        <v>202977.30000000005</v>
      </c>
      <c r="Q25" s="3">
        <f t="shared" si="8"/>
        <v>209066.55000000005</v>
      </c>
      <c r="R25" s="3">
        <f t="shared" si="8"/>
        <v>215338.5</v>
      </c>
      <c r="S25" s="3">
        <f t="shared" si="8"/>
        <v>221798.69999999995</v>
      </c>
      <c r="T25" s="3">
        <f t="shared" si="8"/>
        <v>228452.69999999995</v>
      </c>
      <c r="U25" s="3">
        <f t="shared" si="8"/>
        <v>235306.3500000001</v>
      </c>
      <c r="V25" s="3">
        <f t="shared" si="8"/>
        <v>242365.5</v>
      </c>
      <c r="W25" s="3">
        <f t="shared" si="8"/>
        <v>249636.44999999995</v>
      </c>
    </row>
    <row r="26" spans="1:23" ht="15" hidden="1" outlineLevel="1">
      <c r="A26" t="s">
        <v>48</v>
      </c>
      <c r="B26" s="6"/>
      <c r="C26" s="1">
        <f aca="true" t="shared" si="9" ref="C26:W26">C25*C21*365/1000/2</f>
        <v>2730993.51</v>
      </c>
      <c r="D26" s="1">
        <f t="shared" si="9"/>
        <v>2812924.797200001</v>
      </c>
      <c r="E26" s="1">
        <f t="shared" si="9"/>
        <v>2897313.0746</v>
      </c>
      <c r="F26" s="1">
        <f t="shared" si="9"/>
        <v>2984232.437200001</v>
      </c>
      <c r="G26" s="1">
        <f t="shared" si="9"/>
        <v>4398656.4713</v>
      </c>
      <c r="H26" s="1">
        <f t="shared" si="9"/>
        <v>3478865.886475002</v>
      </c>
      <c r="I26" s="1">
        <f t="shared" si="9"/>
        <v>2499928.2525</v>
      </c>
      <c r="J26" s="1">
        <f t="shared" si="9"/>
        <v>2574926.554500001</v>
      </c>
      <c r="K26" s="1">
        <f t="shared" si="9"/>
        <v>2652174.26025</v>
      </c>
      <c r="L26" s="1">
        <f t="shared" si="9"/>
        <v>2764652.0579999997</v>
      </c>
      <c r="M26" s="1">
        <f t="shared" si="9"/>
        <v>2847592.7234999994</v>
      </c>
      <c r="N26" s="1">
        <f t="shared" si="9"/>
        <v>2933021.4480000013</v>
      </c>
      <c r="O26" s="1">
        <f t="shared" si="9"/>
        <v>3021011.8155000014</v>
      </c>
      <c r="P26" s="1">
        <f t="shared" si="9"/>
        <v>3111642.0090000005</v>
      </c>
      <c r="Q26" s="1">
        <f t="shared" si="9"/>
        <v>3281299.502250001</v>
      </c>
      <c r="R26" s="1">
        <f t="shared" si="9"/>
        <v>3379737.7575</v>
      </c>
      <c r="S26" s="1">
        <f t="shared" si="9"/>
        <v>3481130.596499999</v>
      </c>
      <c r="T26" s="1">
        <f t="shared" si="9"/>
        <v>3585565.126499999</v>
      </c>
      <c r="U26" s="1">
        <f t="shared" si="9"/>
        <v>3693133.1632500016</v>
      </c>
      <c r="V26" s="1">
        <f t="shared" si="9"/>
        <v>3848158.22625</v>
      </c>
      <c r="W26" s="1">
        <f t="shared" si="9"/>
        <v>4009161.386999999</v>
      </c>
    </row>
    <row r="27" spans="2:23" ht="15" hidden="1" outlineLevel="1">
      <c r="B27" s="6"/>
      <c r="C27" s="3"/>
      <c r="D27" s="12"/>
      <c r="E27" s="12"/>
      <c r="F27" s="12"/>
      <c r="G27" s="12"/>
      <c r="H27" s="12"/>
      <c r="I27" s="12"/>
      <c r="J27" s="12"/>
      <c r="K27" s="12"/>
      <c r="L27" s="12"/>
      <c r="M27" s="12"/>
      <c r="N27" s="12"/>
      <c r="O27" s="12"/>
      <c r="P27" s="12"/>
      <c r="Q27" s="12"/>
      <c r="R27" s="12"/>
      <c r="S27" s="12"/>
      <c r="T27" s="12"/>
      <c r="U27" s="12"/>
      <c r="V27" s="12"/>
      <c r="W27" s="12"/>
    </row>
    <row r="28" spans="1:23" ht="15" hidden="1" outlineLevel="1">
      <c r="A28" t="s">
        <v>41</v>
      </c>
      <c r="B28" s="6"/>
      <c r="C28">
        <v>299000</v>
      </c>
      <c r="D28" s="12">
        <f aca="true" t="shared" si="10" ref="D28:W28">ROUND(C28*(1+PopGrowth),0)</f>
        <v>307970</v>
      </c>
      <c r="E28" s="12">
        <f t="shared" si="10"/>
        <v>317209</v>
      </c>
      <c r="F28" s="12">
        <f t="shared" si="10"/>
        <v>326725</v>
      </c>
      <c r="G28" s="12">
        <f t="shared" si="10"/>
        <v>336527</v>
      </c>
      <c r="H28" s="12">
        <f t="shared" si="10"/>
        <v>346623</v>
      </c>
      <c r="I28" s="12">
        <f t="shared" si="10"/>
        <v>357022</v>
      </c>
      <c r="J28" s="12">
        <f t="shared" si="10"/>
        <v>367733</v>
      </c>
      <c r="K28" s="12">
        <f t="shared" si="10"/>
        <v>378765</v>
      </c>
      <c r="L28" s="12">
        <f t="shared" si="10"/>
        <v>390128</v>
      </c>
      <c r="M28" s="12">
        <f t="shared" si="10"/>
        <v>401832</v>
      </c>
      <c r="N28" s="12">
        <f t="shared" si="10"/>
        <v>413887</v>
      </c>
      <c r="O28" s="12">
        <f t="shared" si="10"/>
        <v>426304</v>
      </c>
      <c r="P28" s="12">
        <f t="shared" si="10"/>
        <v>439093</v>
      </c>
      <c r="Q28" s="12">
        <f t="shared" si="10"/>
        <v>452266</v>
      </c>
      <c r="R28" s="12">
        <f t="shared" si="10"/>
        <v>465834</v>
      </c>
      <c r="S28" s="12">
        <f t="shared" si="10"/>
        <v>479809</v>
      </c>
      <c r="T28" s="12">
        <f t="shared" si="10"/>
        <v>494203</v>
      </c>
      <c r="U28" s="12">
        <f t="shared" si="10"/>
        <v>509029</v>
      </c>
      <c r="V28" s="12">
        <f t="shared" si="10"/>
        <v>524300</v>
      </c>
      <c r="W28" s="12">
        <f t="shared" si="10"/>
        <v>540029</v>
      </c>
    </row>
    <row r="29" spans="1:23" ht="15" hidden="1" outlineLevel="1">
      <c r="A29" t="s">
        <v>42</v>
      </c>
      <c r="B29" s="6"/>
      <c r="C29" s="1">
        <f>C28*Data!$B9*365/1000</f>
        <v>11240905</v>
      </c>
      <c r="D29" s="1">
        <f>D28*Data!$B9*365/1000</f>
        <v>11578132.15</v>
      </c>
      <c r="E29" s="1">
        <f>E28*Data!$B9*365/1000</f>
        <v>11925472.355</v>
      </c>
      <c r="F29" s="1">
        <f>F28*Data!$B9*365/1000</f>
        <v>12283226.375</v>
      </c>
      <c r="G29" s="1">
        <f>G28*G13*365/1000</f>
        <v>12774564.92</v>
      </c>
      <c r="H29" s="1">
        <f>H28*H13*365/1000</f>
        <v>13157809.08</v>
      </c>
      <c r="I29" s="1">
        <f aca="true" t="shared" si="11" ref="I29:W29">I28*I13*365/1000</f>
        <v>13552555.12</v>
      </c>
      <c r="J29" s="1">
        <f t="shared" si="11"/>
        <v>13959144.68</v>
      </c>
      <c r="K29" s="1">
        <f t="shared" si="11"/>
        <v>14377919.4</v>
      </c>
      <c r="L29" s="1">
        <f t="shared" si="11"/>
        <v>14809258.88</v>
      </c>
      <c r="M29" s="1">
        <f t="shared" si="11"/>
        <v>15253542.72</v>
      </c>
      <c r="N29" s="1">
        <f t="shared" si="11"/>
        <v>15711150.52</v>
      </c>
      <c r="O29" s="1">
        <f t="shared" si="11"/>
        <v>16182499.84</v>
      </c>
      <c r="P29" s="1">
        <f t="shared" si="11"/>
        <v>16667970.28</v>
      </c>
      <c r="Q29" s="1">
        <f t="shared" si="11"/>
        <v>17168017.36</v>
      </c>
      <c r="R29" s="1">
        <f t="shared" si="11"/>
        <v>17683058.64</v>
      </c>
      <c r="S29" s="1">
        <f t="shared" si="11"/>
        <v>18213549.64</v>
      </c>
      <c r="T29" s="1">
        <f t="shared" si="11"/>
        <v>18759945.88</v>
      </c>
      <c r="U29" s="1">
        <f t="shared" si="11"/>
        <v>19322740.84</v>
      </c>
      <c r="V29" s="1">
        <f t="shared" si="11"/>
        <v>19902428</v>
      </c>
      <c r="W29" s="1">
        <f t="shared" si="11"/>
        <v>20696611.425</v>
      </c>
    </row>
    <row r="30" spans="1:23" ht="15" hidden="1" outlineLevel="1">
      <c r="A30" t="s">
        <v>66</v>
      </c>
      <c r="B30" s="6"/>
      <c r="C30" s="3">
        <f>C29/365</f>
        <v>30797</v>
      </c>
      <c r="D30" s="3">
        <f aca="true" t="shared" si="12" ref="D30:W30">D29/365</f>
        <v>31720.91</v>
      </c>
      <c r="E30" s="3">
        <f t="shared" si="12"/>
        <v>32672.527000000002</v>
      </c>
      <c r="F30" s="3">
        <f t="shared" si="12"/>
        <v>33652.675</v>
      </c>
      <c r="G30" s="3">
        <f t="shared" si="12"/>
        <v>34998.808</v>
      </c>
      <c r="H30" s="3">
        <f t="shared" si="12"/>
        <v>36048.792</v>
      </c>
      <c r="I30" s="3">
        <f t="shared" si="12"/>
        <v>37130.288</v>
      </c>
      <c r="J30" s="3">
        <f t="shared" si="12"/>
        <v>38244.231999999996</v>
      </c>
      <c r="K30" s="3">
        <f t="shared" si="12"/>
        <v>39391.56</v>
      </c>
      <c r="L30" s="3">
        <f t="shared" si="12"/>
        <v>40573.312000000005</v>
      </c>
      <c r="M30" s="3">
        <f t="shared" si="12"/>
        <v>41790.528</v>
      </c>
      <c r="N30" s="3">
        <f t="shared" si="12"/>
        <v>43044.248</v>
      </c>
      <c r="O30" s="3">
        <f t="shared" si="12"/>
        <v>44335.616</v>
      </c>
      <c r="P30" s="3">
        <f t="shared" si="12"/>
        <v>45665.672</v>
      </c>
      <c r="Q30" s="3">
        <f t="shared" si="12"/>
        <v>47035.664</v>
      </c>
      <c r="R30" s="3">
        <f t="shared" si="12"/>
        <v>48446.736000000004</v>
      </c>
      <c r="S30" s="3">
        <f t="shared" si="12"/>
        <v>49900.136</v>
      </c>
      <c r="T30" s="3">
        <f t="shared" si="12"/>
        <v>51397.111999999994</v>
      </c>
      <c r="U30" s="3">
        <f t="shared" si="12"/>
        <v>52939.015999999996</v>
      </c>
      <c r="V30" s="3">
        <f t="shared" si="12"/>
        <v>54527.2</v>
      </c>
      <c r="W30" s="3">
        <f t="shared" si="12"/>
        <v>56703.045000000006</v>
      </c>
    </row>
    <row r="31" spans="1:23" ht="15" hidden="1" outlineLevel="1">
      <c r="A31" t="s">
        <v>194</v>
      </c>
      <c r="B31" s="6"/>
      <c r="C31" s="1">
        <f>C14+C29</f>
        <v>64682197.5</v>
      </c>
      <c r="D31" s="1">
        <f aca="true" t="shared" si="13" ref="D31:W31">D14+D29</f>
        <v>66622663.425</v>
      </c>
      <c r="E31" s="1">
        <f t="shared" si="13"/>
        <v>68621343.32775001</v>
      </c>
      <c r="F31" s="1">
        <f t="shared" si="13"/>
        <v>70679985.37575</v>
      </c>
      <c r="G31" s="1">
        <f t="shared" si="13"/>
        <v>73507172.4348</v>
      </c>
      <c r="H31" s="1">
        <f t="shared" si="13"/>
        <v>75712397.13960001</v>
      </c>
      <c r="I31" s="1">
        <f t="shared" si="13"/>
        <v>77983779.29160002</v>
      </c>
      <c r="J31" s="1">
        <f t="shared" si="13"/>
        <v>80323295.8476</v>
      </c>
      <c r="K31" s="1">
        <f t="shared" si="13"/>
        <v>82732994.37</v>
      </c>
      <c r="L31" s="1">
        <f t="shared" si="13"/>
        <v>85214993.02679999</v>
      </c>
      <c r="M31" s="1">
        <f t="shared" si="13"/>
        <v>87771445.28880002</v>
      </c>
      <c r="N31" s="1">
        <f t="shared" si="13"/>
        <v>90404575.2324</v>
      </c>
      <c r="O31" s="1">
        <f t="shared" si="13"/>
        <v>93116712.8424</v>
      </c>
      <c r="P31" s="1">
        <f t="shared" si="13"/>
        <v>95910223.40640002</v>
      </c>
      <c r="Q31" s="1">
        <f t="shared" si="13"/>
        <v>98787542.8176</v>
      </c>
      <c r="R31" s="1">
        <f t="shared" si="13"/>
        <v>101751177.57480001</v>
      </c>
      <c r="S31" s="1">
        <f t="shared" si="13"/>
        <v>104803704.7824</v>
      </c>
      <c r="T31" s="1">
        <f t="shared" si="13"/>
        <v>107947807.4532</v>
      </c>
      <c r="U31" s="1">
        <f t="shared" si="13"/>
        <v>111186239.20560001</v>
      </c>
      <c r="V31" s="1">
        <f t="shared" si="13"/>
        <v>114521824.2636</v>
      </c>
      <c r="W31" s="1">
        <f t="shared" si="13"/>
        <v>119091699.42075</v>
      </c>
    </row>
    <row r="32" spans="2:23" ht="15" hidden="1" outlineLevel="1">
      <c r="B32" s="6"/>
      <c r="C32" s="1"/>
      <c r="D32" s="2"/>
      <c r="E32" s="1"/>
      <c r="F32" s="1"/>
      <c r="G32" s="1"/>
      <c r="H32" s="1"/>
      <c r="I32" s="1"/>
      <c r="J32" s="1"/>
      <c r="K32" s="1"/>
      <c r="L32" s="1"/>
      <c r="M32" s="1"/>
      <c r="N32" s="1"/>
      <c r="O32" s="1"/>
      <c r="P32" s="1"/>
      <c r="Q32" s="1"/>
      <c r="R32" s="1"/>
      <c r="S32" s="1"/>
      <c r="T32" s="1"/>
      <c r="U32" s="1"/>
      <c r="V32" s="1"/>
      <c r="W32" s="1"/>
    </row>
    <row r="33" spans="1:23" ht="15" hidden="1" outlineLevel="1">
      <c r="A33" t="s">
        <v>99</v>
      </c>
      <c r="B33" s="1"/>
      <c r="C33" s="1">
        <v>27000000</v>
      </c>
      <c r="D33" s="1">
        <f aca="true" t="shared" si="14" ref="D33:W33">D22+D26+D29</f>
        <v>28857527.3328</v>
      </c>
      <c r="E33" s="1">
        <f t="shared" si="14"/>
        <v>29723252.6704</v>
      </c>
      <c r="F33" s="1">
        <f>F22+F26+F29</f>
        <v>30614939.917799998</v>
      </c>
      <c r="G33" s="1">
        <f>G22+G26+G29</f>
        <v>39794883.2437</v>
      </c>
      <c r="H33" s="1">
        <f>H22+H26+H29</f>
        <v>42040486.323525</v>
      </c>
      <c r="I33" s="1">
        <f t="shared" si="14"/>
        <v>44385003.5675</v>
      </c>
      <c r="J33" s="1">
        <f t="shared" si="14"/>
        <v>45716572.185499996</v>
      </c>
      <c r="K33" s="1">
        <f t="shared" si="14"/>
        <v>47088068.609749995</v>
      </c>
      <c r="L33" s="1">
        <f t="shared" si="14"/>
        <v>48906634.26200001</v>
      </c>
      <c r="M33" s="1">
        <f t="shared" si="14"/>
        <v>50373852.9765</v>
      </c>
      <c r="N33" s="1">
        <f t="shared" si="14"/>
        <v>51885081.712</v>
      </c>
      <c r="O33" s="1">
        <f t="shared" si="14"/>
        <v>53441645.56449999</v>
      </c>
      <c r="P33" s="1">
        <f t="shared" si="14"/>
        <v>55044888.391</v>
      </c>
      <c r="Q33" s="1">
        <f t="shared" si="14"/>
        <v>57637377.88775</v>
      </c>
      <c r="R33" s="1">
        <f t="shared" si="14"/>
        <v>59366490.9825</v>
      </c>
      <c r="S33" s="1">
        <f t="shared" si="14"/>
        <v>61147493.6635</v>
      </c>
      <c r="T33" s="1">
        <f t="shared" si="14"/>
        <v>62981915.773499995</v>
      </c>
      <c r="U33" s="1">
        <f t="shared" si="14"/>
        <v>64871383.186749995</v>
      </c>
      <c r="V33" s="1">
        <f t="shared" si="14"/>
        <v>67363046.12375</v>
      </c>
      <c r="W33" s="1">
        <f t="shared" si="14"/>
        <v>70142935.198</v>
      </c>
    </row>
    <row r="34" spans="1:23" ht="15" hidden="1" outlineLevel="1">
      <c r="A34" t="s">
        <v>100</v>
      </c>
      <c r="B34" s="6"/>
      <c r="C34" s="3">
        <f>C33/365</f>
        <v>73972.60273972603</v>
      </c>
      <c r="D34" s="3">
        <f>D33/365</f>
        <v>79061.71872</v>
      </c>
      <c r="E34" s="3">
        <f>E33/365</f>
        <v>81433.56896</v>
      </c>
      <c r="F34" s="3">
        <f>F33/365</f>
        <v>83876.54771999999</v>
      </c>
      <c r="G34" s="3">
        <f>G33/365</f>
        <v>109027.07737999999</v>
      </c>
      <c r="H34" s="3">
        <f>H33/365</f>
        <v>115179.41458499999</v>
      </c>
      <c r="I34" s="3">
        <f>I33/365</f>
        <v>121602.7495</v>
      </c>
      <c r="J34" s="3">
        <f>J33/365</f>
        <v>125250.88269999999</v>
      </c>
      <c r="K34" s="3">
        <f>K33/365</f>
        <v>129008.40714999998</v>
      </c>
      <c r="L34" s="3">
        <f>L33/365</f>
        <v>133990.77880000003</v>
      </c>
      <c r="M34" s="3">
        <f>M33/365</f>
        <v>138010.5561</v>
      </c>
      <c r="N34" s="3">
        <f>N33/365</f>
        <v>142150.9088</v>
      </c>
      <c r="O34" s="3">
        <f>O33/365</f>
        <v>146415.46729999996</v>
      </c>
      <c r="P34" s="3">
        <f>P33/365</f>
        <v>150807.91340000002</v>
      </c>
      <c r="Q34" s="3">
        <f>Q33/365</f>
        <v>157910.62435</v>
      </c>
      <c r="R34" s="3">
        <f>R33/365</f>
        <v>162647.9205</v>
      </c>
      <c r="S34" s="3">
        <f>S33/365</f>
        <v>167527.3799</v>
      </c>
      <c r="T34" s="3">
        <f>T33/365</f>
        <v>172553.19389999998</v>
      </c>
      <c r="U34" s="3">
        <f>U33/365</f>
        <v>177729.81694999998</v>
      </c>
      <c r="V34" s="3">
        <f>V33/365</f>
        <v>184556.29075000001</v>
      </c>
      <c r="W34" s="3">
        <f>W33/365</f>
        <v>192172.4252</v>
      </c>
    </row>
    <row r="35" spans="2:23" ht="15" hidden="1" outlineLevel="1">
      <c r="B35" s="6"/>
      <c r="C35" s="1"/>
      <c r="D35" s="1"/>
      <c r="E35" s="1"/>
      <c r="F35" s="1"/>
      <c r="G35" s="1"/>
      <c r="H35" s="1">
        <f>H36*0.6716</f>
        <v>20836390</v>
      </c>
      <c r="I35" s="3"/>
      <c r="J35" s="3"/>
      <c r="K35" s="3"/>
      <c r="L35" s="3"/>
      <c r="M35" s="3"/>
      <c r="N35" s="3"/>
      <c r="O35" s="3"/>
      <c r="P35" s="3"/>
      <c r="Q35" s="3"/>
      <c r="R35" s="3"/>
      <c r="S35" s="3"/>
      <c r="T35" s="3"/>
      <c r="U35" s="3"/>
      <c r="V35" s="3"/>
      <c r="W35" s="3"/>
    </row>
    <row r="36" spans="1:23" ht="15" hidden="1" outlineLevel="1">
      <c r="A36" t="s">
        <v>49</v>
      </c>
      <c r="B36" s="6"/>
      <c r="C36" s="1">
        <f>IF(C33&gt;85000*365,85000*365,C33)</f>
        <v>27000000</v>
      </c>
      <c r="D36" s="1">
        <f aca="true" t="shared" si="15" ref="D36:W36">IF(D33&gt;85000*365,85000*365,D33)</f>
        <v>28857527.3328</v>
      </c>
      <c r="E36" s="1">
        <f t="shared" si="15"/>
        <v>29723252.6704</v>
      </c>
      <c r="F36" s="1">
        <f t="shared" si="15"/>
        <v>30614939.917799998</v>
      </c>
      <c r="G36" s="1">
        <f t="shared" si="15"/>
        <v>31025000</v>
      </c>
      <c r="H36" s="1">
        <f t="shared" si="15"/>
        <v>31025000</v>
      </c>
      <c r="I36" s="1">
        <f t="shared" si="15"/>
        <v>31025000</v>
      </c>
      <c r="J36" s="1">
        <f t="shared" si="15"/>
        <v>31025000</v>
      </c>
      <c r="K36" s="1">
        <f t="shared" si="15"/>
        <v>31025000</v>
      </c>
      <c r="L36" s="1">
        <f t="shared" si="15"/>
        <v>31025000</v>
      </c>
      <c r="M36" s="1">
        <f t="shared" si="15"/>
        <v>31025000</v>
      </c>
      <c r="N36" s="1">
        <f t="shared" si="15"/>
        <v>31025000</v>
      </c>
      <c r="O36" s="1">
        <f t="shared" si="15"/>
        <v>31025000</v>
      </c>
      <c r="P36" s="1">
        <f t="shared" si="15"/>
        <v>31025000</v>
      </c>
      <c r="Q36" s="1">
        <f t="shared" si="15"/>
        <v>31025000</v>
      </c>
      <c r="R36" s="1">
        <f t="shared" si="15"/>
        <v>31025000</v>
      </c>
      <c r="S36" s="1">
        <f t="shared" si="15"/>
        <v>31025000</v>
      </c>
      <c r="T36" s="1">
        <f t="shared" si="15"/>
        <v>31025000</v>
      </c>
      <c r="U36" s="1">
        <f t="shared" si="15"/>
        <v>31025000</v>
      </c>
      <c r="V36" s="1">
        <f t="shared" si="15"/>
        <v>31025000</v>
      </c>
      <c r="W36" s="1">
        <f t="shared" si="15"/>
        <v>31025000</v>
      </c>
    </row>
    <row r="37" spans="1:23" ht="17.25" hidden="1" outlineLevel="1">
      <c r="A37" t="s">
        <v>68</v>
      </c>
      <c r="B37" s="6"/>
      <c r="C37" s="3">
        <f>C36/365</f>
        <v>73972.60273972603</v>
      </c>
      <c r="D37" s="3">
        <f>D36/365</f>
        <v>79061.71872</v>
      </c>
      <c r="E37" s="3">
        <f>E36/365</f>
        <v>81433.56896</v>
      </c>
      <c r="F37" s="3">
        <f>F36/365</f>
        <v>83876.54771999999</v>
      </c>
      <c r="G37" s="3">
        <f>G36/365</f>
        <v>85000</v>
      </c>
      <c r="H37" s="3">
        <f>H36/365</f>
        <v>85000</v>
      </c>
      <c r="I37" s="3">
        <f>I36/365</f>
        <v>85000</v>
      </c>
      <c r="J37" s="3">
        <f>J36/365</f>
        <v>85000</v>
      </c>
      <c r="K37" s="3">
        <f>K36/365</f>
        <v>85000</v>
      </c>
      <c r="L37" s="3">
        <f>L36/365</f>
        <v>85000</v>
      </c>
      <c r="M37" s="3">
        <f>M36/365</f>
        <v>85000</v>
      </c>
      <c r="N37" s="3">
        <f>N36/365</f>
        <v>85000</v>
      </c>
      <c r="O37" s="3">
        <f>O36/365</f>
        <v>85000</v>
      </c>
      <c r="P37" s="3">
        <f>P36/365</f>
        <v>85000</v>
      </c>
      <c r="Q37" s="3">
        <f>Q36/365</f>
        <v>85000</v>
      </c>
      <c r="R37" s="3">
        <f>R36/365</f>
        <v>85000</v>
      </c>
      <c r="S37" s="3">
        <f>S36/365</f>
        <v>85000</v>
      </c>
      <c r="T37" s="3">
        <f>T36/365</f>
        <v>85000</v>
      </c>
      <c r="U37" s="3">
        <f>U36/365</f>
        <v>85000</v>
      </c>
      <c r="V37" s="3">
        <f>V36/365</f>
        <v>85000</v>
      </c>
      <c r="W37" s="3">
        <f>W36/365</f>
        <v>85000</v>
      </c>
    </row>
    <row r="38" spans="1:23" ht="15" hidden="1" outlineLevel="1">
      <c r="A38" t="s">
        <v>151</v>
      </c>
      <c r="B38" s="6"/>
      <c r="C38" s="1">
        <f>C33-C36</f>
        <v>0</v>
      </c>
      <c r="D38" s="1">
        <f>D33-D36</f>
        <v>0</v>
      </c>
      <c r="E38" s="1">
        <f aca="true" t="shared" si="16" ref="E38:W38">E33-E36</f>
        <v>0</v>
      </c>
      <c r="F38" s="1">
        <f t="shared" si="16"/>
        <v>0</v>
      </c>
      <c r="G38" s="1">
        <f t="shared" si="16"/>
        <v>8769883.243699998</v>
      </c>
      <c r="H38" s="1">
        <f t="shared" si="16"/>
        <v>11015486.323524997</v>
      </c>
      <c r="I38" s="1">
        <f t="shared" si="16"/>
        <v>13360003.567500003</v>
      </c>
      <c r="J38" s="1">
        <f t="shared" si="16"/>
        <v>14691572.185499996</v>
      </c>
      <c r="K38" s="1">
        <f t="shared" si="16"/>
        <v>16063068.609749995</v>
      </c>
      <c r="L38" s="1">
        <f t="shared" si="16"/>
        <v>17881634.26200001</v>
      </c>
      <c r="M38" s="1">
        <f t="shared" si="16"/>
        <v>19348852.976499997</v>
      </c>
      <c r="N38" s="1">
        <f t="shared" si="16"/>
        <v>20860081.711999997</v>
      </c>
      <c r="O38" s="1">
        <f t="shared" si="16"/>
        <v>22416645.56449999</v>
      </c>
      <c r="P38" s="1">
        <f t="shared" si="16"/>
        <v>24019888.391000003</v>
      </c>
      <c r="Q38" s="1">
        <f t="shared" si="16"/>
        <v>26612377.88775</v>
      </c>
      <c r="R38" s="1">
        <f t="shared" si="16"/>
        <v>28341490.9825</v>
      </c>
      <c r="S38" s="1">
        <f t="shared" si="16"/>
        <v>30122493.663500004</v>
      </c>
      <c r="T38" s="1">
        <f t="shared" si="16"/>
        <v>31956915.773499995</v>
      </c>
      <c r="U38" s="1">
        <f t="shared" si="16"/>
        <v>33846383.186749995</v>
      </c>
      <c r="V38" s="1">
        <f t="shared" si="16"/>
        <v>36338046.12375</v>
      </c>
      <c r="W38" s="1">
        <f t="shared" si="16"/>
        <v>39117935.198</v>
      </c>
    </row>
    <row r="39" spans="1:23" ht="15" hidden="1" outlineLevel="1">
      <c r="A39" t="s">
        <v>62</v>
      </c>
      <c r="B39" s="6"/>
      <c r="C39" s="3"/>
      <c r="D39" s="3"/>
      <c r="E39" s="3"/>
      <c r="F39" s="3"/>
      <c r="G39" s="3"/>
      <c r="H39" s="1">
        <f>H14+H35</f>
        <v>83390978.0596</v>
      </c>
      <c r="I39" s="3">
        <f>H39/365</f>
        <v>228468.43303999997</v>
      </c>
      <c r="J39" s="3"/>
      <c r="K39" s="3"/>
      <c r="L39" s="3"/>
      <c r="M39" s="3"/>
      <c r="N39" s="3"/>
      <c r="O39" s="3"/>
      <c r="P39" s="3"/>
      <c r="Q39" s="3"/>
      <c r="R39" s="3"/>
      <c r="S39" s="3"/>
      <c r="T39" s="3"/>
      <c r="U39" s="3"/>
      <c r="V39" s="3"/>
      <c r="W39" s="3"/>
    </row>
    <row r="40" spans="1:23" ht="15" hidden="1" outlineLevel="1">
      <c r="A40" t="s">
        <v>38</v>
      </c>
      <c r="B40" s="6"/>
      <c r="C40" s="1">
        <f>C36+C14</f>
        <v>80441292.5</v>
      </c>
      <c r="D40" s="1">
        <f aca="true" t="shared" si="17" ref="D40:W40">D36+D14</f>
        <v>83902058.6078</v>
      </c>
      <c r="E40" s="1">
        <f t="shared" si="17"/>
        <v>86419123.64315002</v>
      </c>
      <c r="F40" s="1">
        <f t="shared" si="17"/>
        <v>89011698.91855</v>
      </c>
      <c r="G40" s="1">
        <f t="shared" si="17"/>
        <v>91757607.51480001</v>
      </c>
      <c r="H40" s="1">
        <f>H36+H14</f>
        <v>93579588.0596</v>
      </c>
      <c r="I40" s="1">
        <f t="shared" si="17"/>
        <v>95456224.17160001</v>
      </c>
      <c r="J40" s="1">
        <f t="shared" si="17"/>
        <v>97389151.1676</v>
      </c>
      <c r="K40" s="1">
        <f t="shared" si="17"/>
        <v>99380074.97</v>
      </c>
      <c r="L40" s="1">
        <f t="shared" si="17"/>
        <v>101430734.1468</v>
      </c>
      <c r="M40" s="1">
        <f t="shared" si="17"/>
        <v>103542902.56880002</v>
      </c>
      <c r="N40" s="1">
        <f t="shared" si="17"/>
        <v>105718424.7124</v>
      </c>
      <c r="O40" s="1">
        <f t="shared" si="17"/>
        <v>107959213.0024</v>
      </c>
      <c r="P40" s="1">
        <f t="shared" si="17"/>
        <v>110267253.12640002</v>
      </c>
      <c r="Q40" s="1">
        <f t="shared" si="17"/>
        <v>112644525.4576</v>
      </c>
      <c r="R40" s="1">
        <f t="shared" si="17"/>
        <v>115093118.93480001</v>
      </c>
      <c r="S40" s="1">
        <f t="shared" si="17"/>
        <v>117615155.1424</v>
      </c>
      <c r="T40" s="1">
        <f t="shared" si="17"/>
        <v>120212861.5732</v>
      </c>
      <c r="U40" s="1">
        <f t="shared" si="17"/>
        <v>122888498.3656</v>
      </c>
      <c r="V40" s="1">
        <f t="shared" si="17"/>
        <v>125644396.2636</v>
      </c>
      <c r="W40" s="1">
        <f t="shared" si="17"/>
        <v>129420087.99575001</v>
      </c>
    </row>
    <row r="41" spans="1:23" ht="17.25" hidden="1" outlineLevel="1">
      <c r="A41" t="s">
        <v>63</v>
      </c>
      <c r="B41" s="6"/>
      <c r="C41" s="3">
        <f>C40/365</f>
        <v>220387.10273972602</v>
      </c>
      <c r="D41" s="3">
        <f aca="true" t="shared" si="18" ref="D41:W41">D40/365</f>
        <v>229868.65372000003</v>
      </c>
      <c r="E41" s="3">
        <f t="shared" si="18"/>
        <v>236764.72231000004</v>
      </c>
      <c r="F41" s="3">
        <f t="shared" si="18"/>
        <v>243867.66827</v>
      </c>
      <c r="G41" s="3">
        <f t="shared" si="18"/>
        <v>251390.70552000005</v>
      </c>
      <c r="H41" s="3">
        <f t="shared" si="18"/>
        <v>256382.43303999997</v>
      </c>
      <c r="I41" s="3">
        <f t="shared" si="18"/>
        <v>261523.90184000004</v>
      </c>
      <c r="J41" s="3">
        <f t="shared" si="18"/>
        <v>266819.59224</v>
      </c>
      <c r="K41" s="3">
        <f t="shared" si="18"/>
        <v>272274.178</v>
      </c>
      <c r="L41" s="3">
        <f t="shared" si="18"/>
        <v>277892.42232</v>
      </c>
      <c r="M41" s="3">
        <f t="shared" si="18"/>
        <v>283679.18512000004</v>
      </c>
      <c r="N41" s="3">
        <f t="shared" si="18"/>
        <v>289639.51976</v>
      </c>
      <c r="O41" s="3">
        <f t="shared" si="18"/>
        <v>295778.66576</v>
      </c>
      <c r="P41" s="3">
        <f t="shared" si="18"/>
        <v>302102.0633600001</v>
      </c>
      <c r="Q41" s="3">
        <f t="shared" si="18"/>
        <v>308615.13824</v>
      </c>
      <c r="R41" s="3">
        <f t="shared" si="18"/>
        <v>315323.61352</v>
      </c>
      <c r="S41" s="3">
        <f t="shared" si="18"/>
        <v>322233.30176</v>
      </c>
      <c r="T41" s="3">
        <f t="shared" si="18"/>
        <v>329350.30568</v>
      </c>
      <c r="U41" s="3">
        <f t="shared" si="18"/>
        <v>336680.81744</v>
      </c>
      <c r="V41" s="3">
        <f t="shared" si="18"/>
        <v>344231.22264</v>
      </c>
      <c r="W41" s="3">
        <f t="shared" si="18"/>
        <v>354575.58355000004</v>
      </c>
    </row>
    <row r="42" spans="2:23" ht="15" hidden="1" outlineLevel="1">
      <c r="B42" s="6"/>
      <c r="C42" s="3"/>
      <c r="D42" s="3"/>
      <c r="E42" s="3"/>
      <c r="F42" s="3"/>
      <c r="G42" s="3"/>
      <c r="H42" s="3"/>
      <c r="I42" s="149"/>
      <c r="J42" s="3"/>
      <c r="K42" s="3"/>
      <c r="L42" s="3"/>
      <c r="M42" s="3"/>
      <c r="N42" s="3"/>
      <c r="O42" s="3"/>
      <c r="P42" s="3"/>
      <c r="Q42" s="3"/>
      <c r="R42" s="3"/>
      <c r="S42" s="3"/>
      <c r="T42" s="3"/>
      <c r="U42" s="3"/>
      <c r="V42" s="3"/>
      <c r="W42" s="3"/>
    </row>
    <row r="43" spans="2:23" ht="15" hidden="1" outlineLevel="1">
      <c r="B43" s="20" t="s">
        <v>30</v>
      </c>
      <c r="C43" s="5">
        <v>0</v>
      </c>
      <c r="D43" s="5">
        <v>1</v>
      </c>
      <c r="E43" s="5">
        <v>2</v>
      </c>
      <c r="F43" s="5">
        <v>3</v>
      </c>
      <c r="G43" s="5">
        <v>4</v>
      </c>
      <c r="H43" s="5">
        <v>5</v>
      </c>
      <c r="I43" s="5">
        <v>6</v>
      </c>
      <c r="J43" s="5">
        <v>7</v>
      </c>
      <c r="K43" s="5">
        <v>8</v>
      </c>
      <c r="L43" s="5">
        <v>9</v>
      </c>
      <c r="M43" s="5">
        <v>10</v>
      </c>
      <c r="N43" s="5">
        <v>11</v>
      </c>
      <c r="O43" s="5">
        <v>12</v>
      </c>
      <c r="P43" s="5">
        <v>13</v>
      </c>
      <c r="Q43" s="5">
        <v>14</v>
      </c>
      <c r="R43" s="5">
        <v>15</v>
      </c>
      <c r="S43" s="5">
        <v>16</v>
      </c>
      <c r="T43" s="5">
        <v>17</v>
      </c>
      <c r="U43" s="5">
        <v>18</v>
      </c>
      <c r="V43" s="5">
        <v>19</v>
      </c>
      <c r="W43" s="5">
        <v>20</v>
      </c>
    </row>
    <row r="44" spans="2:23" ht="15" hidden="1" outlineLevel="1">
      <c r="B44" s="20" t="s">
        <v>8</v>
      </c>
      <c r="C44" s="24">
        <v>2010</v>
      </c>
      <c r="D44" s="24">
        <v>2011</v>
      </c>
      <c r="E44" s="24">
        <v>2012</v>
      </c>
      <c r="F44" s="24">
        <v>2013</v>
      </c>
      <c r="G44" s="24">
        <v>2014</v>
      </c>
      <c r="H44" s="24">
        <v>2015</v>
      </c>
      <c r="I44" s="24">
        <v>2016</v>
      </c>
      <c r="J44" s="24">
        <v>2017</v>
      </c>
      <c r="K44" s="24">
        <v>2018</v>
      </c>
      <c r="L44" s="24">
        <v>2019</v>
      </c>
      <c r="M44" s="24">
        <v>2020</v>
      </c>
      <c r="N44" s="24">
        <v>2021</v>
      </c>
      <c r="O44" s="24">
        <v>2022</v>
      </c>
      <c r="P44" s="24">
        <v>2023</v>
      </c>
      <c r="Q44" s="24">
        <v>2024</v>
      </c>
      <c r="R44" s="24">
        <v>2025</v>
      </c>
      <c r="S44" s="24">
        <v>2026</v>
      </c>
      <c r="T44" s="24">
        <v>2027</v>
      </c>
      <c r="U44" s="24">
        <v>2028</v>
      </c>
      <c r="V44" s="24">
        <v>2029</v>
      </c>
      <c r="W44" s="24">
        <v>2030</v>
      </c>
    </row>
    <row r="45" spans="1:23" ht="15" hidden="1" outlineLevel="1">
      <c r="A45" t="s">
        <v>125</v>
      </c>
      <c r="B45" s="6"/>
      <c r="C45" s="3"/>
      <c r="D45" s="1"/>
      <c r="E45" s="1"/>
      <c r="F45" s="1"/>
      <c r="G45" s="1">
        <f>G33-G36</f>
        <v>8769883.243699998</v>
      </c>
      <c r="H45" s="1">
        <f>H33-H36</f>
        <v>11015486.323524997</v>
      </c>
      <c r="I45" s="1">
        <f aca="true" t="shared" si="19" ref="I45:W45">I33-I36</f>
        <v>13360003.567500003</v>
      </c>
      <c r="J45" s="1">
        <f t="shared" si="19"/>
        <v>14691572.185499996</v>
      </c>
      <c r="K45" s="1">
        <f t="shared" si="19"/>
        <v>16063068.609749995</v>
      </c>
      <c r="L45" s="1">
        <f t="shared" si="19"/>
        <v>17881634.26200001</v>
      </c>
      <c r="M45" s="1">
        <f t="shared" si="19"/>
        <v>19348852.976499997</v>
      </c>
      <c r="N45" s="1">
        <f t="shared" si="19"/>
        <v>20860081.711999997</v>
      </c>
      <c r="O45" s="1">
        <f t="shared" si="19"/>
        <v>22416645.56449999</v>
      </c>
      <c r="P45" s="1">
        <f t="shared" si="19"/>
        <v>24019888.391000003</v>
      </c>
      <c r="Q45" s="1">
        <f t="shared" si="19"/>
        <v>26612377.88775</v>
      </c>
      <c r="R45" s="1">
        <f t="shared" si="19"/>
        <v>28341490.9825</v>
      </c>
      <c r="S45" s="1">
        <f t="shared" si="19"/>
        <v>30122493.663500004</v>
      </c>
      <c r="T45" s="1">
        <f t="shared" si="19"/>
        <v>31956915.773499995</v>
      </c>
      <c r="U45" s="1">
        <f t="shared" si="19"/>
        <v>33846383.186749995</v>
      </c>
      <c r="V45" s="1">
        <f t="shared" si="19"/>
        <v>36338046.12375</v>
      </c>
      <c r="W45" s="1">
        <f t="shared" si="19"/>
        <v>39117935.198</v>
      </c>
    </row>
    <row r="46" spans="1:23" ht="17.25" hidden="1" outlineLevel="1">
      <c r="A46" t="s">
        <v>98</v>
      </c>
      <c r="B46" s="6"/>
      <c r="C46" s="3"/>
      <c r="D46" s="3"/>
      <c r="E46" s="3"/>
      <c r="F46" s="3"/>
      <c r="G46" s="3">
        <f aca="true" t="shared" si="20" ref="G46:W46">G45/365</f>
        <v>24027.077379999995</v>
      </c>
      <c r="H46" s="3">
        <f t="shared" si="20"/>
        <v>30179.41458499999</v>
      </c>
      <c r="I46" s="3">
        <f t="shared" si="20"/>
        <v>36602.749500000005</v>
      </c>
      <c r="J46" s="3">
        <f t="shared" si="20"/>
        <v>40250.88269999999</v>
      </c>
      <c r="K46" s="3">
        <f t="shared" si="20"/>
        <v>44008.407149999985</v>
      </c>
      <c r="L46" s="3">
        <f t="shared" si="20"/>
        <v>48990.77880000003</v>
      </c>
      <c r="M46" s="3">
        <f t="shared" si="20"/>
        <v>53010.556099999994</v>
      </c>
      <c r="N46" s="3">
        <f t="shared" si="20"/>
        <v>57150.90879999999</v>
      </c>
      <c r="O46" s="3">
        <f t="shared" si="20"/>
        <v>61415.46729999997</v>
      </c>
      <c r="P46" s="3">
        <f t="shared" si="20"/>
        <v>65807.9134</v>
      </c>
      <c r="Q46" s="3">
        <f t="shared" si="20"/>
        <v>72910.62435</v>
      </c>
      <c r="R46" s="3">
        <f t="shared" si="20"/>
        <v>77647.92050000001</v>
      </c>
      <c r="S46" s="3">
        <f t="shared" si="20"/>
        <v>82527.37990000001</v>
      </c>
      <c r="T46" s="3">
        <f t="shared" si="20"/>
        <v>87553.19389999998</v>
      </c>
      <c r="U46" s="3">
        <f t="shared" si="20"/>
        <v>92729.81694999998</v>
      </c>
      <c r="V46" s="3">
        <f t="shared" si="20"/>
        <v>99556.29075</v>
      </c>
      <c r="W46" s="3">
        <f t="shared" si="20"/>
        <v>107172.4252</v>
      </c>
    </row>
    <row r="47" spans="2:23" ht="15" hidden="1" outlineLevel="1">
      <c r="B47" s="6"/>
      <c r="C47" s="3"/>
      <c r="D47" s="3"/>
      <c r="E47" s="3"/>
      <c r="F47" s="3"/>
      <c r="G47" s="3"/>
      <c r="H47" s="3"/>
      <c r="I47" s="2"/>
      <c r="J47" s="3"/>
      <c r="K47" s="3"/>
      <c r="L47" s="3"/>
      <c r="M47" s="3"/>
      <c r="N47" s="3"/>
      <c r="O47" s="3"/>
      <c r="P47" s="3"/>
      <c r="Q47" s="3"/>
      <c r="R47" s="3"/>
      <c r="S47" s="3"/>
      <c r="T47" s="3"/>
      <c r="U47" s="3"/>
      <c r="V47" s="3"/>
      <c r="W47" s="3"/>
    </row>
    <row r="48" spans="1:23" ht="15" hidden="1" outlineLevel="1">
      <c r="A48" s="7" t="s">
        <v>91</v>
      </c>
      <c r="B48" s="6"/>
      <c r="C48" s="3"/>
      <c r="D48" s="3"/>
      <c r="E48" s="3"/>
      <c r="F48" s="3"/>
      <c r="G48" s="3"/>
      <c r="H48" s="3"/>
      <c r="I48" s="3"/>
      <c r="J48" s="3"/>
      <c r="K48" s="3"/>
      <c r="L48" s="3"/>
      <c r="M48" s="3">
        <v>323287.4315253814</v>
      </c>
      <c r="N48" s="2">
        <f>(M50-M48)/M48</f>
        <v>-0.12251712421511723</v>
      </c>
      <c r="O48" s="3"/>
      <c r="P48" s="3"/>
      <c r="Q48" s="3"/>
      <c r="R48" s="3"/>
      <c r="S48" s="3"/>
      <c r="T48" s="3"/>
      <c r="U48" s="3"/>
      <c r="V48" s="3"/>
      <c r="W48" s="3"/>
    </row>
    <row r="49" spans="1:23" ht="15" hidden="1" outlineLevel="1">
      <c r="A49" t="s">
        <v>94</v>
      </c>
      <c r="B49" s="6"/>
      <c r="C49" s="1">
        <f>C40</f>
        <v>80441292.5</v>
      </c>
      <c r="D49" s="1">
        <f aca="true" t="shared" si="21" ref="D49:W49">D40</f>
        <v>83902058.6078</v>
      </c>
      <c r="E49" s="1">
        <f t="shared" si="21"/>
        <v>86419123.64315002</v>
      </c>
      <c r="F49" s="1">
        <f t="shared" si="21"/>
        <v>89011698.91855</v>
      </c>
      <c r="G49" s="1">
        <f t="shared" si="21"/>
        <v>91757607.51480001</v>
      </c>
      <c r="H49" s="1">
        <f t="shared" si="21"/>
        <v>93579588.0596</v>
      </c>
      <c r="I49" s="1">
        <f t="shared" si="21"/>
        <v>95456224.17160001</v>
      </c>
      <c r="J49" s="1">
        <f t="shared" si="21"/>
        <v>97389151.1676</v>
      </c>
      <c r="K49" s="1">
        <f t="shared" si="21"/>
        <v>99380074.97</v>
      </c>
      <c r="L49" s="1">
        <f t="shared" si="21"/>
        <v>101430734.1468</v>
      </c>
      <c r="M49" s="1">
        <f t="shared" si="21"/>
        <v>103542902.56880002</v>
      </c>
      <c r="N49" s="1">
        <f t="shared" si="21"/>
        <v>105718424.7124</v>
      </c>
      <c r="O49" s="1">
        <f t="shared" si="21"/>
        <v>107959213.0024</v>
      </c>
      <c r="P49" s="1">
        <f t="shared" si="21"/>
        <v>110267253.12640002</v>
      </c>
      <c r="Q49" s="1">
        <f t="shared" si="21"/>
        <v>112644525.4576</v>
      </c>
      <c r="R49" s="1">
        <f t="shared" si="21"/>
        <v>115093118.93480001</v>
      </c>
      <c r="S49" s="1">
        <f t="shared" si="21"/>
        <v>117615155.1424</v>
      </c>
      <c r="T49" s="1">
        <f t="shared" si="21"/>
        <v>120212861.5732</v>
      </c>
      <c r="U49" s="1">
        <f t="shared" si="21"/>
        <v>122888498.3656</v>
      </c>
      <c r="V49" s="1">
        <f t="shared" si="21"/>
        <v>125644396.2636</v>
      </c>
      <c r="W49" s="1">
        <f t="shared" si="21"/>
        <v>129420087.99575001</v>
      </c>
    </row>
    <row r="50" spans="1:23" ht="17.25" hidden="1" outlineLevel="1">
      <c r="A50" t="s">
        <v>95</v>
      </c>
      <c r="B50" s="6"/>
      <c r="C50" s="3">
        <f aca="true" t="shared" si="22" ref="C50:W50">C49/365</f>
        <v>220387.10273972602</v>
      </c>
      <c r="D50" s="3">
        <f t="shared" si="22"/>
        <v>229868.65372000003</v>
      </c>
      <c r="E50" s="3">
        <f t="shared" si="22"/>
        <v>236764.72231000004</v>
      </c>
      <c r="F50" s="3">
        <f t="shared" si="22"/>
        <v>243867.66827</v>
      </c>
      <c r="G50" s="3">
        <f t="shared" si="22"/>
        <v>251390.70552000005</v>
      </c>
      <c r="H50" s="3">
        <f t="shared" si="22"/>
        <v>256382.43303999997</v>
      </c>
      <c r="I50" s="3">
        <f t="shared" si="22"/>
        <v>261523.90184000004</v>
      </c>
      <c r="J50" s="3">
        <f t="shared" si="22"/>
        <v>266819.59224</v>
      </c>
      <c r="K50" s="3">
        <f t="shared" si="22"/>
        <v>272274.178</v>
      </c>
      <c r="L50" s="3">
        <f t="shared" si="22"/>
        <v>277892.42232</v>
      </c>
      <c r="M50" s="3">
        <f t="shared" si="22"/>
        <v>283679.18512000004</v>
      </c>
      <c r="N50" s="3">
        <f t="shared" si="22"/>
        <v>289639.51976</v>
      </c>
      <c r="O50" s="3">
        <f t="shared" si="22"/>
        <v>295778.66576</v>
      </c>
      <c r="P50" s="3">
        <f t="shared" si="22"/>
        <v>302102.0633600001</v>
      </c>
      <c r="Q50" s="3">
        <f t="shared" si="22"/>
        <v>308615.13824</v>
      </c>
      <c r="R50" s="3">
        <f t="shared" si="22"/>
        <v>315323.61352</v>
      </c>
      <c r="S50" s="3">
        <f t="shared" si="22"/>
        <v>322233.30176</v>
      </c>
      <c r="T50" s="3">
        <f t="shared" si="22"/>
        <v>329350.30568</v>
      </c>
      <c r="U50" s="3">
        <f t="shared" si="22"/>
        <v>336680.81744</v>
      </c>
      <c r="V50" s="3">
        <f t="shared" si="22"/>
        <v>344231.22264</v>
      </c>
      <c r="W50" s="3">
        <f t="shared" si="22"/>
        <v>354575.58355000004</v>
      </c>
    </row>
    <row r="51" spans="1:23" ht="15" hidden="1" outlineLevel="1">
      <c r="A51" t="s">
        <v>85</v>
      </c>
      <c r="B51" s="6"/>
      <c r="C51" s="2">
        <f aca="true" t="shared" si="23" ref="C51:W51">(C22+C26)/C49</f>
        <v>0.2085508880902181</v>
      </c>
      <c r="D51" s="2">
        <f t="shared" si="23"/>
        <v>0.20594721356686246</v>
      </c>
      <c r="E51" s="2">
        <f t="shared" si="23"/>
        <v>0.20594724367828898</v>
      </c>
      <c r="F51" s="2">
        <f t="shared" si="23"/>
        <v>0.2059472380094037</v>
      </c>
      <c r="G51" s="2">
        <f t="shared" si="23"/>
        <v>0.294474965678914</v>
      </c>
      <c r="H51" s="2">
        <f t="shared" si="23"/>
        <v>0.3086429192777583</v>
      </c>
      <c r="I51" s="2">
        <f t="shared" si="23"/>
        <v>0.32300092230835614</v>
      </c>
      <c r="J51" s="2">
        <f t="shared" si="23"/>
        <v>0.3260879381816118</v>
      </c>
      <c r="K51" s="2">
        <f t="shared" si="23"/>
        <v>0.329141925276513</v>
      </c>
      <c r="L51" s="2">
        <f t="shared" si="23"/>
        <v>0.3361641386983467</v>
      </c>
      <c r="M51" s="2">
        <f t="shared" si="23"/>
        <v>0.3391860705581823</v>
      </c>
      <c r="N51" s="2">
        <f t="shared" si="23"/>
        <v>0.3421724386303408</v>
      </c>
      <c r="O51" s="2">
        <f t="shared" si="23"/>
        <v>0.3451224280754223</v>
      </c>
      <c r="P51" s="2">
        <f t="shared" si="23"/>
        <v>0.3480354957877504</v>
      </c>
      <c r="Q51" s="2">
        <f t="shared" si="23"/>
        <v>0.35926611047762713</v>
      </c>
      <c r="R51" s="2">
        <f t="shared" si="23"/>
        <v>0.3621713680912025</v>
      </c>
      <c r="S51" s="2">
        <f t="shared" si="23"/>
        <v>0.36503751554396763</v>
      </c>
      <c r="T51" s="2">
        <f t="shared" si="23"/>
        <v>0.36786388174090967</v>
      </c>
      <c r="U51" s="2">
        <f t="shared" si="23"/>
        <v>0.3706501662282527</v>
      </c>
      <c r="V51" s="2">
        <f t="shared" si="23"/>
        <v>0.377737643182895</v>
      </c>
      <c r="W51" s="2">
        <f t="shared" si="23"/>
        <v>0.382060656415438</v>
      </c>
    </row>
    <row r="52" spans="1:23" ht="15" hidden="1" outlineLevel="1">
      <c r="A52" t="s">
        <v>50</v>
      </c>
      <c r="B52" s="6"/>
      <c r="C52" s="2">
        <f>C50/Data!$B6</f>
        <v>0.8254198604484121</v>
      </c>
      <c r="D52" s="2">
        <f>D50/Data!$B6</f>
        <v>0.8609312873408241</v>
      </c>
      <c r="E52" s="2">
        <f>E50/Data!$B6</f>
        <v>0.8867592595880152</v>
      </c>
      <c r="F52" s="2">
        <f>F50/Data!$B6</f>
        <v>0.9133620534456929</v>
      </c>
      <c r="G52" s="2">
        <f>G50/Data!$B6</f>
        <v>0.9415382229213485</v>
      </c>
      <c r="H52" s="2">
        <f>H50/Data!$B6</f>
        <v>0.9602338316104868</v>
      </c>
      <c r="I52" s="2">
        <f>I50/Data!$B6</f>
        <v>0.9794902690636705</v>
      </c>
      <c r="J52" s="2">
        <f>J50/Data!$B6</f>
        <v>0.9993243155056181</v>
      </c>
      <c r="K52" s="2">
        <f>K50/Data!$B6</f>
        <v>1.0197534756554307</v>
      </c>
      <c r="L52" s="2">
        <f>L50/Data!$B6</f>
        <v>1.0407955892134833</v>
      </c>
      <c r="M52" s="2">
        <f>M50/Data!$B6</f>
        <v>1.062468858127341</v>
      </c>
      <c r="N52" s="2">
        <f>N50/Data!$B6</f>
        <v>1.0847922088389512</v>
      </c>
      <c r="O52" s="2">
        <f>O50/Data!$B6</f>
        <v>1.1077852650187265</v>
      </c>
      <c r="P52" s="2">
        <f>P50/Data!$B6</f>
        <v>1.1314684020973786</v>
      </c>
      <c r="Q52" s="2">
        <f>Q50/Data!$B6</f>
        <v>1.1558619409737827</v>
      </c>
      <c r="R52" s="2">
        <f>R50/Data!$B6</f>
        <v>1.1809873165543072</v>
      </c>
      <c r="S52" s="2">
        <f>S50/Data!$B6</f>
        <v>1.2068662987265917</v>
      </c>
      <c r="T52" s="2">
        <f>T50/Data!$B6</f>
        <v>1.23352174411985</v>
      </c>
      <c r="U52" s="2">
        <f>U50/Data!$B6</f>
        <v>1.2609768443445692</v>
      </c>
      <c r="V52" s="2">
        <f>V50/Data!$B6</f>
        <v>1.289255515505618</v>
      </c>
      <c r="W52" s="2">
        <f>W50/Data!$B6</f>
        <v>1.3279984402621725</v>
      </c>
    </row>
    <row r="53" spans="1:23" ht="15" hidden="1" outlineLevel="1">
      <c r="A53" t="s">
        <v>51</v>
      </c>
      <c r="B53" s="6"/>
      <c r="C53" s="1">
        <f aca="true" t="shared" si="24" ref="C53:W53">IF(C52&lt;=1,0,C49-AsSamraCapacity)</f>
        <v>0</v>
      </c>
      <c r="D53" s="1">
        <f t="shared" si="24"/>
        <v>0</v>
      </c>
      <c r="E53" s="1">
        <f t="shared" si="24"/>
        <v>0</v>
      </c>
      <c r="F53" s="1">
        <f t="shared" si="24"/>
        <v>0</v>
      </c>
      <c r="G53" s="1">
        <f t="shared" si="24"/>
        <v>0</v>
      </c>
      <c r="H53" s="1">
        <f t="shared" si="24"/>
        <v>0</v>
      </c>
      <c r="I53" s="1">
        <f t="shared" si="24"/>
        <v>0</v>
      </c>
      <c r="J53" s="1">
        <f t="shared" si="24"/>
        <v>0</v>
      </c>
      <c r="K53" s="1">
        <f t="shared" si="24"/>
        <v>1925074.9699999988</v>
      </c>
      <c r="L53" s="1">
        <f t="shared" si="24"/>
        <v>3975734.1467999965</v>
      </c>
      <c r="M53" s="1">
        <f t="shared" si="24"/>
        <v>6087902.568800017</v>
      </c>
      <c r="N53" s="1">
        <f t="shared" si="24"/>
        <v>8263424.712400004</v>
      </c>
      <c r="O53" s="1">
        <f t="shared" si="24"/>
        <v>10504213.002399996</v>
      </c>
      <c r="P53" s="1">
        <f t="shared" si="24"/>
        <v>12812253.126400024</v>
      </c>
      <c r="Q53" s="1">
        <f t="shared" si="24"/>
        <v>15189525.457599998</v>
      </c>
      <c r="R53" s="1">
        <f t="shared" si="24"/>
        <v>17638118.934800014</v>
      </c>
      <c r="S53" s="1">
        <f t="shared" si="24"/>
        <v>20160155.142399997</v>
      </c>
      <c r="T53" s="1">
        <f t="shared" si="24"/>
        <v>22757861.573200002</v>
      </c>
      <c r="U53" s="1">
        <f t="shared" si="24"/>
        <v>25433498.365600005</v>
      </c>
      <c r="V53" s="1">
        <f t="shared" si="24"/>
        <v>28189396.263600007</v>
      </c>
      <c r="W53" s="1">
        <f t="shared" si="24"/>
        <v>31965087.99575001</v>
      </c>
    </row>
    <row r="54" spans="1:23" ht="17.25" hidden="1" outlineLevel="1">
      <c r="A54" t="s">
        <v>69</v>
      </c>
      <c r="B54" s="6"/>
      <c r="C54" s="3">
        <f>C53/365</f>
        <v>0</v>
      </c>
      <c r="D54" s="3">
        <f aca="true" t="shared" si="25" ref="D54:W54">D53/365</f>
        <v>0</v>
      </c>
      <c r="E54" s="3">
        <f t="shared" si="25"/>
        <v>0</v>
      </c>
      <c r="F54" s="3">
        <f t="shared" si="25"/>
        <v>0</v>
      </c>
      <c r="G54" s="3">
        <f t="shared" si="25"/>
        <v>0</v>
      </c>
      <c r="H54" s="3">
        <f t="shared" si="25"/>
        <v>0</v>
      </c>
      <c r="I54" s="3">
        <f t="shared" si="25"/>
        <v>0</v>
      </c>
      <c r="J54" s="3">
        <f t="shared" si="25"/>
        <v>0</v>
      </c>
      <c r="K54" s="3">
        <f t="shared" si="25"/>
        <v>5274.177999999997</v>
      </c>
      <c r="L54" s="3">
        <f t="shared" si="25"/>
        <v>10892.42231999999</v>
      </c>
      <c r="M54" s="3">
        <f t="shared" si="25"/>
        <v>16679.185120000046</v>
      </c>
      <c r="N54" s="3">
        <f t="shared" si="25"/>
        <v>22639.51976000001</v>
      </c>
      <c r="O54" s="3">
        <f t="shared" si="25"/>
        <v>28778.66575999999</v>
      </c>
      <c r="P54" s="3">
        <f t="shared" si="25"/>
        <v>35102.063360000066</v>
      </c>
      <c r="Q54" s="3">
        <f t="shared" si="25"/>
        <v>41615.13823999999</v>
      </c>
      <c r="R54" s="3">
        <f t="shared" si="25"/>
        <v>48323.613520000035</v>
      </c>
      <c r="S54" s="3">
        <f t="shared" si="25"/>
        <v>55233.30175999999</v>
      </c>
      <c r="T54" s="3">
        <f t="shared" si="25"/>
        <v>62350.305680000005</v>
      </c>
      <c r="U54" s="3">
        <f t="shared" si="25"/>
        <v>69680.81744000001</v>
      </c>
      <c r="V54" s="3">
        <f t="shared" si="25"/>
        <v>77231.22264000002</v>
      </c>
      <c r="W54" s="3">
        <f t="shared" si="25"/>
        <v>87575.58355000002</v>
      </c>
    </row>
    <row r="55" spans="1:23" ht="15" hidden="1" outlineLevel="1">
      <c r="A55" t="s">
        <v>53</v>
      </c>
      <c r="B55" s="6"/>
      <c r="C55" s="1"/>
      <c r="D55" s="1"/>
      <c r="E55" s="1"/>
      <c r="F55" s="1"/>
      <c r="G55" s="2">
        <f>G62/Data!$B55</f>
        <v>0.12306492578595013</v>
      </c>
      <c r="H55" s="2">
        <f>H62/Data!$B55</f>
        <v>0.14287896421064994</v>
      </c>
      <c r="I55" s="2">
        <f>I62/Data!$B55</f>
        <v>0.16328738192865014</v>
      </c>
      <c r="J55" s="2">
        <f>J62/Data!$B55</f>
        <v>0.18430796301015007</v>
      </c>
      <c r="K55" s="2">
        <f>K62/Data!$B55</f>
        <v>0.20595925936124998</v>
      </c>
      <c r="L55" s="2">
        <f>L62/Data!$B55</f>
        <v>0.22826017790894998</v>
      </c>
      <c r="M55" s="2">
        <f>M62/Data!$B55</f>
        <v>0.2512300094982002</v>
      </c>
      <c r="N55" s="2">
        <f>N62/Data!$B55</f>
        <v>0.27488881280985006</v>
      </c>
      <c r="O55" s="2">
        <f>O62/Data!$B55</f>
        <v>0.2992573854636</v>
      </c>
      <c r="P55" s="2">
        <f>P62/Data!$B55</f>
        <v>0.32435732181210025</v>
      </c>
      <c r="Q55" s="2">
        <f>Q62/Data!$B55</f>
        <v>0.35021015841389996</v>
      </c>
      <c r="R55" s="2">
        <f>R62/Data!$B55</f>
        <v>0.37683861247845013</v>
      </c>
      <c r="S55" s="2">
        <f>S62/Data!$B55</f>
        <v>0.40426575623609995</v>
      </c>
      <c r="T55" s="2">
        <f>T62/Data!$B55</f>
        <v>0.43251581367105</v>
      </c>
      <c r="U55" s="2">
        <f>U62/Data!$B55</f>
        <v>0.4616133637884</v>
      </c>
      <c r="V55" s="2">
        <f>V62/Data!$B55</f>
        <v>0.4915837534291501</v>
      </c>
      <c r="W55" s="2">
        <f>W62/Data!$B55</f>
        <v>0.5326444010162814</v>
      </c>
    </row>
    <row r="56" spans="2:23" ht="15" hidden="1" outlineLevel="1">
      <c r="B56" s="6"/>
      <c r="C56" s="1"/>
      <c r="D56" s="1"/>
      <c r="E56" s="1"/>
      <c r="F56" s="1"/>
      <c r="G56" s="2"/>
      <c r="H56" s="2"/>
      <c r="I56" s="2"/>
      <c r="J56" s="2"/>
      <c r="K56" s="2"/>
      <c r="L56" s="2"/>
      <c r="M56" s="2"/>
      <c r="N56" s="2"/>
      <c r="O56" s="2"/>
      <c r="P56" s="2"/>
      <c r="Q56" s="2"/>
      <c r="R56" s="2"/>
      <c r="S56" s="2"/>
      <c r="T56" s="2"/>
      <c r="U56" s="2"/>
      <c r="V56" s="2"/>
      <c r="W56" s="2"/>
    </row>
    <row r="57" spans="2:23" ht="15" hidden="1" outlineLevel="1">
      <c r="B57" s="20" t="s">
        <v>30</v>
      </c>
      <c r="C57" s="5">
        <v>0</v>
      </c>
      <c r="D57" s="5">
        <v>1</v>
      </c>
      <c r="E57" s="5">
        <v>2</v>
      </c>
      <c r="F57" s="5">
        <v>3</v>
      </c>
      <c r="G57" s="5">
        <v>4</v>
      </c>
      <c r="H57" s="5">
        <v>5</v>
      </c>
      <c r="I57" s="5">
        <v>6</v>
      </c>
      <c r="J57" s="5">
        <v>7</v>
      </c>
      <c r="K57" s="5">
        <v>8</v>
      </c>
      <c r="L57" s="5">
        <v>9</v>
      </c>
      <c r="M57" s="5">
        <v>10</v>
      </c>
      <c r="N57" s="5">
        <v>11</v>
      </c>
      <c r="O57" s="5">
        <v>12</v>
      </c>
      <c r="P57" s="5">
        <v>13</v>
      </c>
      <c r="Q57" s="5">
        <v>14</v>
      </c>
      <c r="R57" s="5">
        <v>15</v>
      </c>
      <c r="S57" s="5">
        <v>16</v>
      </c>
      <c r="T57" s="5">
        <v>17</v>
      </c>
      <c r="U57" s="5">
        <v>18</v>
      </c>
      <c r="V57" s="5">
        <v>19</v>
      </c>
      <c r="W57" s="5">
        <v>20</v>
      </c>
    </row>
    <row r="58" spans="2:23" ht="15" hidden="1" outlineLevel="1">
      <c r="B58" s="20" t="s">
        <v>8</v>
      </c>
      <c r="C58" s="24">
        <v>2010</v>
      </c>
      <c r="D58" s="24">
        <v>2011</v>
      </c>
      <c r="E58" s="24">
        <v>2012</v>
      </c>
      <c r="F58" s="24">
        <v>2013</v>
      </c>
      <c r="G58" s="24">
        <v>2014</v>
      </c>
      <c r="H58" s="24">
        <v>2015</v>
      </c>
      <c r="I58" s="24">
        <v>2016</v>
      </c>
      <c r="J58" s="24">
        <v>2017</v>
      </c>
      <c r="K58" s="24">
        <v>2018</v>
      </c>
      <c r="L58" s="24">
        <v>2019</v>
      </c>
      <c r="M58" s="24">
        <v>2020</v>
      </c>
      <c r="N58" s="24">
        <v>2021</v>
      </c>
      <c r="O58" s="24">
        <v>2022</v>
      </c>
      <c r="P58" s="24">
        <v>2023</v>
      </c>
      <c r="Q58" s="24">
        <v>2024</v>
      </c>
      <c r="R58" s="24">
        <v>2025</v>
      </c>
      <c r="S58" s="24">
        <v>2026</v>
      </c>
      <c r="T58" s="24">
        <v>2027</v>
      </c>
      <c r="U58" s="24">
        <v>2028</v>
      </c>
      <c r="V58" s="24">
        <v>2029</v>
      </c>
      <c r="W58" s="24">
        <v>2030</v>
      </c>
    </row>
    <row r="59" spans="1:23" ht="15" hidden="1" outlineLevel="1">
      <c r="A59" t="s">
        <v>55</v>
      </c>
      <c r="B59" s="6"/>
      <c r="C59" s="3"/>
      <c r="D59" s="3"/>
      <c r="E59" s="3"/>
      <c r="F59" s="3"/>
      <c r="G59" s="3">
        <v>0</v>
      </c>
      <c r="H59" s="3">
        <v>0</v>
      </c>
      <c r="I59" s="3">
        <v>0</v>
      </c>
      <c r="J59" s="3">
        <v>0</v>
      </c>
      <c r="K59" s="3">
        <v>0</v>
      </c>
      <c r="L59" s="3">
        <v>0</v>
      </c>
      <c r="M59" s="3">
        <v>0</v>
      </c>
      <c r="N59" s="3">
        <v>0</v>
      </c>
      <c r="O59" s="3">
        <v>0</v>
      </c>
      <c r="P59" s="3">
        <v>0</v>
      </c>
      <c r="Q59" s="3">
        <v>0</v>
      </c>
      <c r="R59" s="3">
        <v>0</v>
      </c>
      <c r="S59" s="3">
        <v>0</v>
      </c>
      <c r="T59" s="3">
        <v>0</v>
      </c>
      <c r="U59" s="3">
        <v>0</v>
      </c>
      <c r="V59" s="3">
        <v>0</v>
      </c>
      <c r="W59" s="3">
        <v>0</v>
      </c>
    </row>
    <row r="60" spans="1:23" ht="15" hidden="1" outlineLevel="1">
      <c r="A60" s="13" t="s">
        <v>56</v>
      </c>
      <c r="B60" s="14"/>
      <c r="C60" s="15">
        <f>C59*2.3</f>
        <v>0</v>
      </c>
      <c r="D60" s="15">
        <f aca="true" t="shared" si="26" ref="D60:W60">D59*2.3</f>
        <v>0</v>
      </c>
      <c r="E60" s="15">
        <f t="shared" si="26"/>
        <v>0</v>
      </c>
      <c r="F60" s="15">
        <f t="shared" si="26"/>
        <v>0</v>
      </c>
      <c r="G60" s="15">
        <f t="shared" si="26"/>
        <v>0</v>
      </c>
      <c r="H60" s="15">
        <f t="shared" si="26"/>
        <v>0</v>
      </c>
      <c r="I60" s="15">
        <f t="shared" si="26"/>
        <v>0</v>
      </c>
      <c r="J60" s="15">
        <f t="shared" si="26"/>
        <v>0</v>
      </c>
      <c r="K60" s="15">
        <f t="shared" si="26"/>
        <v>0</v>
      </c>
      <c r="L60" s="15">
        <f t="shared" si="26"/>
        <v>0</v>
      </c>
      <c r="M60" s="15">
        <f t="shared" si="26"/>
        <v>0</v>
      </c>
      <c r="N60" s="15">
        <f t="shared" si="26"/>
        <v>0</v>
      </c>
      <c r="O60" s="15">
        <f t="shared" si="26"/>
        <v>0</v>
      </c>
      <c r="P60" s="15">
        <f t="shared" si="26"/>
        <v>0</v>
      </c>
      <c r="Q60" s="15">
        <f t="shared" si="26"/>
        <v>0</v>
      </c>
      <c r="R60" s="15">
        <f t="shared" si="26"/>
        <v>0</v>
      </c>
      <c r="S60" s="15">
        <f t="shared" si="26"/>
        <v>0</v>
      </c>
      <c r="T60" s="15">
        <f t="shared" si="26"/>
        <v>0</v>
      </c>
      <c r="U60" s="15">
        <f t="shared" si="26"/>
        <v>0</v>
      </c>
      <c r="V60" s="15">
        <f t="shared" si="26"/>
        <v>0</v>
      </c>
      <c r="W60" s="15">
        <f t="shared" si="26"/>
        <v>0</v>
      </c>
    </row>
    <row r="61" ht="5.25" customHeight="1" hidden="1" outlineLevel="1"/>
    <row r="62" spans="1:25" ht="15" hidden="1" outlineLevel="1">
      <c r="A62" t="s">
        <v>70</v>
      </c>
      <c r="B62" s="6"/>
      <c r="C62" s="1">
        <v>0</v>
      </c>
      <c r="D62" s="1">
        <f>(D49-$C49)*0.87</f>
        <v>3010866.513786006</v>
      </c>
      <c r="E62" s="1">
        <f>(E49-$C49)*0.87</f>
        <v>5200713.094540514</v>
      </c>
      <c r="F62" s="1">
        <f>(F49-$C49)*0.87</f>
        <v>7456253.5841385</v>
      </c>
      <c r="G62" s="1">
        <f aca="true" t="shared" si="27" ref="G62:W62">(G49-$C49)*0.87</f>
        <v>9845194.06287601</v>
      </c>
      <c r="H62" s="1">
        <f t="shared" si="27"/>
        <v>11430317.136851996</v>
      </c>
      <c r="I62" s="1">
        <f t="shared" si="27"/>
        <v>13062990.554292012</v>
      </c>
      <c r="J62" s="1">
        <f t="shared" si="27"/>
        <v>14744637.040812004</v>
      </c>
      <c r="K62" s="1">
        <f t="shared" si="27"/>
        <v>16476740.748899998</v>
      </c>
      <c r="L62" s="1">
        <f t="shared" si="27"/>
        <v>18260814.232715998</v>
      </c>
      <c r="M62" s="1">
        <f t="shared" si="27"/>
        <v>20098400.759856015</v>
      </c>
      <c r="N62" s="1">
        <f t="shared" si="27"/>
        <v>21991105.024788003</v>
      </c>
      <c r="O62" s="1">
        <f t="shared" si="27"/>
        <v>23940590.837087996</v>
      </c>
      <c r="P62" s="1">
        <f t="shared" si="27"/>
        <v>25948585.74496802</v>
      </c>
      <c r="Q62" s="1">
        <f t="shared" si="27"/>
        <v>28016812.673111998</v>
      </c>
      <c r="R62" s="1">
        <f t="shared" si="27"/>
        <v>30147088.99827601</v>
      </c>
      <c r="S62" s="1">
        <f t="shared" si="27"/>
        <v>32341260.498887997</v>
      </c>
      <c r="T62" s="1">
        <f t="shared" si="27"/>
        <v>34601265.093684</v>
      </c>
      <c r="U62" s="1">
        <f t="shared" si="27"/>
        <v>36929069.103072</v>
      </c>
      <c r="V62" s="1">
        <f t="shared" si="27"/>
        <v>39326700.27433201</v>
      </c>
      <c r="W62" s="1">
        <f t="shared" si="27"/>
        <v>42611552.08130251</v>
      </c>
      <c r="Y62" s="4"/>
    </row>
    <row r="63" spans="1:25" ht="15" hidden="1" outlineLevel="1">
      <c r="A63" s="192" t="s">
        <v>116</v>
      </c>
      <c r="B63" s="194"/>
      <c r="C63" s="193"/>
      <c r="D63" s="193">
        <f>IF(D62&gt;D57*Agriculture!$B$12,D57*Agriculture!$B$12,'Combined Cost-Benefit'!D62)</f>
        <v>1783030.27272727</v>
      </c>
      <c r="E63" s="193">
        <f>IF(E62&gt;E57*Agriculture!$B12,E57*Agriculture!$B12,'Combined Cost-Benefit'!E62)</f>
        <v>3566060.54545454</v>
      </c>
      <c r="F63" s="193">
        <f>IF(F62&gt;F57*Agriculture!$B12,F57*Agriculture!$B12,'Combined Cost-Benefit'!F62)</f>
        <v>5349090.81818181</v>
      </c>
      <c r="G63" s="193">
        <f>IF(G62&gt;G57*Agriculture!$B12,G57*Agriculture!$B12,'Combined Cost-Benefit'!G62)</f>
        <v>7132121.09090908</v>
      </c>
      <c r="H63" s="193">
        <f>G63*0.66</f>
        <v>4707199.9199999925</v>
      </c>
      <c r="I63" s="193">
        <f>H63*0.66</f>
        <v>3106751.947199995</v>
      </c>
      <c r="J63" s="193">
        <f aca="true" t="shared" si="28" ref="J63:W63">I63*0.66</f>
        <v>2050456.2851519969</v>
      </c>
      <c r="K63" s="193">
        <f t="shared" si="28"/>
        <v>1353301.148200318</v>
      </c>
      <c r="L63" s="193">
        <v>0</v>
      </c>
      <c r="M63" s="193">
        <f t="shared" si="28"/>
        <v>0</v>
      </c>
      <c r="N63" s="193">
        <f t="shared" si="28"/>
        <v>0</v>
      </c>
      <c r="O63" s="193">
        <f t="shared" si="28"/>
        <v>0</v>
      </c>
      <c r="P63" s="193">
        <f t="shared" si="28"/>
        <v>0</v>
      </c>
      <c r="Q63" s="193">
        <f t="shared" si="28"/>
        <v>0</v>
      </c>
      <c r="R63" s="193">
        <f t="shared" si="28"/>
        <v>0</v>
      </c>
      <c r="S63" s="193">
        <f t="shared" si="28"/>
        <v>0</v>
      </c>
      <c r="T63" s="193">
        <f t="shared" si="28"/>
        <v>0</v>
      </c>
      <c r="U63" s="193">
        <f t="shared" si="28"/>
        <v>0</v>
      </c>
      <c r="V63" s="193">
        <f t="shared" si="28"/>
        <v>0</v>
      </c>
      <c r="W63" s="193">
        <f t="shared" si="28"/>
        <v>0</v>
      </c>
      <c r="Y63" s="4"/>
    </row>
    <row r="64" spans="1:25" ht="15" hidden="1" outlineLevel="1">
      <c r="A64" s="192" t="s">
        <v>117</v>
      </c>
      <c r="B64" s="194"/>
      <c r="C64" s="195">
        <f>C63/Agriculture!$B12*Agriculture!$B13</f>
        <v>0</v>
      </c>
      <c r="D64" s="195">
        <f>D63/Agriculture!$B$12*Agriculture!$B$13</f>
        <v>254.71861038960998</v>
      </c>
      <c r="E64" s="195">
        <f>E63/Agriculture!$B12*Agriculture!$B13</f>
        <v>509.43722077921996</v>
      </c>
      <c r="F64" s="195">
        <f>F63/Agriculture!$B12*Agriculture!$B13</f>
        <v>764.15583116883</v>
      </c>
      <c r="G64" s="195">
        <f>G63/Agriculture!$B12*Agriculture!$B13</f>
        <v>1018.8744415584399</v>
      </c>
      <c r="H64" s="195">
        <f>H63/Agriculture!$B12*Agriculture!$B13</f>
        <v>672.4571314285704</v>
      </c>
      <c r="I64" s="195">
        <f>I63/Agriculture!$B12*Agriculture!$B13</f>
        <v>443.8217067428564</v>
      </c>
      <c r="J64" s="195">
        <f>J63/Agriculture!$B12*Agriculture!$B13</f>
        <v>292.92232645028525</v>
      </c>
      <c r="K64" s="195">
        <f>K63/Agriculture!$B12*Agriculture!$B13</f>
        <v>193.32873545718826</v>
      </c>
      <c r="L64" s="195">
        <f>L63/Agriculture!$B12*Agriculture!$B13</f>
        <v>0</v>
      </c>
      <c r="M64" s="195">
        <f>M63/Agriculture!$B12*Agriculture!$B13</f>
        <v>0</v>
      </c>
      <c r="N64" s="195">
        <f>N63/Agriculture!$B12*Agriculture!$B13</f>
        <v>0</v>
      </c>
      <c r="O64" s="195">
        <f>O63/Agriculture!$B12*Agriculture!$B13</f>
        <v>0</v>
      </c>
      <c r="P64" s="195">
        <f>P63/Agriculture!$B12*Agriculture!$B13</f>
        <v>0</v>
      </c>
      <c r="Q64" s="195">
        <f>Q63/Agriculture!$B12*Agriculture!$B13</f>
        <v>0</v>
      </c>
      <c r="R64" s="195">
        <f>R63/Agriculture!$B12*Agriculture!$B13</f>
        <v>0</v>
      </c>
      <c r="S64" s="195">
        <f>S63/Agriculture!$B12*Agriculture!$B13</f>
        <v>0</v>
      </c>
      <c r="T64" s="195">
        <f>T63/Agriculture!$B12*Agriculture!$B13</f>
        <v>0</v>
      </c>
      <c r="U64" s="193"/>
      <c r="V64" s="193"/>
      <c r="W64" s="193"/>
      <c r="Y64" s="4"/>
    </row>
    <row r="65" spans="1:23" ht="15" hidden="1" outlineLevel="1">
      <c r="A65" s="192" t="s">
        <v>118</v>
      </c>
      <c r="B65" s="193"/>
      <c r="C65" s="193"/>
      <c r="D65" s="193">
        <f aca="true" t="shared" si="29" ref="D65:W65">D64*VA_ha_citrus</f>
        <v>1630199.1064935038</v>
      </c>
      <c r="E65" s="193">
        <f t="shared" si="29"/>
        <v>3260398.2129870076</v>
      </c>
      <c r="F65" s="193">
        <f t="shared" si="29"/>
        <v>4890597.319480512</v>
      </c>
      <c r="G65" s="193">
        <f t="shared" si="29"/>
        <v>6520796.425974015</v>
      </c>
      <c r="H65" s="193">
        <f t="shared" si="29"/>
        <v>4303725.641142851</v>
      </c>
      <c r="I65" s="193">
        <f t="shared" si="29"/>
        <v>2840458.923154281</v>
      </c>
      <c r="J65" s="193">
        <f t="shared" si="29"/>
        <v>1874702.8892818256</v>
      </c>
      <c r="K65" s="193">
        <f t="shared" si="29"/>
        <v>1237303.906926005</v>
      </c>
      <c r="L65" s="193">
        <f t="shared" si="29"/>
        <v>0</v>
      </c>
      <c r="M65" s="193">
        <f t="shared" si="29"/>
        <v>0</v>
      </c>
      <c r="N65" s="193">
        <f t="shared" si="29"/>
        <v>0</v>
      </c>
      <c r="O65" s="193">
        <f t="shared" si="29"/>
        <v>0</v>
      </c>
      <c r="P65" s="193">
        <f t="shared" si="29"/>
        <v>0</v>
      </c>
      <c r="Q65" s="193">
        <f t="shared" si="29"/>
        <v>0</v>
      </c>
      <c r="R65" s="193">
        <f t="shared" si="29"/>
        <v>0</v>
      </c>
      <c r="S65" s="193">
        <f t="shared" si="29"/>
        <v>0</v>
      </c>
      <c r="T65" s="193">
        <f t="shared" si="29"/>
        <v>0</v>
      </c>
      <c r="U65" s="193">
        <f t="shared" si="29"/>
        <v>0</v>
      </c>
      <c r="V65" s="193">
        <f t="shared" si="29"/>
        <v>0</v>
      </c>
      <c r="W65" s="193">
        <f t="shared" si="29"/>
        <v>0</v>
      </c>
    </row>
    <row r="66" spans="1:25" ht="15" hidden="1" outlineLevel="1">
      <c r="A66" s="192" t="s">
        <v>124</v>
      </c>
      <c r="B66" s="194"/>
      <c r="C66" s="193"/>
      <c r="D66" s="193"/>
      <c r="E66" s="193"/>
      <c r="F66" s="193"/>
      <c r="G66" s="193">
        <f>G62-G63</f>
        <v>2713072.9719669307</v>
      </c>
      <c r="H66" s="193">
        <f aca="true" t="shared" si="30" ref="H66:W66">H62-H63</f>
        <v>6723117.216852004</v>
      </c>
      <c r="I66" s="193">
        <f t="shared" si="30"/>
        <v>9956238.607092017</v>
      </c>
      <c r="J66" s="193">
        <f t="shared" si="30"/>
        <v>12694180.755660007</v>
      </c>
      <c r="K66" s="193">
        <f t="shared" si="30"/>
        <v>15123439.60069968</v>
      </c>
      <c r="L66" s="193">
        <f t="shared" si="30"/>
        <v>18260814.232715998</v>
      </c>
      <c r="M66" s="193">
        <f t="shared" si="30"/>
        <v>20098400.759856015</v>
      </c>
      <c r="N66" s="193">
        <f t="shared" si="30"/>
        <v>21991105.024788003</v>
      </c>
      <c r="O66" s="193">
        <f t="shared" si="30"/>
        <v>23940590.837087996</v>
      </c>
      <c r="P66" s="193">
        <f t="shared" si="30"/>
        <v>25948585.74496802</v>
      </c>
      <c r="Q66" s="193">
        <f t="shared" si="30"/>
        <v>28016812.673111998</v>
      </c>
      <c r="R66" s="193">
        <f t="shared" si="30"/>
        <v>30147088.99827601</v>
      </c>
      <c r="S66" s="193">
        <f t="shared" si="30"/>
        <v>32341260.498887997</v>
      </c>
      <c r="T66" s="193">
        <f t="shared" si="30"/>
        <v>34601265.093684</v>
      </c>
      <c r="U66" s="193">
        <f t="shared" si="30"/>
        <v>36929069.103072</v>
      </c>
      <c r="V66" s="193">
        <f t="shared" si="30"/>
        <v>39326700.27433201</v>
      </c>
      <c r="W66" s="193">
        <f t="shared" si="30"/>
        <v>42611552.08130251</v>
      </c>
      <c r="Y66" s="4"/>
    </row>
    <row r="67" spans="1:23" ht="15" hidden="1" outlineLevel="1">
      <c r="A67" s="192" t="s">
        <v>71</v>
      </c>
      <c r="B67" s="194"/>
      <c r="C67" s="193"/>
      <c r="D67" s="193"/>
      <c r="E67" s="193"/>
      <c r="F67" s="193"/>
      <c r="G67" s="196">
        <f>G178</f>
        <v>0.1</v>
      </c>
      <c r="H67" s="196">
        <f aca="true" t="shared" si="31" ref="H67:W67">H178</f>
        <v>0.2</v>
      </c>
      <c r="I67" s="196">
        <f t="shared" si="31"/>
        <v>0.33</v>
      </c>
      <c r="J67" s="196">
        <f t="shared" si="31"/>
        <v>0.5</v>
      </c>
      <c r="K67" s="196">
        <f t="shared" si="31"/>
        <v>0.75</v>
      </c>
      <c r="L67" s="196">
        <f t="shared" si="31"/>
        <v>1</v>
      </c>
      <c r="M67" s="196">
        <f t="shared" si="31"/>
        <v>1</v>
      </c>
      <c r="N67" s="196">
        <f t="shared" si="31"/>
        <v>1</v>
      </c>
      <c r="O67" s="196">
        <f t="shared" si="31"/>
        <v>1</v>
      </c>
      <c r="P67" s="196">
        <f t="shared" si="31"/>
        <v>1</v>
      </c>
      <c r="Q67" s="196">
        <f t="shared" si="31"/>
        <v>1</v>
      </c>
      <c r="R67" s="196">
        <f t="shared" si="31"/>
        <v>1</v>
      </c>
      <c r="S67" s="196">
        <f t="shared" si="31"/>
        <v>1</v>
      </c>
      <c r="T67" s="196">
        <f t="shared" si="31"/>
        <v>1</v>
      </c>
      <c r="U67" s="196">
        <f t="shared" si="31"/>
        <v>1</v>
      </c>
      <c r="V67" s="196">
        <f t="shared" si="31"/>
        <v>1</v>
      </c>
      <c r="W67" s="196">
        <f t="shared" si="31"/>
        <v>1</v>
      </c>
    </row>
    <row r="68" spans="1:23" ht="15" hidden="1" outlineLevel="1">
      <c r="A68" s="192" t="s">
        <v>72</v>
      </c>
      <c r="B68" s="194"/>
      <c r="C68" s="193"/>
      <c r="D68" s="193"/>
      <c r="E68" s="193"/>
      <c r="F68" s="193"/>
      <c r="G68" s="196">
        <f>1-G67</f>
        <v>0.9</v>
      </c>
      <c r="H68" s="196">
        <f aca="true" t="shared" si="32" ref="H68:W68">1-H67</f>
        <v>0.8</v>
      </c>
      <c r="I68" s="196">
        <f t="shared" si="32"/>
        <v>0.6699999999999999</v>
      </c>
      <c r="J68" s="196">
        <f t="shared" si="32"/>
        <v>0.5</v>
      </c>
      <c r="K68" s="196">
        <f t="shared" si="32"/>
        <v>0.25</v>
      </c>
      <c r="L68" s="196">
        <f t="shared" si="32"/>
        <v>0</v>
      </c>
      <c r="M68" s="196">
        <f t="shared" si="32"/>
        <v>0</v>
      </c>
      <c r="N68" s="196">
        <f t="shared" si="32"/>
        <v>0</v>
      </c>
      <c r="O68" s="196">
        <f t="shared" si="32"/>
        <v>0</v>
      </c>
      <c r="P68" s="196">
        <f t="shared" si="32"/>
        <v>0</v>
      </c>
      <c r="Q68" s="196">
        <f t="shared" si="32"/>
        <v>0</v>
      </c>
      <c r="R68" s="196">
        <f t="shared" si="32"/>
        <v>0</v>
      </c>
      <c r="S68" s="196">
        <f t="shared" si="32"/>
        <v>0</v>
      </c>
      <c r="T68" s="196">
        <f t="shared" si="32"/>
        <v>0</v>
      </c>
      <c r="U68" s="196">
        <f t="shared" si="32"/>
        <v>0</v>
      </c>
      <c r="V68" s="196">
        <f t="shared" si="32"/>
        <v>0</v>
      </c>
      <c r="W68" s="196">
        <f t="shared" si="32"/>
        <v>0</v>
      </c>
    </row>
    <row r="69" spans="1:23" ht="15" hidden="1" outlineLevel="1">
      <c r="A69" s="192" t="s">
        <v>75</v>
      </c>
      <c r="B69" s="193"/>
      <c r="C69" s="193"/>
      <c r="D69" s="193"/>
      <c r="E69" s="193"/>
      <c r="F69" s="193"/>
      <c r="G69" s="193">
        <f>(G62-G63)*(G67*Agriculture!$B36+G68*Agriculture!$B33)*0.75</f>
        <v>618529.1128726912</v>
      </c>
      <c r="H69" s="193">
        <f>(H62-H63)*(H67*Agriculture!$B36+H68*Agriculture!$B33)*0.75</f>
        <v>1391509.4413957698</v>
      </c>
      <c r="I69" s="193">
        <f>(I62-I63)*(I67*Agriculture!$B36+I68*Agriculture!$B33)*0.75</f>
        <v>1788783.02178617</v>
      </c>
      <c r="J69" s="193">
        <f>(J62-J63)*(J67*Agriculture!$B36+J68*Agriculture!$B33)*0.75</f>
        <v>1827357.3558213874</v>
      </c>
      <c r="K69" s="193">
        <f>(K62-K63)*(K67*Agriculture!$B36+K68*Agriculture!$B33)*0.75</f>
        <v>1382803.6014104877</v>
      </c>
      <c r="L69" s="193">
        <f>(L62-L63)*(L67*Agriculture!$B36+L68*Agriculture!$B33)*0.75</f>
        <v>710648.1254948628</v>
      </c>
      <c r="M69" s="193">
        <f>(M62-M63)*(M67*Agriculture!$B36+M68*Agriculture!$B33)*0.75</f>
        <v>782160.6771425906</v>
      </c>
      <c r="N69" s="193">
        <f>(N62-N63)*(N67*Agriculture!$B36+N68*Agriculture!$B33)*0.75</f>
        <v>855818.2216994083</v>
      </c>
      <c r="O69" s="193">
        <f>(O62-O63)*(O67*Agriculture!$B36+O68*Agriculture!$B33)*0.75</f>
        <v>931685.5089153171</v>
      </c>
      <c r="P69" s="193">
        <f>(P62-P63)*(P67*Agriculture!$B36+P68*Agriculture!$B33)*0.75</f>
        <v>1009829.7690289544</v>
      </c>
      <c r="Q69" s="193">
        <f>(Q62-Q63)*(Q67*Agriculture!$B36+Q68*Agriculture!$B33)*0.75</f>
        <v>1090318.0523471353</v>
      </c>
      <c r="R69" s="193">
        <f>(R62-R63)*(R67*Agriculture!$B36+R68*Agriculture!$B33)*0.75</f>
        <v>1173221.0849266811</v>
      </c>
      <c r="S69" s="193">
        <f>(S62-S63)*(S67*Agriculture!$B36+S68*Agriculture!$B33)*0.75</f>
        <v>1258610.6981198625</v>
      </c>
      <c r="T69" s="193">
        <f>(T62-T63)*(T67*Agriculture!$B36+T68*Agriculture!$B33)*0.75</f>
        <v>1346562.3090630446</v>
      </c>
      <c r="U69" s="193">
        <f>(U62-U63)*(U67*Agriculture!$B36+U68*Agriculture!$B33)*0.75</f>
        <v>1437152.4401880447</v>
      </c>
      <c r="V69" s="193">
        <f>(V62-V63)*(V67*Agriculture!$B36+V68*Agriculture!$B33)*0.75</f>
        <v>1530460.0044494085</v>
      </c>
      <c r="W69" s="193">
        <f>(W62-W63)*(W67*Agriculture!$B36+W68*Agriculture!$B33)*0.75</f>
        <v>1658295.146376965</v>
      </c>
    </row>
    <row r="70" spans="1:23" ht="15" hidden="1" outlineLevel="1">
      <c r="A70" s="192" t="s">
        <v>78</v>
      </c>
      <c r="B70" s="194"/>
      <c r="C70" s="195"/>
      <c r="D70" s="195"/>
      <c r="E70" s="195"/>
      <c r="F70" s="195"/>
      <c r="G70" s="195"/>
      <c r="H70" s="195"/>
      <c r="I70" s="195"/>
      <c r="J70" s="195"/>
      <c r="K70" s="195"/>
      <c r="L70" s="195"/>
      <c r="M70" s="195"/>
      <c r="N70" s="195"/>
      <c r="O70" s="195"/>
      <c r="P70" s="195"/>
      <c r="Q70" s="195"/>
      <c r="R70" s="195"/>
      <c r="S70" s="195"/>
      <c r="T70" s="195"/>
      <c r="U70" s="195"/>
      <c r="V70" s="195"/>
      <c r="W70" s="195"/>
    </row>
    <row r="71" spans="1:23" ht="15" hidden="1" outlineLevel="1">
      <c r="A71" s="192" t="s">
        <v>71</v>
      </c>
      <c r="B71" s="194"/>
      <c r="C71" s="195"/>
      <c r="D71" s="195"/>
      <c r="E71" s="195"/>
      <c r="F71" s="195"/>
      <c r="G71" s="196">
        <f>G67</f>
        <v>0.1</v>
      </c>
      <c r="H71" s="196">
        <f aca="true" t="shared" si="33" ref="H71:W71">H67</f>
        <v>0.2</v>
      </c>
      <c r="I71" s="196">
        <f t="shared" si="33"/>
        <v>0.33</v>
      </c>
      <c r="J71" s="196">
        <f t="shared" si="33"/>
        <v>0.5</v>
      </c>
      <c r="K71" s="196">
        <f t="shared" si="33"/>
        <v>0.75</v>
      </c>
      <c r="L71" s="196">
        <f t="shared" si="33"/>
        <v>1</v>
      </c>
      <c r="M71" s="196">
        <f t="shared" si="33"/>
        <v>1</v>
      </c>
      <c r="N71" s="196">
        <f t="shared" si="33"/>
        <v>1</v>
      </c>
      <c r="O71" s="196">
        <f t="shared" si="33"/>
        <v>1</v>
      </c>
      <c r="P71" s="196">
        <f t="shared" si="33"/>
        <v>1</v>
      </c>
      <c r="Q71" s="196">
        <f t="shared" si="33"/>
        <v>1</v>
      </c>
      <c r="R71" s="196">
        <f t="shared" si="33"/>
        <v>1</v>
      </c>
      <c r="S71" s="196">
        <f t="shared" si="33"/>
        <v>1</v>
      </c>
      <c r="T71" s="196">
        <f t="shared" si="33"/>
        <v>1</v>
      </c>
      <c r="U71" s="196">
        <f t="shared" si="33"/>
        <v>1</v>
      </c>
      <c r="V71" s="196">
        <f t="shared" si="33"/>
        <v>1</v>
      </c>
      <c r="W71" s="196">
        <f t="shared" si="33"/>
        <v>1</v>
      </c>
    </row>
    <row r="72" spans="1:23" ht="15" hidden="1" outlineLevel="1">
      <c r="A72" s="192" t="s">
        <v>72</v>
      </c>
      <c r="B72" s="194"/>
      <c r="C72" s="195"/>
      <c r="D72" s="195"/>
      <c r="E72" s="195"/>
      <c r="F72" s="195"/>
      <c r="G72" s="196">
        <f>1-G71</f>
        <v>0.9</v>
      </c>
      <c r="H72" s="196">
        <f aca="true" t="shared" si="34" ref="H72:W72">1-H71</f>
        <v>0.8</v>
      </c>
      <c r="I72" s="196">
        <f t="shared" si="34"/>
        <v>0.6699999999999999</v>
      </c>
      <c r="J72" s="196">
        <f t="shared" si="34"/>
        <v>0.5</v>
      </c>
      <c r="K72" s="196">
        <f t="shared" si="34"/>
        <v>0.25</v>
      </c>
      <c r="L72" s="196">
        <f t="shared" si="34"/>
        <v>0</v>
      </c>
      <c r="M72" s="196">
        <f t="shared" si="34"/>
        <v>0</v>
      </c>
      <c r="N72" s="196">
        <f t="shared" si="34"/>
        <v>0</v>
      </c>
      <c r="O72" s="196">
        <f t="shared" si="34"/>
        <v>0</v>
      </c>
      <c r="P72" s="196">
        <f t="shared" si="34"/>
        <v>0</v>
      </c>
      <c r="Q72" s="196">
        <f t="shared" si="34"/>
        <v>0</v>
      </c>
      <c r="R72" s="196">
        <f t="shared" si="34"/>
        <v>0</v>
      </c>
      <c r="S72" s="196">
        <f t="shared" si="34"/>
        <v>0</v>
      </c>
      <c r="T72" s="196">
        <f t="shared" si="34"/>
        <v>0</v>
      </c>
      <c r="U72" s="196">
        <f t="shared" si="34"/>
        <v>0</v>
      </c>
      <c r="V72" s="196">
        <f t="shared" si="34"/>
        <v>0</v>
      </c>
      <c r="W72" s="196">
        <f t="shared" si="34"/>
        <v>0</v>
      </c>
    </row>
    <row r="73" spans="1:23" ht="15" hidden="1" outlineLevel="1">
      <c r="A73" s="192" t="s">
        <v>77</v>
      </c>
      <c r="B73" s="193"/>
      <c r="C73" s="193"/>
      <c r="D73" s="193"/>
      <c r="E73" s="193"/>
      <c r="F73" s="193"/>
      <c r="G73" s="193">
        <f aca="true" t="shared" si="35" ref="G73:W73">AgArea*(G71*Ag_VA_Low+G72*Ag_VA_High)</f>
        <v>33684650</v>
      </c>
      <c r="H73" s="193">
        <f t="shared" si="35"/>
        <v>30580800.000000004</v>
      </c>
      <c r="I73" s="193">
        <f t="shared" si="35"/>
        <v>26545795</v>
      </c>
      <c r="J73" s="193">
        <f t="shared" si="35"/>
        <v>21269250</v>
      </c>
      <c r="K73" s="193">
        <f t="shared" si="35"/>
        <v>13509625</v>
      </c>
      <c r="L73" s="193">
        <f t="shared" si="35"/>
        <v>5750000</v>
      </c>
      <c r="M73" s="193">
        <f t="shared" si="35"/>
        <v>5750000</v>
      </c>
      <c r="N73" s="193">
        <f t="shared" si="35"/>
        <v>5750000</v>
      </c>
      <c r="O73" s="193">
        <f t="shared" si="35"/>
        <v>5750000</v>
      </c>
      <c r="P73" s="193">
        <f t="shared" si="35"/>
        <v>5750000</v>
      </c>
      <c r="Q73" s="193">
        <f t="shared" si="35"/>
        <v>5750000</v>
      </c>
      <c r="R73" s="193">
        <f t="shared" si="35"/>
        <v>5750000</v>
      </c>
      <c r="S73" s="193">
        <f t="shared" si="35"/>
        <v>5750000</v>
      </c>
      <c r="T73" s="193">
        <f t="shared" si="35"/>
        <v>5750000</v>
      </c>
      <c r="U73" s="193">
        <f t="shared" si="35"/>
        <v>5750000</v>
      </c>
      <c r="V73" s="193">
        <f t="shared" si="35"/>
        <v>5750000</v>
      </c>
      <c r="W73" s="193">
        <f t="shared" si="35"/>
        <v>5750000</v>
      </c>
    </row>
    <row r="74" spans="1:23" ht="15" hidden="1" outlineLevel="1">
      <c r="A74" s="192"/>
      <c r="B74" s="194"/>
      <c r="C74" s="195"/>
      <c r="D74" s="195"/>
      <c r="E74" s="195"/>
      <c r="F74" s="195"/>
      <c r="G74" s="193"/>
      <c r="H74" s="193"/>
      <c r="I74" s="193"/>
      <c r="J74" s="193"/>
      <c r="K74" s="193"/>
      <c r="L74" s="193"/>
      <c r="M74" s="193"/>
      <c r="N74" s="193"/>
      <c r="O74" s="193"/>
      <c r="P74" s="193"/>
      <c r="Q74" s="193"/>
      <c r="R74" s="193"/>
      <c r="S74" s="193"/>
      <c r="T74" s="193"/>
      <c r="U74" s="193"/>
      <c r="V74" s="193"/>
      <c r="W74" s="193"/>
    </row>
    <row r="75" spans="1:23" ht="15" hidden="1" outlineLevel="1">
      <c r="A75" s="192" t="s">
        <v>76</v>
      </c>
      <c r="B75" s="193"/>
      <c r="C75" s="193"/>
      <c r="D75" s="193">
        <f>D65+D60+D69+D73</f>
        <v>1630199.1064935038</v>
      </c>
      <c r="E75" s="193">
        <f>E65+E60+E69+E73</f>
        <v>3260398.2129870076</v>
      </c>
      <c r="F75" s="193">
        <f>F65+F60+F69+F73</f>
        <v>4890597.319480512</v>
      </c>
      <c r="G75" s="193">
        <f>G65+G60+G69+G73</f>
        <v>40823975.53884671</v>
      </c>
      <c r="H75" s="193">
        <f aca="true" t="shared" si="36" ref="H75:W75">H65+H60+H69+H73</f>
        <v>36276035.08253863</v>
      </c>
      <c r="I75" s="193">
        <f t="shared" si="36"/>
        <v>31175036.94494045</v>
      </c>
      <c r="J75" s="193">
        <f t="shared" si="36"/>
        <v>24971310.245103214</v>
      </c>
      <c r="K75" s="193">
        <f t="shared" si="36"/>
        <v>16129732.508336492</v>
      </c>
      <c r="L75" s="193">
        <f t="shared" si="36"/>
        <v>6460648.125494863</v>
      </c>
      <c r="M75" s="193">
        <f t="shared" si="36"/>
        <v>6532160.67714259</v>
      </c>
      <c r="N75" s="193">
        <f t="shared" si="36"/>
        <v>6605818.221699408</v>
      </c>
      <c r="O75" s="193">
        <f t="shared" si="36"/>
        <v>6681685.508915317</v>
      </c>
      <c r="P75" s="193">
        <f t="shared" si="36"/>
        <v>6759829.769028954</v>
      </c>
      <c r="Q75" s="193">
        <f t="shared" si="36"/>
        <v>6840318.052347135</v>
      </c>
      <c r="R75" s="193">
        <f t="shared" si="36"/>
        <v>6923221.084926682</v>
      </c>
      <c r="S75" s="193">
        <f t="shared" si="36"/>
        <v>7008610.698119862</v>
      </c>
      <c r="T75" s="193">
        <f t="shared" si="36"/>
        <v>7096562.309063044</v>
      </c>
      <c r="U75" s="193">
        <f t="shared" si="36"/>
        <v>7187152.440188045</v>
      </c>
      <c r="V75" s="193">
        <f t="shared" si="36"/>
        <v>7280460.0044494085</v>
      </c>
      <c r="W75" s="193">
        <f t="shared" si="36"/>
        <v>7408295.146376966</v>
      </c>
    </row>
    <row r="76" spans="1:23" ht="15" hidden="1" outlineLevel="1">
      <c r="A76" s="192"/>
      <c r="B76" s="194"/>
      <c r="C76" s="195"/>
      <c r="D76" s="193">
        <v>1120487.0858468674</v>
      </c>
      <c r="E76" s="193">
        <v>2266758.1168210343</v>
      </c>
      <c r="F76" s="193">
        <v>3439382.467693723</v>
      </c>
      <c r="G76" s="193">
        <v>38851972.56137873</v>
      </c>
      <c r="H76" s="193">
        <v>34671238.34330282</v>
      </c>
      <c r="I76" s="193">
        <v>29864735.90689279</v>
      </c>
      <c r="J76" s="193">
        <v>23935298.865592174</v>
      </c>
      <c r="K76" s="193">
        <v>15422129.844546637</v>
      </c>
      <c r="L76" s="193">
        <v>6245630.229806818</v>
      </c>
      <c r="M76" s="193">
        <v>6304723.398977273</v>
      </c>
      <c r="N76" s="193">
        <v>6365175.400386363</v>
      </c>
      <c r="O76" s="193">
        <v>6427019.071590909</v>
      </c>
      <c r="P76" s="193">
        <v>6490284.589727273</v>
      </c>
      <c r="Q76" s="193">
        <v>6555004.612420455</v>
      </c>
      <c r="R76" s="193">
        <v>6621212.992556818</v>
      </c>
      <c r="S76" s="193">
        <v>6688943.583022728</v>
      </c>
      <c r="T76" s="193">
        <v>6758232.537261363</v>
      </c>
      <c r="U76" s="193">
        <v>6829116.098681818</v>
      </c>
      <c r="V76" s="193">
        <v>6901629.1355</v>
      </c>
      <c r="W76" s="193">
        <v>7007535.591661932</v>
      </c>
    </row>
    <row r="77" spans="1:23" ht="15" hidden="1" outlineLevel="1">
      <c r="A77" s="192" t="s">
        <v>84</v>
      </c>
      <c r="B77" s="193"/>
      <c r="C77" s="193"/>
      <c r="D77" s="193"/>
      <c r="E77" s="193"/>
      <c r="F77" s="193"/>
      <c r="G77" s="193">
        <f aca="true" t="shared" si="37" ref="G77:W77">G49*OM_current*1.25</f>
        <v>9175760.751480002</v>
      </c>
      <c r="H77" s="193">
        <f t="shared" si="37"/>
        <v>9357958.80596</v>
      </c>
      <c r="I77" s="193">
        <f t="shared" si="37"/>
        <v>9545622.41716</v>
      </c>
      <c r="J77" s="193">
        <f t="shared" si="37"/>
        <v>9738915.11676</v>
      </c>
      <c r="K77" s="193">
        <f t="shared" si="37"/>
        <v>9938007.497000001</v>
      </c>
      <c r="L77" s="193">
        <f t="shared" si="37"/>
        <v>10143073.41468</v>
      </c>
      <c r="M77" s="193">
        <f t="shared" si="37"/>
        <v>10354290.256880002</v>
      </c>
      <c r="N77" s="193">
        <f t="shared" si="37"/>
        <v>10571842.471239999</v>
      </c>
      <c r="O77" s="193">
        <f t="shared" si="37"/>
        <v>10795921.30024</v>
      </c>
      <c r="P77" s="193">
        <f t="shared" si="37"/>
        <v>11026725.312640004</v>
      </c>
      <c r="Q77" s="193">
        <f t="shared" si="37"/>
        <v>11264452.545759998</v>
      </c>
      <c r="R77" s="193">
        <f t="shared" si="37"/>
        <v>11509311.893480001</v>
      </c>
      <c r="S77" s="193">
        <f t="shared" si="37"/>
        <v>11761515.51424</v>
      </c>
      <c r="T77" s="193">
        <f t="shared" si="37"/>
        <v>12021286.15732</v>
      </c>
      <c r="U77" s="193">
        <f t="shared" si="37"/>
        <v>12288849.836560002</v>
      </c>
      <c r="V77" s="193">
        <f t="shared" si="37"/>
        <v>12564439.62636</v>
      </c>
      <c r="W77" s="193">
        <f t="shared" si="37"/>
        <v>12942008.799575001</v>
      </c>
    </row>
    <row r="78" spans="1:23" ht="15" hidden="1" outlineLevel="1">
      <c r="A78" s="192"/>
      <c r="B78" s="194"/>
      <c r="C78" s="194"/>
      <c r="D78" s="195"/>
      <c r="E78" s="195"/>
      <c r="F78" s="195"/>
      <c r="G78" s="195"/>
      <c r="H78" s="195"/>
      <c r="I78" s="195"/>
      <c r="J78" s="195"/>
      <c r="K78" s="195"/>
      <c r="L78" s="195"/>
      <c r="M78" s="195"/>
      <c r="N78" s="195"/>
      <c r="O78" s="195"/>
      <c r="P78" s="195"/>
      <c r="Q78" s="195"/>
      <c r="R78" s="195"/>
      <c r="S78" s="195"/>
      <c r="T78" s="195"/>
      <c r="U78" s="195"/>
      <c r="V78" s="195"/>
      <c r="W78" s="195"/>
    </row>
    <row r="79" spans="2:23" ht="15" hidden="1" outlineLevel="1">
      <c r="B79" s="20" t="s">
        <v>30</v>
      </c>
      <c r="C79" s="5">
        <v>0</v>
      </c>
      <c r="D79" s="5">
        <v>1</v>
      </c>
      <c r="E79" s="5">
        <v>2</v>
      </c>
      <c r="F79" s="5">
        <v>3</v>
      </c>
      <c r="G79" s="5">
        <v>4</v>
      </c>
      <c r="H79" s="5">
        <v>5</v>
      </c>
      <c r="I79" s="5">
        <v>6</v>
      </c>
      <c r="J79" s="5">
        <v>7</v>
      </c>
      <c r="K79" s="5">
        <v>8</v>
      </c>
      <c r="L79" s="5">
        <v>9</v>
      </c>
      <c r="M79" s="5">
        <v>10</v>
      </c>
      <c r="N79" s="5">
        <v>11</v>
      </c>
      <c r="O79" s="5">
        <v>12</v>
      </c>
      <c r="P79" s="5">
        <v>13</v>
      </c>
      <c r="Q79" s="5">
        <v>14</v>
      </c>
      <c r="R79" s="5">
        <v>15</v>
      </c>
      <c r="S79" s="5">
        <v>16</v>
      </c>
      <c r="T79" s="5">
        <v>17</v>
      </c>
      <c r="U79" s="5">
        <v>18</v>
      </c>
      <c r="V79" s="5">
        <v>19</v>
      </c>
      <c r="W79" s="5">
        <v>20</v>
      </c>
    </row>
    <row r="80" spans="2:23" ht="15" hidden="1" outlineLevel="1">
      <c r="B80" s="20" t="s">
        <v>8</v>
      </c>
      <c r="C80" s="24">
        <v>2010</v>
      </c>
      <c r="D80" s="24">
        <v>2011</v>
      </c>
      <c r="E80" s="24">
        <v>2012</v>
      </c>
      <c r="F80" s="24">
        <v>2013</v>
      </c>
      <c r="G80" s="24">
        <v>2014</v>
      </c>
      <c r="H80" s="24">
        <v>2015</v>
      </c>
      <c r="I80" s="24">
        <v>2016</v>
      </c>
      <c r="J80" s="24">
        <v>2017</v>
      </c>
      <c r="K80" s="24">
        <v>2018</v>
      </c>
      <c r="L80" s="24">
        <v>2019</v>
      </c>
      <c r="M80" s="24">
        <v>2020</v>
      </c>
      <c r="N80" s="24">
        <v>2021</v>
      </c>
      <c r="O80" s="24">
        <v>2022</v>
      </c>
      <c r="P80" s="24">
        <v>2023</v>
      </c>
      <c r="Q80" s="24">
        <v>2024</v>
      </c>
      <c r="R80" s="24">
        <v>2025</v>
      </c>
      <c r="S80" s="24">
        <v>2026</v>
      </c>
      <c r="T80" s="24">
        <v>2027</v>
      </c>
      <c r="U80" s="24">
        <v>2028</v>
      </c>
      <c r="V80" s="24">
        <v>2029</v>
      </c>
      <c r="W80" s="24">
        <v>2030</v>
      </c>
    </row>
    <row r="81" spans="1:23" ht="15" hidden="1" outlineLevel="1">
      <c r="A81" s="7" t="s">
        <v>92</v>
      </c>
      <c r="B81" s="6"/>
      <c r="C81" s="1"/>
      <c r="D81" s="3"/>
      <c r="E81" s="3"/>
      <c r="F81" s="3"/>
      <c r="G81" s="3"/>
      <c r="H81" s="3"/>
      <c r="I81" s="3"/>
      <c r="J81" s="3"/>
      <c r="K81" s="3"/>
      <c r="L81" s="3"/>
      <c r="M81" s="3"/>
      <c r="N81" s="3"/>
      <c r="O81" s="3"/>
      <c r="P81" s="3"/>
      <c r="Q81" s="3"/>
      <c r="R81" s="3"/>
      <c r="S81" s="3"/>
      <c r="T81" s="3"/>
      <c r="U81" s="3"/>
      <c r="V81" s="3"/>
      <c r="W81" s="3"/>
    </row>
    <row r="82" spans="1:23" ht="15" hidden="1" outlineLevel="1">
      <c r="A82" t="s">
        <v>94</v>
      </c>
      <c r="B82" s="6"/>
      <c r="C82" s="1">
        <f>C49+C45</f>
        <v>80441292.5</v>
      </c>
      <c r="D82" s="1">
        <f aca="true" t="shared" si="38" ref="D82:W82">D49+D45</f>
        <v>83902058.6078</v>
      </c>
      <c r="E82" s="1">
        <f t="shared" si="38"/>
        <v>86419123.64315002</v>
      </c>
      <c r="F82" s="1">
        <f t="shared" si="38"/>
        <v>89011698.91855</v>
      </c>
      <c r="G82" s="1">
        <f t="shared" si="38"/>
        <v>100527490.75850001</v>
      </c>
      <c r="H82" s="1">
        <f t="shared" si="38"/>
        <v>104595074.38312499</v>
      </c>
      <c r="I82" s="1">
        <f t="shared" si="38"/>
        <v>108816227.73910001</v>
      </c>
      <c r="J82" s="1">
        <f t="shared" si="38"/>
        <v>112080723.3531</v>
      </c>
      <c r="K82" s="1">
        <f t="shared" si="38"/>
        <v>115443143.57975</v>
      </c>
      <c r="L82" s="1">
        <f t="shared" si="38"/>
        <v>119312368.4088</v>
      </c>
      <c r="M82" s="1">
        <f t="shared" si="38"/>
        <v>122891755.5453</v>
      </c>
      <c r="N82" s="1">
        <f t="shared" si="38"/>
        <v>126578506.4244</v>
      </c>
      <c r="O82" s="1">
        <f t="shared" si="38"/>
        <v>130375858.56689999</v>
      </c>
      <c r="P82" s="1">
        <f t="shared" si="38"/>
        <v>134287141.51740003</v>
      </c>
      <c r="Q82" s="1">
        <f t="shared" si="38"/>
        <v>139256903.34535</v>
      </c>
      <c r="R82" s="1">
        <f t="shared" si="38"/>
        <v>143434609.91730002</v>
      </c>
      <c r="S82" s="1">
        <f t="shared" si="38"/>
        <v>147737648.8059</v>
      </c>
      <c r="T82" s="1">
        <f t="shared" si="38"/>
        <v>152169777.3467</v>
      </c>
      <c r="U82" s="1">
        <f t="shared" si="38"/>
        <v>156734881.55234998</v>
      </c>
      <c r="V82" s="1">
        <f t="shared" si="38"/>
        <v>161982442.38735002</v>
      </c>
      <c r="W82" s="1">
        <f t="shared" si="38"/>
        <v>168538023.19375002</v>
      </c>
    </row>
    <row r="83" spans="1:23" ht="17.25" hidden="1" outlineLevel="1">
      <c r="A83" t="s">
        <v>95</v>
      </c>
      <c r="B83" s="6"/>
      <c r="C83" s="3">
        <f aca="true" t="shared" si="39" ref="C83:W83">C82/365</f>
        <v>220387.10273972602</v>
      </c>
      <c r="D83" s="3">
        <f t="shared" si="39"/>
        <v>229868.65372000003</v>
      </c>
      <c r="E83" s="3">
        <f t="shared" si="39"/>
        <v>236764.72231000004</v>
      </c>
      <c r="F83" s="3">
        <f t="shared" si="39"/>
        <v>243867.66827</v>
      </c>
      <c r="G83" s="3">
        <f t="shared" si="39"/>
        <v>275417.78290000005</v>
      </c>
      <c r="H83" s="3">
        <f t="shared" si="39"/>
        <v>286561.847625</v>
      </c>
      <c r="I83" s="3">
        <f t="shared" si="39"/>
        <v>298126.65134000004</v>
      </c>
      <c r="J83" s="3">
        <f t="shared" si="39"/>
        <v>307070.47494</v>
      </c>
      <c r="K83" s="3">
        <f t="shared" si="39"/>
        <v>316282.58515</v>
      </c>
      <c r="L83" s="3">
        <f t="shared" si="39"/>
        <v>326883.20112000004</v>
      </c>
      <c r="M83" s="3">
        <f t="shared" si="39"/>
        <v>336689.74122</v>
      </c>
      <c r="N83" s="3">
        <f t="shared" si="39"/>
        <v>346790.42856000003</v>
      </c>
      <c r="O83" s="3">
        <f t="shared" si="39"/>
        <v>357194.13305999996</v>
      </c>
      <c r="P83" s="3">
        <f t="shared" si="39"/>
        <v>367909.97676000005</v>
      </c>
      <c r="Q83" s="3">
        <f t="shared" si="39"/>
        <v>381525.76259</v>
      </c>
      <c r="R83" s="3">
        <f t="shared" si="39"/>
        <v>392971.53402</v>
      </c>
      <c r="S83" s="3">
        <f t="shared" si="39"/>
        <v>404760.68166</v>
      </c>
      <c r="T83" s="3">
        <f t="shared" si="39"/>
        <v>416903.49958000006</v>
      </c>
      <c r="U83" s="3">
        <f t="shared" si="39"/>
        <v>429410.63438999996</v>
      </c>
      <c r="V83" s="3">
        <f t="shared" si="39"/>
        <v>443787.51339000004</v>
      </c>
      <c r="W83" s="3">
        <f t="shared" si="39"/>
        <v>461748.00875000004</v>
      </c>
    </row>
    <row r="84" spans="1:23" ht="15" hidden="1" outlineLevel="1">
      <c r="A84" t="s">
        <v>70</v>
      </c>
      <c r="B84" s="6"/>
      <c r="C84" s="3">
        <v>0</v>
      </c>
      <c r="D84" s="1">
        <f>(D82-$C82)*0.95</f>
        <v>3287727.8024100065</v>
      </c>
      <c r="E84" s="1">
        <f aca="true" t="shared" si="40" ref="E84:W84">(E82-$C82)*0.95</f>
        <v>5678939.585992516</v>
      </c>
      <c r="F84" s="1">
        <f t="shared" si="40"/>
        <v>8141886.097622499</v>
      </c>
      <c r="G84" s="1">
        <f t="shared" si="40"/>
        <v>19081888.34557501</v>
      </c>
      <c r="H84" s="1">
        <f t="shared" si="40"/>
        <v>22946092.788968742</v>
      </c>
      <c r="I84" s="1">
        <f t="shared" si="40"/>
        <v>26956188.47714501</v>
      </c>
      <c r="J84" s="1">
        <f t="shared" si="40"/>
        <v>30057459.310445</v>
      </c>
      <c r="K84" s="1">
        <f t="shared" si="40"/>
        <v>33251758.5257625</v>
      </c>
      <c r="L84" s="1">
        <f t="shared" si="40"/>
        <v>36927522.11336</v>
      </c>
      <c r="M84" s="1">
        <f t="shared" si="40"/>
        <v>40327939.893035</v>
      </c>
      <c r="N84" s="1">
        <f t="shared" si="40"/>
        <v>43830353.22818</v>
      </c>
      <c r="O84" s="1">
        <f t="shared" si="40"/>
        <v>47437837.76355498</v>
      </c>
      <c r="P84" s="1">
        <f t="shared" si="40"/>
        <v>51153556.56653002</v>
      </c>
      <c r="Q84" s="1">
        <f t="shared" si="40"/>
        <v>55874830.303082496</v>
      </c>
      <c r="R84" s="1">
        <f t="shared" si="40"/>
        <v>59843651.54643501</v>
      </c>
      <c r="S84" s="1">
        <f t="shared" si="40"/>
        <v>63931538.490605004</v>
      </c>
      <c r="T84" s="1">
        <f t="shared" si="40"/>
        <v>68142060.604365</v>
      </c>
      <c r="U84" s="1">
        <f t="shared" si="40"/>
        <v>72478909.59973249</v>
      </c>
      <c r="V84" s="1">
        <f t="shared" si="40"/>
        <v>77464092.39298251</v>
      </c>
      <c r="W84" s="1">
        <f t="shared" si="40"/>
        <v>83691894.15906252</v>
      </c>
    </row>
    <row r="85" spans="1:23" ht="15" hidden="1" outlineLevel="1">
      <c r="A85" t="s">
        <v>116</v>
      </c>
      <c r="B85" s="6"/>
      <c r="C85" s="3"/>
      <c r="D85" s="1">
        <f>IF(D84&gt;D79*Agriculture!$B$12,D79*Agriculture!$B$12,'Combined Cost-Benefit'!D84)</f>
        <v>1783030.27272727</v>
      </c>
      <c r="E85" s="1">
        <f>IF(E84&gt;E79*Agriculture!$B$12,E79*Agriculture!$B$12,'Combined Cost-Benefit'!E84)</f>
        <v>3566060.54545454</v>
      </c>
      <c r="F85" s="1">
        <f>IF(F84&gt;F79*Agriculture!$B$12,F79*Agriculture!$B$12,'Combined Cost-Benefit'!F84)</f>
        <v>5349090.81818181</v>
      </c>
      <c r="G85" s="1">
        <f>IF(G84&gt;G79*Agriculture!$B$12,G79*Agriculture!$B$12,'Combined Cost-Benefit'!G84)</f>
        <v>7132121.09090908</v>
      </c>
      <c r="H85" s="1">
        <f>G85</f>
        <v>7132121.09090908</v>
      </c>
      <c r="I85" s="1">
        <f aca="true" t="shared" si="41" ref="I85:W85">H85</f>
        <v>7132121.09090908</v>
      </c>
      <c r="J85" s="1">
        <f t="shared" si="41"/>
        <v>7132121.09090908</v>
      </c>
      <c r="K85" s="1">
        <f t="shared" si="41"/>
        <v>7132121.09090908</v>
      </c>
      <c r="L85" s="1">
        <f t="shared" si="41"/>
        <v>7132121.09090908</v>
      </c>
      <c r="M85" s="1">
        <f t="shared" si="41"/>
        <v>7132121.09090908</v>
      </c>
      <c r="N85" s="1">
        <f t="shared" si="41"/>
        <v>7132121.09090908</v>
      </c>
      <c r="O85" s="1">
        <f t="shared" si="41"/>
        <v>7132121.09090908</v>
      </c>
      <c r="P85" s="1">
        <f t="shared" si="41"/>
        <v>7132121.09090908</v>
      </c>
      <c r="Q85" s="1">
        <f t="shared" si="41"/>
        <v>7132121.09090908</v>
      </c>
      <c r="R85" s="1">
        <f t="shared" si="41"/>
        <v>7132121.09090908</v>
      </c>
      <c r="S85" s="1">
        <f t="shared" si="41"/>
        <v>7132121.09090908</v>
      </c>
      <c r="T85" s="1">
        <f t="shared" si="41"/>
        <v>7132121.09090908</v>
      </c>
      <c r="U85" s="1">
        <f t="shared" si="41"/>
        <v>7132121.09090908</v>
      </c>
      <c r="V85" s="1">
        <f t="shared" si="41"/>
        <v>7132121.09090908</v>
      </c>
      <c r="W85" s="1">
        <f t="shared" si="41"/>
        <v>7132121.09090908</v>
      </c>
    </row>
    <row r="86" spans="1:23" ht="15" hidden="1" outlineLevel="1">
      <c r="A86" t="s">
        <v>117</v>
      </c>
      <c r="B86" s="6"/>
      <c r="C86" s="3"/>
      <c r="D86" s="3">
        <f>D85/Agriculture!$B$12*Agriculture!$B$13</f>
        <v>254.71861038960998</v>
      </c>
      <c r="E86" s="3">
        <f>E85/Agriculture!$B$12*Agriculture!$B$13</f>
        <v>509.43722077921996</v>
      </c>
      <c r="F86" s="3">
        <f>F85/Agriculture!$B$12*Agriculture!$B$13</f>
        <v>764.15583116883</v>
      </c>
      <c r="G86" s="3">
        <f>G85/Agriculture!$B$12*Agriculture!$B$13</f>
        <v>1018.8744415584399</v>
      </c>
      <c r="H86" s="3">
        <f>H85/Agriculture!$B$12*Agriculture!$B$13</f>
        <v>1018.8744415584399</v>
      </c>
      <c r="I86" s="3">
        <f>I85/Agriculture!$B$12*Agriculture!$B$13</f>
        <v>1018.8744415584399</v>
      </c>
      <c r="J86" s="3">
        <f>J85/Agriculture!$B$12*Agriculture!$B$13</f>
        <v>1018.8744415584399</v>
      </c>
      <c r="K86" s="3">
        <f>K85/Agriculture!$B$12*Agriculture!$B$13</f>
        <v>1018.8744415584399</v>
      </c>
      <c r="L86" s="3">
        <f>L85/Agriculture!$B$12*Agriculture!$B$13</f>
        <v>1018.8744415584399</v>
      </c>
      <c r="M86" s="3">
        <f>M85/Agriculture!$B$12*Agriculture!$B$13</f>
        <v>1018.8744415584399</v>
      </c>
      <c r="N86" s="3">
        <f>N85/Agriculture!$B$12*Agriculture!$B$13</f>
        <v>1018.8744415584399</v>
      </c>
      <c r="O86" s="3">
        <f>O85/Agriculture!$B$12*Agriculture!$B$13</f>
        <v>1018.8744415584399</v>
      </c>
      <c r="P86" s="3">
        <f>P85/Agriculture!$B$12*Agriculture!$B$13</f>
        <v>1018.8744415584399</v>
      </c>
      <c r="Q86" s="3">
        <f>Q85/Agriculture!$B$12*Agriculture!$B$13</f>
        <v>1018.8744415584399</v>
      </c>
      <c r="R86" s="3">
        <f>R85/Agriculture!$B$12*Agriculture!$B$13</f>
        <v>1018.8744415584399</v>
      </c>
      <c r="S86" s="3">
        <f>S85/Agriculture!$B$12*Agriculture!$B$13</f>
        <v>1018.8744415584399</v>
      </c>
      <c r="T86" s="3">
        <f>T85/Agriculture!$B$12*Agriculture!$B$13</f>
        <v>1018.8744415584399</v>
      </c>
      <c r="U86" s="3">
        <f>U85/Agriculture!$B$12*Agriculture!$B$13</f>
        <v>1018.8744415584399</v>
      </c>
      <c r="V86" s="3">
        <f>V85/Agriculture!$B$12*Agriculture!$B$13</f>
        <v>1018.8744415584399</v>
      </c>
      <c r="W86" s="3">
        <f>W85/Agriculture!$B$12*Agriculture!$B$13</f>
        <v>1018.8744415584399</v>
      </c>
    </row>
    <row r="87" spans="1:23" ht="15" hidden="1" outlineLevel="1">
      <c r="A87" t="s">
        <v>118</v>
      </c>
      <c r="B87" s="6"/>
      <c r="C87" s="3"/>
      <c r="D87" s="1">
        <f aca="true" t="shared" si="42" ref="D87:W87">D86*VA_ha_citrus</f>
        <v>1630199.1064935038</v>
      </c>
      <c r="E87" s="1">
        <f t="shared" si="42"/>
        <v>3260398.2129870076</v>
      </c>
      <c r="F87" s="1">
        <f t="shared" si="42"/>
        <v>4890597.319480512</v>
      </c>
      <c r="G87" s="1">
        <f t="shared" si="42"/>
        <v>6520796.425974015</v>
      </c>
      <c r="H87" s="1">
        <f t="shared" si="42"/>
        <v>6520796.425974015</v>
      </c>
      <c r="I87" s="1">
        <f t="shared" si="42"/>
        <v>6520796.425974015</v>
      </c>
      <c r="J87" s="1">
        <f t="shared" si="42"/>
        <v>6520796.425974015</v>
      </c>
      <c r="K87" s="1">
        <f t="shared" si="42"/>
        <v>6520796.425974015</v>
      </c>
      <c r="L87" s="1">
        <f t="shared" si="42"/>
        <v>6520796.425974015</v>
      </c>
      <c r="M87" s="1">
        <f t="shared" si="42"/>
        <v>6520796.425974015</v>
      </c>
      <c r="N87" s="1">
        <f t="shared" si="42"/>
        <v>6520796.425974015</v>
      </c>
      <c r="O87" s="1">
        <f t="shared" si="42"/>
        <v>6520796.425974015</v>
      </c>
      <c r="P87" s="1">
        <f t="shared" si="42"/>
        <v>6520796.425974015</v>
      </c>
      <c r="Q87" s="1">
        <f t="shared" si="42"/>
        <v>6520796.425974015</v>
      </c>
      <c r="R87" s="1">
        <f t="shared" si="42"/>
        <v>6520796.425974015</v>
      </c>
      <c r="S87" s="1">
        <f t="shared" si="42"/>
        <v>6520796.425974015</v>
      </c>
      <c r="T87" s="1">
        <f t="shared" si="42"/>
        <v>6520796.425974015</v>
      </c>
      <c r="U87" s="1">
        <f t="shared" si="42"/>
        <v>6520796.425974015</v>
      </c>
      <c r="V87" s="1">
        <f t="shared" si="42"/>
        <v>6520796.425974015</v>
      </c>
      <c r="W87" s="1">
        <f t="shared" si="42"/>
        <v>6520796.425974015</v>
      </c>
    </row>
    <row r="88" spans="1:23" ht="15" hidden="1" outlineLevel="1">
      <c r="A88" s="192"/>
      <c r="B88" s="194"/>
      <c r="C88" s="195"/>
      <c r="D88" s="193"/>
      <c r="E88" s="193"/>
      <c r="F88" s="193"/>
      <c r="G88" s="193"/>
      <c r="H88" s="193"/>
      <c r="I88" s="193"/>
      <c r="J88" s="193"/>
      <c r="K88" s="193"/>
      <c r="L88" s="193"/>
      <c r="M88" s="193"/>
      <c r="N88" s="193"/>
      <c r="O88" s="193"/>
      <c r="P88" s="193"/>
      <c r="Q88" s="193"/>
      <c r="R88" s="193"/>
      <c r="S88" s="193"/>
      <c r="T88" s="193"/>
      <c r="U88" s="193"/>
      <c r="V88" s="193"/>
      <c r="W88" s="193"/>
    </row>
    <row r="89" spans="1:23" ht="15" hidden="1" outlineLevel="1">
      <c r="A89" s="192" t="s">
        <v>93</v>
      </c>
      <c r="B89" s="194"/>
      <c r="C89" s="195"/>
      <c r="D89" s="195"/>
      <c r="E89" s="195"/>
      <c r="F89" s="193"/>
      <c r="G89" s="193">
        <f>G175</f>
        <v>5000000</v>
      </c>
      <c r="H89" s="193">
        <f aca="true" t="shared" si="43" ref="H89:W89">H175</f>
        <v>6000000</v>
      </c>
      <c r="I89" s="193">
        <f t="shared" si="43"/>
        <v>7000000</v>
      </c>
      <c r="J89" s="193">
        <f t="shared" si="43"/>
        <v>8000000</v>
      </c>
      <c r="K89" s="193">
        <f t="shared" si="43"/>
        <v>9000000</v>
      </c>
      <c r="L89" s="193">
        <f t="shared" si="43"/>
        <v>10000000</v>
      </c>
      <c r="M89" s="193">
        <f t="shared" si="43"/>
        <v>10000000</v>
      </c>
      <c r="N89" s="193">
        <f t="shared" si="43"/>
        <v>10000000</v>
      </c>
      <c r="O89" s="193">
        <f t="shared" si="43"/>
        <v>10000000</v>
      </c>
      <c r="P89" s="193">
        <f t="shared" si="43"/>
        <v>10000000</v>
      </c>
      <c r="Q89" s="193">
        <f t="shared" si="43"/>
        <v>10000000</v>
      </c>
      <c r="R89" s="193">
        <f t="shared" si="43"/>
        <v>10000000</v>
      </c>
      <c r="S89" s="193">
        <f t="shared" si="43"/>
        <v>10000000</v>
      </c>
      <c r="T89" s="193">
        <f t="shared" si="43"/>
        <v>10000000</v>
      </c>
      <c r="U89" s="193">
        <f t="shared" si="43"/>
        <v>10000000</v>
      </c>
      <c r="V89" s="193">
        <f t="shared" si="43"/>
        <v>10000000</v>
      </c>
      <c r="W89" s="193">
        <f t="shared" si="43"/>
        <v>10000000</v>
      </c>
    </row>
    <row r="90" spans="1:23" ht="15" hidden="1" outlineLevel="1">
      <c r="A90" s="192" t="s">
        <v>96</v>
      </c>
      <c r="B90" s="194"/>
      <c r="C90" s="193">
        <f aca="true" t="shared" si="44" ref="C90:W90">C89*(Water_Sub_Value-0.6)</f>
        <v>0</v>
      </c>
      <c r="D90" s="193">
        <f t="shared" si="44"/>
        <v>0</v>
      </c>
      <c r="E90" s="193">
        <f t="shared" si="44"/>
        <v>0</v>
      </c>
      <c r="F90" s="193">
        <f t="shared" si="44"/>
        <v>0</v>
      </c>
      <c r="G90" s="193">
        <f t="shared" si="44"/>
        <v>8750000</v>
      </c>
      <c r="H90" s="193">
        <f t="shared" si="44"/>
        <v>10500000</v>
      </c>
      <c r="I90" s="193">
        <f t="shared" si="44"/>
        <v>12250000</v>
      </c>
      <c r="J90" s="193">
        <f t="shared" si="44"/>
        <v>14000000</v>
      </c>
      <c r="K90" s="193">
        <f t="shared" si="44"/>
        <v>15750000</v>
      </c>
      <c r="L90" s="193">
        <f t="shared" si="44"/>
        <v>17500000</v>
      </c>
      <c r="M90" s="193">
        <f t="shared" si="44"/>
        <v>17500000</v>
      </c>
      <c r="N90" s="193">
        <f t="shared" si="44"/>
        <v>17500000</v>
      </c>
      <c r="O90" s="193">
        <f t="shared" si="44"/>
        <v>17500000</v>
      </c>
      <c r="P90" s="193">
        <f t="shared" si="44"/>
        <v>17500000</v>
      </c>
      <c r="Q90" s="193">
        <f t="shared" si="44"/>
        <v>17500000</v>
      </c>
      <c r="R90" s="193">
        <f t="shared" si="44"/>
        <v>17500000</v>
      </c>
      <c r="S90" s="193">
        <f t="shared" si="44"/>
        <v>17500000</v>
      </c>
      <c r="T90" s="193">
        <f t="shared" si="44"/>
        <v>17500000</v>
      </c>
      <c r="U90" s="193">
        <f t="shared" si="44"/>
        <v>17500000</v>
      </c>
      <c r="V90" s="193">
        <f t="shared" si="44"/>
        <v>17500000</v>
      </c>
      <c r="W90" s="193">
        <f t="shared" si="44"/>
        <v>17500000</v>
      </c>
    </row>
    <row r="91" spans="1:23" ht="15" hidden="1" outlineLevel="1">
      <c r="A91" s="192"/>
      <c r="B91" s="192"/>
      <c r="C91" s="192"/>
      <c r="D91" s="192"/>
      <c r="E91" s="192"/>
      <c r="F91" s="192"/>
      <c r="G91" s="192"/>
      <c r="H91" s="192"/>
      <c r="I91" s="192"/>
      <c r="J91" s="192"/>
      <c r="K91" s="192"/>
      <c r="L91" s="192"/>
      <c r="M91" s="192"/>
      <c r="N91" s="192"/>
      <c r="O91" s="192"/>
      <c r="P91" s="192"/>
      <c r="Q91" s="192"/>
      <c r="R91" s="192"/>
      <c r="S91" s="192"/>
      <c r="T91" s="192"/>
      <c r="U91" s="192"/>
      <c r="V91" s="192"/>
      <c r="W91" s="192"/>
    </row>
    <row r="92" spans="1:23" ht="15" hidden="1" outlineLevel="1">
      <c r="A92" s="192" t="s">
        <v>124</v>
      </c>
      <c r="B92" s="192"/>
      <c r="C92" s="192"/>
      <c r="D92" s="192"/>
      <c r="E92" s="192"/>
      <c r="F92" s="192"/>
      <c r="G92" s="193">
        <f>IF(G84-G85-G89&lt;Agriculture!$B$26,G84-G85-G89,Agriculture!$B$26)</f>
        <v>6949767.25466593</v>
      </c>
      <c r="H92" s="193">
        <f>IF(H84-H85-H89&lt;Agriculture!$B$26,H84-H85-H89,Agriculture!$B$26)</f>
        <v>9813971.698059663</v>
      </c>
      <c r="I92" s="193">
        <f>IF(I84-I85-I89&lt;Agriculture!$B$26,I84-I85-I89,Agriculture!$B$26)</f>
        <v>12824067.38623593</v>
      </c>
      <c r="J92" s="193">
        <f>IF(J84-J85-J89&lt;Agriculture!$B$26,J84-J85-J89,Agriculture!$B$26)</f>
        <v>14925338.21953592</v>
      </c>
      <c r="K92" s="193">
        <f>IF(K84-K85-K89&lt;Agriculture!$B$26,K84-K85-K89,Agriculture!$B$26)</f>
        <v>17119637.43485342</v>
      </c>
      <c r="L92" s="193">
        <f>IF(L84-L85-L89&lt;Agriculture!$B$26,L84-L85-L89,Agriculture!$B$26)</f>
        <v>19795401.022450924</v>
      </c>
      <c r="M92" s="193">
        <f>IF(M84-M85-M89&lt;Agriculture!$B$26,M84-M85-M89,Agriculture!$B$26)</f>
        <v>23195818.802125923</v>
      </c>
      <c r="N92" s="193">
        <f>IF(N84-N85-N89&lt;Agriculture!$B$26,N84-N85-N89,Agriculture!$B$26)</f>
        <v>26698232.13727092</v>
      </c>
      <c r="O92" s="193">
        <f>IF(O84-O85-O89&lt;Agriculture!$B$26,O84-O85-O89,Agriculture!$B$26)</f>
        <v>28543000</v>
      </c>
      <c r="P92" s="193">
        <f>IF(P84-P85-P89&lt;Agriculture!$B$26,P84-P85-P89,Agriculture!$B$26)</f>
        <v>28543000</v>
      </c>
      <c r="Q92" s="193">
        <f>IF(Q84-Q85-Q89&lt;Agriculture!$B$26,Q84-Q85-Q89,Agriculture!$B$26)</f>
        <v>28543000</v>
      </c>
      <c r="R92" s="193">
        <f>IF(R84-R85-R89&lt;Agriculture!$B$26,R84-R85-R89,Agriculture!$B$26)</f>
        <v>28543000</v>
      </c>
      <c r="S92" s="193">
        <f>IF(S84-S85-S89&lt;Agriculture!$B$26,S84-S85-S89,Agriculture!$B$26)</f>
        <v>28543000</v>
      </c>
      <c r="T92" s="193">
        <f>IF(T84-T85-T89&lt;Agriculture!$B$26,T84-T85-T89,Agriculture!$B$26)</f>
        <v>28543000</v>
      </c>
      <c r="U92" s="193">
        <f>IF(U84-U85-U89&lt;Agriculture!$B$26,U84-U85-U89,Agriculture!$B$26)</f>
        <v>28543000</v>
      </c>
      <c r="V92" s="193">
        <f>IF(V84-V85-V89&lt;Agriculture!$B$26,V84-V85-V89,Agriculture!$B$26)</f>
        <v>28543000</v>
      </c>
      <c r="W92" s="193">
        <f>IF(W84-W85-W89&lt;Agriculture!$B$26,W84-W85-W89,Agriculture!$B$26)</f>
        <v>28543000</v>
      </c>
    </row>
    <row r="93" spans="1:23" ht="15" hidden="1" outlineLevel="1">
      <c r="A93" s="192" t="s">
        <v>75</v>
      </c>
      <c r="B93" s="194"/>
      <c r="C93" s="193"/>
      <c r="D93" s="193"/>
      <c r="E93" s="193"/>
      <c r="F93" s="193"/>
      <c r="G93" s="193">
        <f>G92*Agriculture!$B33*0.75</f>
        <v>1730409.8262512693</v>
      </c>
      <c r="H93" s="193">
        <f>H92*Agriculture!$B33*0.75</f>
        <v>2443562.847298635</v>
      </c>
      <c r="I93" s="193">
        <f>I92*Agriculture!$B33*0.75</f>
        <v>3193041.062310768</v>
      </c>
      <c r="J93" s="193">
        <f>J92*Agriculture!$B33*0.75</f>
        <v>3716232.6404339513</v>
      </c>
      <c r="K93" s="193">
        <f>K92*Agriculture!$B33*0.75</f>
        <v>4262587.185094652</v>
      </c>
      <c r="L93" s="193">
        <f>L92*Agriculture!$B33*0.75</f>
        <v>4928820.662423763</v>
      </c>
      <c r="M93" s="193">
        <f>M92*Agriculture!$B33*0.75</f>
        <v>5775484.460460837</v>
      </c>
      <c r="N93" s="193">
        <f>N92*Agriculture!$B33*0.75</f>
        <v>6647543.945137739</v>
      </c>
      <c r="O93" s="193">
        <f>O92*Agriculture!$B33*0.75</f>
        <v>7106869.318181818</v>
      </c>
      <c r="P93" s="193">
        <f>P92*Agriculture!$B33*0.75</f>
        <v>7106869.318181818</v>
      </c>
      <c r="Q93" s="193">
        <f>Q92*Agriculture!$B33*0.75</f>
        <v>7106869.318181818</v>
      </c>
      <c r="R93" s="193">
        <f>R92*Agriculture!$B33*0.75</f>
        <v>7106869.318181818</v>
      </c>
      <c r="S93" s="193">
        <f>S92*Agriculture!$B33*0.75</f>
        <v>7106869.318181818</v>
      </c>
      <c r="T93" s="193">
        <f>T92*Agriculture!$B33*0.75</f>
        <v>7106869.318181818</v>
      </c>
      <c r="U93" s="193">
        <f>U92*Agriculture!$B33*0.75</f>
        <v>7106869.318181818</v>
      </c>
      <c r="V93" s="193">
        <f>V92*Agriculture!$B33*0.75</f>
        <v>7106869.318181818</v>
      </c>
      <c r="W93" s="193">
        <f>W92*Agriculture!$B33*0.75</f>
        <v>7106869.318181818</v>
      </c>
    </row>
    <row r="94" spans="1:23" ht="15" hidden="1" outlineLevel="1">
      <c r="A94" s="192"/>
      <c r="B94" s="192"/>
      <c r="C94" s="192"/>
      <c r="D94" s="192"/>
      <c r="E94" s="192"/>
      <c r="F94" s="192"/>
      <c r="G94" s="192"/>
      <c r="H94" s="192"/>
      <c r="I94" s="192"/>
      <c r="J94" s="192"/>
      <c r="K94" s="192"/>
      <c r="L94" s="192"/>
      <c r="M94" s="192"/>
      <c r="N94" s="192"/>
      <c r="O94" s="192"/>
      <c r="P94" s="192"/>
      <c r="Q94" s="192"/>
      <c r="R94" s="192"/>
      <c r="S94" s="192"/>
      <c r="T94" s="192"/>
      <c r="U94" s="192"/>
      <c r="V94" s="192"/>
      <c r="W94" s="192"/>
    </row>
    <row r="95" spans="1:23" ht="15" hidden="1" outlineLevel="1">
      <c r="A95" s="192" t="s">
        <v>77</v>
      </c>
      <c r="B95" s="194"/>
      <c r="C95" s="193"/>
      <c r="D95" s="193"/>
      <c r="E95" s="193"/>
      <c r="F95" s="193"/>
      <c r="G95" s="193">
        <f aca="true" t="shared" si="45" ref="G95:W95">AgArea*Ag_VA_High</f>
        <v>36788500</v>
      </c>
      <c r="H95" s="193">
        <f t="shared" si="45"/>
        <v>36788500</v>
      </c>
      <c r="I95" s="193">
        <f t="shared" si="45"/>
        <v>36788500</v>
      </c>
      <c r="J95" s="193">
        <f t="shared" si="45"/>
        <v>36788500</v>
      </c>
      <c r="K95" s="193">
        <f t="shared" si="45"/>
        <v>36788500</v>
      </c>
      <c r="L95" s="193">
        <f t="shared" si="45"/>
        <v>36788500</v>
      </c>
      <c r="M95" s="193">
        <f t="shared" si="45"/>
        <v>36788500</v>
      </c>
      <c r="N95" s="193">
        <f t="shared" si="45"/>
        <v>36788500</v>
      </c>
      <c r="O95" s="193">
        <f t="shared" si="45"/>
        <v>36788500</v>
      </c>
      <c r="P95" s="193">
        <f t="shared" si="45"/>
        <v>36788500</v>
      </c>
      <c r="Q95" s="193">
        <f t="shared" si="45"/>
        <v>36788500</v>
      </c>
      <c r="R95" s="193">
        <f t="shared" si="45"/>
        <v>36788500</v>
      </c>
      <c r="S95" s="193">
        <f t="shared" si="45"/>
        <v>36788500</v>
      </c>
      <c r="T95" s="193">
        <f t="shared" si="45"/>
        <v>36788500</v>
      </c>
      <c r="U95" s="193">
        <f t="shared" si="45"/>
        <v>36788500</v>
      </c>
      <c r="V95" s="193">
        <f t="shared" si="45"/>
        <v>36788500</v>
      </c>
      <c r="W95" s="193">
        <f t="shared" si="45"/>
        <v>36788500</v>
      </c>
    </row>
    <row r="96" spans="1:23" ht="15" hidden="1" outlineLevel="1">
      <c r="A96" s="196"/>
      <c r="B96" s="196"/>
      <c r="C96" s="196"/>
      <c r="D96" s="196"/>
      <c r="E96" s="196"/>
      <c r="F96" s="196"/>
      <c r="G96" s="196"/>
      <c r="H96" s="196"/>
      <c r="I96" s="196"/>
      <c r="J96" s="196"/>
      <c r="K96" s="196"/>
      <c r="L96" s="196"/>
      <c r="M96" s="196"/>
      <c r="N96" s="196"/>
      <c r="O96" s="196"/>
      <c r="P96" s="196"/>
      <c r="Q96" s="196"/>
      <c r="R96" s="196"/>
      <c r="S96" s="196"/>
      <c r="T96" s="196"/>
      <c r="U96" s="196"/>
      <c r="V96" s="196"/>
      <c r="W96" s="196"/>
    </row>
    <row r="97" spans="1:23" ht="15" hidden="1" outlineLevel="1">
      <c r="A97" s="192" t="s">
        <v>154</v>
      </c>
      <c r="B97" s="194"/>
      <c r="C97" s="193">
        <f aca="true" t="shared" si="46" ref="C97:W97">C87+C90+C93+C95</f>
        <v>0</v>
      </c>
      <c r="D97" s="193">
        <f>D87+D90+D93+D95</f>
        <v>1630199.1064935038</v>
      </c>
      <c r="E97" s="193">
        <f t="shared" si="46"/>
        <v>3260398.2129870076</v>
      </c>
      <c r="F97" s="193">
        <f t="shared" si="46"/>
        <v>4890597.319480512</v>
      </c>
      <c r="G97" s="193">
        <f t="shared" si="46"/>
        <v>53789706.25222528</v>
      </c>
      <c r="H97" s="193">
        <f t="shared" si="46"/>
        <v>56252859.27327265</v>
      </c>
      <c r="I97" s="193">
        <f t="shared" si="46"/>
        <v>58752337.48828478</v>
      </c>
      <c r="J97" s="193">
        <f t="shared" si="46"/>
        <v>61025529.06640796</v>
      </c>
      <c r="K97" s="193">
        <f t="shared" si="46"/>
        <v>63321883.611068666</v>
      </c>
      <c r="L97" s="193">
        <f t="shared" si="46"/>
        <v>65738117.08839778</v>
      </c>
      <c r="M97" s="193">
        <f t="shared" si="46"/>
        <v>66584780.88643485</v>
      </c>
      <c r="N97" s="193">
        <f t="shared" si="46"/>
        <v>67456840.37111175</v>
      </c>
      <c r="O97" s="193">
        <f t="shared" si="46"/>
        <v>67916165.74415582</v>
      </c>
      <c r="P97" s="193">
        <f t="shared" si="46"/>
        <v>67916165.74415582</v>
      </c>
      <c r="Q97" s="193">
        <f t="shared" si="46"/>
        <v>67916165.74415582</v>
      </c>
      <c r="R97" s="193">
        <f t="shared" si="46"/>
        <v>67916165.74415582</v>
      </c>
      <c r="S97" s="193">
        <f t="shared" si="46"/>
        <v>67916165.74415582</v>
      </c>
      <c r="T97" s="193">
        <f t="shared" si="46"/>
        <v>67916165.74415582</v>
      </c>
      <c r="U97" s="193">
        <f t="shared" si="46"/>
        <v>67916165.74415582</v>
      </c>
      <c r="V97" s="193">
        <f t="shared" si="46"/>
        <v>67916165.74415582</v>
      </c>
      <c r="W97" s="193">
        <f t="shared" si="46"/>
        <v>67916165.74415582</v>
      </c>
    </row>
    <row r="98" spans="1:23" ht="15" hidden="1" outlineLevel="1">
      <c r="A98" s="196"/>
      <c r="B98" s="196"/>
      <c r="C98" s="196"/>
      <c r="D98" s="196"/>
      <c r="E98" s="196"/>
      <c r="F98" s="196"/>
      <c r="G98" s="196"/>
      <c r="H98" s="196"/>
      <c r="I98" s="196"/>
      <c r="J98" s="196"/>
      <c r="K98" s="196"/>
      <c r="L98" s="196"/>
      <c r="M98" s="196"/>
      <c r="N98" s="196"/>
      <c r="O98" s="196"/>
      <c r="P98" s="196"/>
      <c r="Q98" s="196"/>
      <c r="R98" s="196"/>
      <c r="S98" s="196"/>
      <c r="T98" s="196"/>
      <c r="U98" s="196"/>
      <c r="V98" s="196"/>
      <c r="W98" s="196"/>
    </row>
    <row r="99" spans="1:23" ht="15" hidden="1" outlineLevel="1">
      <c r="A99" s="192" t="s">
        <v>86</v>
      </c>
      <c r="B99" s="193"/>
      <c r="C99" s="193"/>
      <c r="D99" s="193"/>
      <c r="E99" s="193"/>
      <c r="F99" s="193"/>
      <c r="G99" s="193">
        <f aca="true" t="shared" si="47" ref="G99:W99">G82*OM_expansion</f>
        <v>8042199.260680001</v>
      </c>
      <c r="H99" s="193">
        <f t="shared" si="47"/>
        <v>8367605.95065</v>
      </c>
      <c r="I99" s="193">
        <f t="shared" si="47"/>
        <v>8705298.219128001</v>
      </c>
      <c r="J99" s="193">
        <f t="shared" si="47"/>
        <v>8966457.868248</v>
      </c>
      <c r="K99" s="193">
        <f t="shared" si="47"/>
        <v>9235451.48638</v>
      </c>
      <c r="L99" s="193">
        <f t="shared" si="47"/>
        <v>9544989.472704</v>
      </c>
      <c r="M99" s="193">
        <f t="shared" si="47"/>
        <v>9831340.443624001</v>
      </c>
      <c r="N99" s="193">
        <f t="shared" si="47"/>
        <v>10126280.513952</v>
      </c>
      <c r="O99" s="193">
        <f t="shared" si="47"/>
        <v>10430068.685352</v>
      </c>
      <c r="P99" s="193">
        <f t="shared" si="47"/>
        <v>10742971.321392002</v>
      </c>
      <c r="Q99" s="193">
        <f t="shared" si="47"/>
        <v>11140552.267628</v>
      </c>
      <c r="R99" s="193">
        <f t="shared" si="47"/>
        <v>11474768.793384</v>
      </c>
      <c r="S99" s="193">
        <f t="shared" si="47"/>
        <v>11819011.904472</v>
      </c>
      <c r="T99" s="193">
        <f t="shared" si="47"/>
        <v>12173582.187736</v>
      </c>
      <c r="U99" s="193">
        <f t="shared" si="47"/>
        <v>12538790.524187999</v>
      </c>
      <c r="V99" s="193">
        <f t="shared" si="47"/>
        <v>12958595.390988002</v>
      </c>
      <c r="W99" s="193">
        <f t="shared" si="47"/>
        <v>13483041.855500001</v>
      </c>
    </row>
    <row r="100" spans="1:23" ht="15" hidden="1" outlineLevel="1">
      <c r="A100" s="196"/>
      <c r="B100" s="196"/>
      <c r="C100" s="196"/>
      <c r="D100" s="196"/>
      <c r="E100" s="196"/>
      <c r="F100" s="196"/>
      <c r="G100" s="196"/>
      <c r="H100" s="196"/>
      <c r="I100" s="196"/>
      <c r="J100" s="196"/>
      <c r="K100" s="196"/>
      <c r="L100" s="196"/>
      <c r="M100" s="196"/>
      <c r="N100" s="196"/>
      <c r="O100" s="196"/>
      <c r="P100" s="196"/>
      <c r="Q100" s="196"/>
      <c r="R100" s="196"/>
      <c r="S100" s="196"/>
      <c r="T100" s="196"/>
      <c r="U100" s="196"/>
      <c r="V100" s="196"/>
      <c r="W100" s="196"/>
    </row>
    <row r="101" spans="1:23" ht="15" hidden="1" outlineLevel="1">
      <c r="A101" s="197" t="s">
        <v>219</v>
      </c>
      <c r="B101" s="198"/>
      <c r="C101" s="196"/>
      <c r="D101" s="193"/>
      <c r="E101" s="193"/>
      <c r="F101" s="193"/>
      <c r="G101" s="193"/>
      <c r="H101" s="193"/>
      <c r="I101" s="193"/>
      <c r="J101" s="193"/>
      <c r="K101" s="193"/>
      <c r="L101" s="193"/>
      <c r="M101" s="193"/>
      <c r="N101" s="193"/>
      <c r="O101" s="193"/>
      <c r="P101" s="193"/>
      <c r="Q101" s="193"/>
      <c r="R101" s="193"/>
      <c r="S101" s="193"/>
      <c r="T101" s="193"/>
      <c r="U101" s="193"/>
      <c r="V101" s="193"/>
      <c r="W101" s="193"/>
    </row>
    <row r="102" spans="1:23" ht="15" hidden="1" outlineLevel="1">
      <c r="A102" s="196" t="s">
        <v>216</v>
      </c>
      <c r="B102" s="196"/>
      <c r="C102" s="196"/>
      <c r="D102" s="193">
        <f>D87-D65</f>
        <v>0</v>
      </c>
      <c r="E102" s="193">
        <f aca="true" t="shared" si="48" ref="E102:W102">E87-E65</f>
        <v>0</v>
      </c>
      <c r="F102" s="193">
        <f t="shared" si="48"/>
        <v>0</v>
      </c>
      <c r="G102" s="193">
        <f t="shared" si="48"/>
        <v>0</v>
      </c>
      <c r="H102" s="193">
        <f t="shared" si="48"/>
        <v>2217070.7848311644</v>
      </c>
      <c r="I102" s="193">
        <f t="shared" si="48"/>
        <v>3680337.502819734</v>
      </c>
      <c r="J102" s="193">
        <f t="shared" si="48"/>
        <v>4646093.536692189</v>
      </c>
      <c r="K102" s="193">
        <f t="shared" si="48"/>
        <v>5283492.51904801</v>
      </c>
      <c r="L102" s="193">
        <f t="shared" si="48"/>
        <v>6520796.425974015</v>
      </c>
      <c r="M102" s="193">
        <f t="shared" si="48"/>
        <v>6520796.425974015</v>
      </c>
      <c r="N102" s="193">
        <f t="shared" si="48"/>
        <v>6520796.425974015</v>
      </c>
      <c r="O102" s="193">
        <f t="shared" si="48"/>
        <v>6520796.425974015</v>
      </c>
      <c r="P102" s="193">
        <f t="shared" si="48"/>
        <v>6520796.425974015</v>
      </c>
      <c r="Q102" s="193">
        <f t="shared" si="48"/>
        <v>6520796.425974015</v>
      </c>
      <c r="R102" s="193">
        <f t="shared" si="48"/>
        <v>6520796.425974015</v>
      </c>
      <c r="S102" s="193">
        <f t="shared" si="48"/>
        <v>6520796.425974015</v>
      </c>
      <c r="T102" s="193">
        <f t="shared" si="48"/>
        <v>6520796.425974015</v>
      </c>
      <c r="U102" s="193">
        <f t="shared" si="48"/>
        <v>6520796.425974015</v>
      </c>
      <c r="V102" s="193">
        <f t="shared" si="48"/>
        <v>6520796.425974015</v>
      </c>
      <c r="W102" s="193">
        <f t="shared" si="48"/>
        <v>6520796.425974015</v>
      </c>
    </row>
    <row r="103" spans="1:23" ht="15" hidden="1" outlineLevel="1">
      <c r="A103" s="196" t="s">
        <v>218</v>
      </c>
      <c r="B103" s="196"/>
      <c r="C103" s="196"/>
      <c r="D103" s="193">
        <f>D95-D73</f>
        <v>0</v>
      </c>
      <c r="E103" s="193">
        <f aca="true" t="shared" si="49" ref="E103:W103">E95-E73</f>
        <v>0</v>
      </c>
      <c r="F103" s="193">
        <f t="shared" si="49"/>
        <v>0</v>
      </c>
      <c r="G103" s="193">
        <f t="shared" si="49"/>
        <v>3103850</v>
      </c>
      <c r="H103" s="193">
        <f t="shared" si="49"/>
        <v>6207699.999999996</v>
      </c>
      <c r="I103" s="193">
        <f>I95-I73</f>
        <v>10242705</v>
      </c>
      <c r="J103" s="193">
        <f t="shared" si="49"/>
        <v>15519250</v>
      </c>
      <c r="K103" s="193">
        <f t="shared" si="49"/>
        <v>23278875</v>
      </c>
      <c r="L103" s="193">
        <f t="shared" si="49"/>
        <v>31038500</v>
      </c>
      <c r="M103" s="193">
        <f t="shared" si="49"/>
        <v>31038500</v>
      </c>
      <c r="N103" s="193">
        <f t="shared" si="49"/>
        <v>31038500</v>
      </c>
      <c r="O103" s="193">
        <f t="shared" si="49"/>
        <v>31038500</v>
      </c>
      <c r="P103" s="193">
        <f t="shared" si="49"/>
        <v>31038500</v>
      </c>
      <c r="Q103" s="193">
        <f t="shared" si="49"/>
        <v>31038500</v>
      </c>
      <c r="R103" s="193">
        <f t="shared" si="49"/>
        <v>31038500</v>
      </c>
      <c r="S103" s="193">
        <f t="shared" si="49"/>
        <v>31038500</v>
      </c>
      <c r="T103" s="193">
        <f t="shared" si="49"/>
        <v>31038500</v>
      </c>
      <c r="U103" s="193">
        <f t="shared" si="49"/>
        <v>31038500</v>
      </c>
      <c r="V103" s="193">
        <f t="shared" si="49"/>
        <v>31038500</v>
      </c>
      <c r="W103" s="193">
        <f t="shared" si="49"/>
        <v>31038500</v>
      </c>
    </row>
    <row r="104" spans="1:23" ht="15" hidden="1" outlineLevel="1">
      <c r="A104" s="2" t="s">
        <v>217</v>
      </c>
      <c r="B104" s="2"/>
      <c r="C104" s="2"/>
      <c r="D104" s="25">
        <f>D93-D69</f>
        <v>0</v>
      </c>
      <c r="E104" s="25">
        <f aca="true" t="shared" si="50" ref="E104:W104">E93-E69</f>
        <v>0</v>
      </c>
      <c r="F104" s="25">
        <f>F93-F69</f>
        <v>0</v>
      </c>
      <c r="G104" s="25">
        <f>G93-G69</f>
        <v>1111880.713378578</v>
      </c>
      <c r="H104" s="25">
        <f t="shared" si="50"/>
        <v>1052053.4059028653</v>
      </c>
      <c r="I104" s="25">
        <f t="shared" si="50"/>
        <v>1404258.0405245977</v>
      </c>
      <c r="J104" s="25">
        <f t="shared" si="50"/>
        <v>1888875.284612564</v>
      </c>
      <c r="K104" s="25">
        <f t="shared" si="50"/>
        <v>2879783.583684164</v>
      </c>
      <c r="L104" s="25">
        <f t="shared" si="50"/>
        <v>4218172.5369289005</v>
      </c>
      <c r="M104" s="25">
        <f t="shared" si="50"/>
        <v>4993323.783318247</v>
      </c>
      <c r="N104" s="25">
        <f t="shared" si="50"/>
        <v>5791725.723438331</v>
      </c>
      <c r="O104" s="25">
        <f t="shared" si="50"/>
        <v>6175183.809266501</v>
      </c>
      <c r="P104" s="25">
        <f t="shared" si="50"/>
        <v>6097039.549152864</v>
      </c>
      <c r="Q104" s="25">
        <f t="shared" si="50"/>
        <v>6016551.265834684</v>
      </c>
      <c r="R104" s="25">
        <f t="shared" si="50"/>
        <v>5933648.233255137</v>
      </c>
      <c r="S104" s="25">
        <f t="shared" si="50"/>
        <v>5848258.620061956</v>
      </c>
      <c r="T104" s="25">
        <f t="shared" si="50"/>
        <v>5760307.009118774</v>
      </c>
      <c r="U104" s="25">
        <f t="shared" si="50"/>
        <v>5669716.877993774</v>
      </c>
      <c r="V104" s="25">
        <f t="shared" si="50"/>
        <v>5576409.31373241</v>
      </c>
      <c r="W104" s="25">
        <f t="shared" si="50"/>
        <v>5448574.171804853</v>
      </c>
    </row>
    <row r="105" spans="1:23" ht="15" hidden="1" outlineLevel="1">
      <c r="A105" s="38" t="s">
        <v>220</v>
      </c>
      <c r="B105" s="2"/>
      <c r="C105" s="2"/>
      <c r="D105" s="1">
        <f>SUM(D102:D104)</f>
        <v>0</v>
      </c>
      <c r="E105" s="1">
        <f aca="true" t="shared" si="51" ref="E105:W105">SUM(E102:E104)</f>
        <v>0</v>
      </c>
      <c r="F105" s="1">
        <f t="shared" si="51"/>
        <v>0</v>
      </c>
      <c r="G105" s="1">
        <f t="shared" si="51"/>
        <v>4215730.713378578</v>
      </c>
      <c r="H105" s="1">
        <f t="shared" si="51"/>
        <v>9476824.190734025</v>
      </c>
      <c r="I105" s="1">
        <f t="shared" si="51"/>
        <v>15327300.543344332</v>
      </c>
      <c r="J105" s="1">
        <f t="shared" si="51"/>
        <v>22054218.82130475</v>
      </c>
      <c r="K105" s="1">
        <f t="shared" si="51"/>
        <v>31442151.102732174</v>
      </c>
      <c r="L105" s="1">
        <f t="shared" si="51"/>
        <v>41777468.96290291</v>
      </c>
      <c r="M105" s="1">
        <f t="shared" si="51"/>
        <v>42552620.209292255</v>
      </c>
      <c r="N105" s="1">
        <f t="shared" si="51"/>
        <v>43351022.14941234</v>
      </c>
      <c r="O105" s="1">
        <f t="shared" si="51"/>
        <v>43734480.23524051</v>
      </c>
      <c r="P105" s="1">
        <f t="shared" si="51"/>
        <v>43656335.97512688</v>
      </c>
      <c r="Q105" s="1">
        <f t="shared" si="51"/>
        <v>43575847.69180869</v>
      </c>
      <c r="R105" s="1">
        <f t="shared" si="51"/>
        <v>43492944.659229144</v>
      </c>
      <c r="S105" s="1">
        <f t="shared" si="51"/>
        <v>43407555.04603597</v>
      </c>
      <c r="T105" s="1">
        <f t="shared" si="51"/>
        <v>43319603.435092784</v>
      </c>
      <c r="U105" s="1">
        <f t="shared" si="51"/>
        <v>43229013.30396779</v>
      </c>
      <c r="V105" s="1">
        <f t="shared" si="51"/>
        <v>43135705.73970642</v>
      </c>
      <c r="W105" s="1">
        <f t="shared" si="51"/>
        <v>43007870.597778864</v>
      </c>
    </row>
    <row r="106" spans="1:23" ht="15" hidden="1" outlineLevel="1">
      <c r="A106" s="2" t="s">
        <v>346</v>
      </c>
      <c r="B106" s="2"/>
      <c r="C106" s="2"/>
      <c r="D106" s="2"/>
      <c r="E106" s="2"/>
      <c r="F106" s="2"/>
      <c r="G106" s="2">
        <f>G103/G105</f>
        <v>0.7362543319358524</v>
      </c>
      <c r="H106" s="2">
        <f aca="true" t="shared" si="52" ref="H106:W106">H103/H105</f>
        <v>0.6550401141839881</v>
      </c>
      <c r="I106" s="2">
        <f t="shared" si="52"/>
        <v>0.6682654242366085</v>
      </c>
      <c r="J106" s="2">
        <f t="shared" si="52"/>
        <v>0.7036862255582655</v>
      </c>
      <c r="K106" s="2">
        <f t="shared" si="52"/>
        <v>0.7403715771207898</v>
      </c>
      <c r="L106" s="2">
        <f t="shared" si="52"/>
        <v>0.7429483109079973</v>
      </c>
      <c r="M106" s="2">
        <f t="shared" si="52"/>
        <v>0.729414542449776</v>
      </c>
      <c r="N106" s="2">
        <f t="shared" si="52"/>
        <v>0.7159808110873056</v>
      </c>
      <c r="O106" s="2">
        <f t="shared" si="52"/>
        <v>0.7097031868916484</v>
      </c>
      <c r="P106" s="2">
        <f t="shared" si="52"/>
        <v>0.7109735461465234</v>
      </c>
      <c r="Q106" s="2">
        <f t="shared" si="52"/>
        <v>0.712286774534384</v>
      </c>
      <c r="R106" s="2">
        <f t="shared" si="52"/>
        <v>0.7136444828739291</v>
      </c>
      <c r="S106" s="2">
        <f t="shared" si="52"/>
        <v>0.7150483358733764</v>
      </c>
      <c r="T106" s="2">
        <f t="shared" si="52"/>
        <v>0.7165000955400256</v>
      </c>
      <c r="U106" s="2">
        <f t="shared" si="52"/>
        <v>0.718001583375282</v>
      </c>
      <c r="V106" s="2">
        <f t="shared" si="52"/>
        <v>0.7195547045710917</v>
      </c>
      <c r="W106" s="2">
        <f t="shared" si="52"/>
        <v>0.7216934846712215</v>
      </c>
    </row>
    <row r="107" spans="1:23" ht="15" hidden="1" outlineLevel="1">
      <c r="A107" s="190" t="s">
        <v>155</v>
      </c>
      <c r="B107" s="191"/>
      <c r="C107" s="181">
        <f>C97-C75</f>
        <v>0</v>
      </c>
      <c r="D107" s="181">
        <f>D105+D90</f>
        <v>0</v>
      </c>
      <c r="E107" s="181">
        <f aca="true" t="shared" si="53" ref="E107:W107">E105+E90</f>
        <v>0</v>
      </c>
      <c r="F107" s="181">
        <f t="shared" si="53"/>
        <v>0</v>
      </c>
      <c r="G107" s="181">
        <f t="shared" si="53"/>
        <v>12965730.713378578</v>
      </c>
      <c r="H107" s="181">
        <f>H105+H90</f>
        <v>19976824.190734025</v>
      </c>
      <c r="I107" s="181">
        <f t="shared" si="53"/>
        <v>27577300.543344334</v>
      </c>
      <c r="J107" s="181">
        <f>J105+J90</f>
        <v>36054218.82130475</v>
      </c>
      <c r="K107" s="181">
        <f t="shared" si="53"/>
        <v>47192151.102732174</v>
      </c>
      <c r="L107" s="181">
        <f t="shared" si="53"/>
        <v>59277468.96290291</v>
      </c>
      <c r="M107" s="181">
        <f t="shared" si="53"/>
        <v>60052620.209292255</v>
      </c>
      <c r="N107" s="181">
        <f t="shared" si="53"/>
        <v>60851022.14941234</v>
      </c>
      <c r="O107" s="181">
        <f t="shared" si="53"/>
        <v>61234480.23524051</v>
      </c>
      <c r="P107" s="181">
        <f t="shared" si="53"/>
        <v>61156335.97512688</v>
      </c>
      <c r="Q107" s="181">
        <f t="shared" si="53"/>
        <v>61075847.69180869</v>
      </c>
      <c r="R107" s="181">
        <f t="shared" si="53"/>
        <v>60992944.659229144</v>
      </c>
      <c r="S107" s="181">
        <f t="shared" si="53"/>
        <v>60907555.04603597</v>
      </c>
      <c r="T107" s="181">
        <f t="shared" si="53"/>
        <v>60819603.435092784</v>
      </c>
      <c r="U107" s="181">
        <f t="shared" si="53"/>
        <v>60729013.30396779</v>
      </c>
      <c r="V107" s="181">
        <f t="shared" si="53"/>
        <v>60635705.73970642</v>
      </c>
      <c r="W107" s="181">
        <f t="shared" si="53"/>
        <v>60507870.597778864</v>
      </c>
    </row>
    <row r="108" spans="1:23" ht="15" hidden="1" outlineLevel="1">
      <c r="A108" s="2"/>
      <c r="B108" s="2"/>
      <c r="C108" s="1">
        <f>NPV(0.1,D107:W107)</f>
        <v>269993385.68906075</v>
      </c>
      <c r="D108" s="2"/>
      <c r="E108" s="2"/>
      <c r="F108" s="2"/>
      <c r="G108" s="2"/>
      <c r="H108" s="1"/>
      <c r="I108" s="1"/>
      <c r="J108" s="1"/>
      <c r="K108" s="1"/>
      <c r="L108" s="2"/>
      <c r="M108" s="2"/>
      <c r="N108" s="2"/>
      <c r="O108" s="2"/>
      <c r="P108" s="2"/>
      <c r="Q108" s="2"/>
      <c r="R108" s="2"/>
      <c r="S108" s="2"/>
      <c r="T108" s="2"/>
      <c r="U108" s="2"/>
      <c r="V108" s="2"/>
      <c r="W108" s="2"/>
    </row>
    <row r="109" spans="1:27" ht="15" hidden="1" outlineLevel="1">
      <c r="A109" s="199" t="s">
        <v>156</v>
      </c>
      <c r="B109" s="194" t="s">
        <v>338</v>
      </c>
      <c r="C109" s="196"/>
      <c r="D109" s="196">
        <v>0.22</v>
      </c>
      <c r="E109" s="196">
        <v>0.22</v>
      </c>
      <c r="F109" s="196">
        <v>0.47</v>
      </c>
      <c r="G109" s="196">
        <v>0.09</v>
      </c>
      <c r="H109" s="196">
        <v>0</v>
      </c>
      <c r="I109" s="196"/>
      <c r="J109" s="196"/>
      <c r="K109" s="196"/>
      <c r="L109" s="196"/>
      <c r="M109" s="196"/>
      <c r="N109" s="196"/>
      <c r="O109" s="196"/>
      <c r="P109" s="196"/>
      <c r="Q109" s="196"/>
      <c r="R109" s="196"/>
      <c r="S109" s="196"/>
      <c r="T109" s="196"/>
      <c r="U109" s="196"/>
      <c r="V109" s="196"/>
      <c r="W109" s="196"/>
      <c r="AA109" s="1"/>
    </row>
    <row r="110" spans="1:27" ht="15" hidden="1" outlineLevel="1">
      <c r="A110" s="199" t="s">
        <v>318</v>
      </c>
      <c r="B110" s="192"/>
      <c r="C110" s="196"/>
      <c r="D110" s="196"/>
      <c r="E110" s="196"/>
      <c r="F110" s="196"/>
      <c r="G110" s="196"/>
      <c r="H110" s="196"/>
      <c r="I110" s="196"/>
      <c r="J110" s="196"/>
      <c r="K110" s="196"/>
      <c r="L110" s="196"/>
      <c r="M110" s="196"/>
      <c r="N110" s="196"/>
      <c r="O110" s="196"/>
      <c r="P110" s="196"/>
      <c r="Q110" s="196"/>
      <c r="R110" s="196"/>
      <c r="S110" s="196"/>
      <c r="T110" s="196"/>
      <c r="U110" s="196"/>
      <c r="V110" s="196"/>
      <c r="W110" s="196"/>
      <c r="AA110" s="1"/>
    </row>
    <row r="111" spans="1:28" ht="15" hidden="1" outlineLevel="1">
      <c r="A111" s="192" t="s">
        <v>319</v>
      </c>
      <c r="B111" s="192"/>
      <c r="C111" s="193">
        <v>0</v>
      </c>
      <c r="D111" s="193">
        <f>D109*investcost</f>
        <v>30422857.142857153</v>
      </c>
      <c r="E111" s="193">
        <f>E109*investcost</f>
        <v>30422857.142857153</v>
      </c>
      <c r="F111" s="193">
        <f>F109*investcost</f>
        <v>64994285.71428573</v>
      </c>
      <c r="G111" s="193">
        <f>G109*investcost</f>
        <v>12445714.28571429</v>
      </c>
      <c r="H111" s="193">
        <f>H109*investcost</f>
        <v>0</v>
      </c>
      <c r="I111" s="192"/>
      <c r="J111" s="192"/>
      <c r="K111" s="192"/>
      <c r="L111" s="192"/>
      <c r="M111" s="192"/>
      <c r="N111" s="193"/>
      <c r="O111" s="192"/>
      <c r="P111" s="192"/>
      <c r="Q111" s="192"/>
      <c r="R111" s="193">
        <f>Future_Facility_Invest</f>
        <v>235714285.71428573</v>
      </c>
      <c r="S111" s="192"/>
      <c r="T111" s="192"/>
      <c r="U111" s="192"/>
      <c r="V111" s="192"/>
      <c r="W111" s="192"/>
      <c r="AB111" s="1"/>
    </row>
    <row r="112" spans="1:28" ht="15" hidden="1" outlineLevel="1">
      <c r="A112" s="192" t="s">
        <v>317</v>
      </c>
      <c r="B112" s="192"/>
      <c r="C112" s="200"/>
      <c r="D112" s="200">
        <f>$B149/exrate*D109</f>
        <v>942857.142857143</v>
      </c>
      <c r="E112" s="200">
        <f>$B149/exrate*E109</f>
        <v>942857.142857143</v>
      </c>
      <c r="F112" s="200">
        <f>$B149/exrate*F109</f>
        <v>2014285.7142857146</v>
      </c>
      <c r="G112" s="200">
        <f>$B149/exrate*G109</f>
        <v>385714.28571428574</v>
      </c>
      <c r="H112" s="200">
        <f>$B149/exrate*H109</f>
        <v>0</v>
      </c>
      <c r="I112" s="201"/>
      <c r="J112" s="201"/>
      <c r="K112" s="201"/>
      <c r="L112" s="201"/>
      <c r="M112" s="201"/>
      <c r="N112" s="200"/>
      <c r="O112" s="201"/>
      <c r="P112" s="201"/>
      <c r="Q112" s="201"/>
      <c r="R112" s="200">
        <v>10000000</v>
      </c>
      <c r="S112" s="201"/>
      <c r="T112" s="201"/>
      <c r="U112" s="201"/>
      <c r="V112" s="201"/>
      <c r="W112" s="201"/>
      <c r="AB112" s="1"/>
    </row>
    <row r="113" spans="1:28" ht="15" hidden="1" outlineLevel="1">
      <c r="A113" s="192" t="s">
        <v>173</v>
      </c>
      <c r="B113" s="192"/>
      <c r="C113" s="193">
        <f aca="true" t="shared" si="54" ref="C113:H113">(C111+C112)*(1+capital_costs_Samra_var)</f>
        <v>0</v>
      </c>
      <c r="D113" s="193">
        <f t="shared" si="54"/>
        <v>31365714.285714295</v>
      </c>
      <c r="E113" s="193">
        <f t="shared" si="54"/>
        <v>31365714.285714295</v>
      </c>
      <c r="F113" s="193">
        <f t="shared" si="54"/>
        <v>67008571.42857145</v>
      </c>
      <c r="G113" s="193">
        <f t="shared" si="54"/>
        <v>12831428.571428575</v>
      </c>
      <c r="H113" s="193">
        <f t="shared" si="54"/>
        <v>0</v>
      </c>
      <c r="I113" s="193">
        <f>(I111+I112)</f>
        <v>0</v>
      </c>
      <c r="J113" s="193">
        <f aca="true" t="shared" si="55" ref="J113:W113">(J111+J112)</f>
        <v>0</v>
      </c>
      <c r="K113" s="193">
        <f t="shared" si="55"/>
        <v>0</v>
      </c>
      <c r="L113" s="193">
        <f t="shared" si="55"/>
        <v>0</v>
      </c>
      <c r="M113" s="193">
        <f t="shared" si="55"/>
        <v>0</v>
      </c>
      <c r="N113" s="193">
        <f t="shared" si="55"/>
        <v>0</v>
      </c>
      <c r="O113" s="193">
        <f t="shared" si="55"/>
        <v>0</v>
      </c>
      <c r="P113" s="193">
        <f t="shared" si="55"/>
        <v>0</v>
      </c>
      <c r="Q113" s="193">
        <f t="shared" si="55"/>
        <v>0</v>
      </c>
      <c r="R113" s="193">
        <f t="shared" si="55"/>
        <v>245714285.71428573</v>
      </c>
      <c r="S113" s="193">
        <f t="shared" si="55"/>
        <v>0</v>
      </c>
      <c r="T113" s="193">
        <f t="shared" si="55"/>
        <v>0</v>
      </c>
      <c r="U113" s="193">
        <f t="shared" si="55"/>
        <v>0</v>
      </c>
      <c r="V113" s="193">
        <f t="shared" si="55"/>
        <v>0</v>
      </c>
      <c r="W113" s="193">
        <f t="shared" si="55"/>
        <v>0</v>
      </c>
      <c r="AB113" s="1"/>
    </row>
    <row r="114" spans="1:28" ht="15" hidden="1" outlineLevel="1">
      <c r="A114" s="199" t="s">
        <v>147</v>
      </c>
      <c r="B114" s="192"/>
      <c r="C114" s="193"/>
      <c r="D114" s="193"/>
      <c r="E114" s="193"/>
      <c r="F114" s="193"/>
      <c r="G114" s="192"/>
      <c r="H114" s="192"/>
      <c r="I114" s="192"/>
      <c r="J114" s="192"/>
      <c r="K114" s="192"/>
      <c r="L114" s="192"/>
      <c r="M114" s="192"/>
      <c r="N114" s="193"/>
      <c r="O114" s="192"/>
      <c r="P114" s="192"/>
      <c r="Q114" s="192"/>
      <c r="R114" s="192"/>
      <c r="S114" s="192"/>
      <c r="T114" s="192"/>
      <c r="U114" s="192"/>
      <c r="V114" s="192"/>
      <c r="W114" s="192"/>
      <c r="AB114" s="1"/>
    </row>
    <row r="115" spans="1:28" ht="15" hidden="1" outlineLevel="1">
      <c r="A115" s="192" t="s">
        <v>171</v>
      </c>
      <c r="B115" s="192"/>
      <c r="C115" s="193"/>
      <c r="D115" s="193"/>
      <c r="E115" s="193">
        <v>0</v>
      </c>
      <c r="F115" s="193">
        <v>0</v>
      </c>
      <c r="G115" s="193">
        <f aca="true" t="shared" si="56" ref="G115:W115">G99-G77</f>
        <v>-1133561.4908000007</v>
      </c>
      <c r="H115" s="193">
        <f t="shared" si="56"/>
        <v>-990352.8553099995</v>
      </c>
      <c r="I115" s="193">
        <f t="shared" si="56"/>
        <v>-840324.1980319992</v>
      </c>
      <c r="J115" s="193">
        <f t="shared" si="56"/>
        <v>-772457.2485119998</v>
      </c>
      <c r="K115" s="193">
        <f t="shared" si="56"/>
        <v>-702556.0106200017</v>
      </c>
      <c r="L115" s="193">
        <f t="shared" si="56"/>
        <v>-598083.9419759996</v>
      </c>
      <c r="M115" s="193">
        <f t="shared" si="56"/>
        <v>-522949.8132560011</v>
      </c>
      <c r="N115" s="193">
        <f t="shared" si="56"/>
        <v>-445561.95728799887</v>
      </c>
      <c r="O115" s="193">
        <f t="shared" si="56"/>
        <v>-365852.61488800123</v>
      </c>
      <c r="P115" s="193">
        <f t="shared" si="56"/>
        <v>-283753.9912480023</v>
      </c>
      <c r="Q115" s="193">
        <f t="shared" si="56"/>
        <v>-123900.27813199908</v>
      </c>
      <c r="R115" s="193">
        <f t="shared" si="56"/>
        <v>-34543.10009600036</v>
      </c>
      <c r="S115" s="193">
        <f t="shared" si="56"/>
        <v>57496.3902320005</v>
      </c>
      <c r="T115" s="193">
        <f t="shared" si="56"/>
        <v>152296.03041600063</v>
      </c>
      <c r="U115" s="193">
        <f t="shared" si="56"/>
        <v>249940.68762799725</v>
      </c>
      <c r="V115" s="193">
        <f t="shared" si="56"/>
        <v>394155.7646280024</v>
      </c>
      <c r="W115" s="193">
        <f t="shared" si="56"/>
        <v>541033.0559250005</v>
      </c>
      <c r="Z115" s="17"/>
      <c r="AA115" s="1"/>
      <c r="AB115" s="1"/>
    </row>
    <row r="116" spans="1:28" ht="15" hidden="1" outlineLevel="1">
      <c r="A116" s="192" t="s">
        <v>172</v>
      </c>
      <c r="B116" s="192"/>
      <c r="C116" s="201"/>
      <c r="D116" s="201"/>
      <c r="E116" s="200"/>
      <c r="F116" s="200"/>
      <c r="G116" s="200">
        <f aca="true" t="shared" si="57" ref="G116:W116">Sludge_removal</f>
        <v>7857142.857142857</v>
      </c>
      <c r="H116" s="200">
        <f t="shared" si="57"/>
        <v>7857142.857142857</v>
      </c>
      <c r="I116" s="200">
        <f t="shared" si="57"/>
        <v>7857142.857142857</v>
      </c>
      <c r="J116" s="200">
        <f t="shared" si="57"/>
        <v>7857142.857142857</v>
      </c>
      <c r="K116" s="200">
        <f t="shared" si="57"/>
        <v>7857142.857142857</v>
      </c>
      <c r="L116" s="200">
        <f t="shared" si="57"/>
        <v>7857142.857142857</v>
      </c>
      <c r="M116" s="200">
        <f t="shared" si="57"/>
        <v>7857142.857142857</v>
      </c>
      <c r="N116" s="200">
        <f t="shared" si="57"/>
        <v>7857142.857142857</v>
      </c>
      <c r="O116" s="200">
        <f t="shared" si="57"/>
        <v>7857142.857142857</v>
      </c>
      <c r="P116" s="200">
        <f t="shared" si="57"/>
        <v>7857142.857142857</v>
      </c>
      <c r="Q116" s="200">
        <f t="shared" si="57"/>
        <v>7857142.857142857</v>
      </c>
      <c r="R116" s="200">
        <f t="shared" si="57"/>
        <v>7857142.857142857</v>
      </c>
      <c r="S116" s="200">
        <f t="shared" si="57"/>
        <v>7857142.857142857</v>
      </c>
      <c r="T116" s="200">
        <f t="shared" si="57"/>
        <v>7857142.857142857</v>
      </c>
      <c r="U116" s="200">
        <f t="shared" si="57"/>
        <v>7857142.857142857</v>
      </c>
      <c r="V116" s="200">
        <f t="shared" si="57"/>
        <v>7857142.857142857</v>
      </c>
      <c r="W116" s="200">
        <f t="shared" si="57"/>
        <v>7857142.857142857</v>
      </c>
      <c r="Z116" s="17"/>
      <c r="AA116" s="1"/>
      <c r="AB116" s="1"/>
    </row>
    <row r="117" spans="1:28" ht="15" hidden="1" outlineLevel="1">
      <c r="A117" s="192" t="s">
        <v>170</v>
      </c>
      <c r="B117" s="192"/>
      <c r="C117" s="202">
        <f>C115+C116</f>
        <v>0</v>
      </c>
      <c r="D117" s="202">
        <f aca="true" t="shared" si="58" ref="D117:W117">D115+D116</f>
        <v>0</v>
      </c>
      <c r="E117" s="202">
        <f t="shared" si="58"/>
        <v>0</v>
      </c>
      <c r="F117" s="202">
        <f t="shared" si="58"/>
        <v>0</v>
      </c>
      <c r="G117" s="202">
        <f t="shared" si="58"/>
        <v>6723581.366342857</v>
      </c>
      <c r="H117" s="202">
        <f t="shared" si="58"/>
        <v>6866790.001832858</v>
      </c>
      <c r="I117" s="202">
        <f t="shared" si="58"/>
        <v>7016818.659110858</v>
      </c>
      <c r="J117" s="202">
        <f t="shared" si="58"/>
        <v>7084685.608630857</v>
      </c>
      <c r="K117" s="202">
        <f t="shared" si="58"/>
        <v>7154586.846522856</v>
      </c>
      <c r="L117" s="202">
        <f t="shared" si="58"/>
        <v>7259058.915166858</v>
      </c>
      <c r="M117" s="202">
        <f t="shared" si="58"/>
        <v>7334193.043886856</v>
      </c>
      <c r="N117" s="202">
        <f t="shared" si="58"/>
        <v>7411580.899854858</v>
      </c>
      <c r="O117" s="202">
        <f t="shared" si="58"/>
        <v>7491290.242254856</v>
      </c>
      <c r="P117" s="202">
        <f t="shared" si="58"/>
        <v>7573388.865894855</v>
      </c>
      <c r="Q117" s="202">
        <f t="shared" si="58"/>
        <v>7733242.579010858</v>
      </c>
      <c r="R117" s="202">
        <f t="shared" si="58"/>
        <v>7822599.757046857</v>
      </c>
      <c r="S117" s="202">
        <f t="shared" si="58"/>
        <v>7914639.247374858</v>
      </c>
      <c r="T117" s="202">
        <f t="shared" si="58"/>
        <v>8009438.887558858</v>
      </c>
      <c r="U117" s="202">
        <f t="shared" si="58"/>
        <v>8107083.5447708545</v>
      </c>
      <c r="V117" s="202">
        <f t="shared" si="58"/>
        <v>8251298.62177086</v>
      </c>
      <c r="W117" s="202">
        <f t="shared" si="58"/>
        <v>8398175.913067859</v>
      </c>
      <c r="Z117" s="17"/>
      <c r="AA117" s="1"/>
      <c r="AB117" s="1"/>
    </row>
    <row r="118" spans="1:23" ht="15" hidden="1" outlineLevel="1">
      <c r="A118" s="199" t="s">
        <v>158</v>
      </c>
      <c r="B118" s="192"/>
      <c r="C118" s="193">
        <f>C113+C117</f>
        <v>0</v>
      </c>
      <c r="D118" s="193">
        <f aca="true" t="shared" si="59" ref="D118:W118">D113+D117</f>
        <v>31365714.285714295</v>
      </c>
      <c r="E118" s="193">
        <f t="shared" si="59"/>
        <v>31365714.285714295</v>
      </c>
      <c r="F118" s="193">
        <f t="shared" si="59"/>
        <v>67008571.42857145</v>
      </c>
      <c r="G118" s="193">
        <f t="shared" si="59"/>
        <v>19555009.937771432</v>
      </c>
      <c r="H118" s="193">
        <f t="shared" si="59"/>
        <v>6866790.001832858</v>
      </c>
      <c r="I118" s="193">
        <f t="shared" si="59"/>
        <v>7016818.659110858</v>
      </c>
      <c r="J118" s="193">
        <f t="shared" si="59"/>
        <v>7084685.608630857</v>
      </c>
      <c r="K118" s="193">
        <f t="shared" si="59"/>
        <v>7154586.846522856</v>
      </c>
      <c r="L118" s="193">
        <f t="shared" si="59"/>
        <v>7259058.915166858</v>
      </c>
      <c r="M118" s="193">
        <f t="shared" si="59"/>
        <v>7334193.043886856</v>
      </c>
      <c r="N118" s="193">
        <f t="shared" si="59"/>
        <v>7411580.899854858</v>
      </c>
      <c r="O118" s="193">
        <f t="shared" si="59"/>
        <v>7491290.242254856</v>
      </c>
      <c r="P118" s="193">
        <f t="shared" si="59"/>
        <v>7573388.865894855</v>
      </c>
      <c r="Q118" s="193">
        <f t="shared" si="59"/>
        <v>7733242.579010858</v>
      </c>
      <c r="R118" s="193">
        <f t="shared" si="59"/>
        <v>253536885.47133258</v>
      </c>
      <c r="S118" s="193">
        <f t="shared" si="59"/>
        <v>7914639.247374858</v>
      </c>
      <c r="T118" s="193">
        <f t="shared" si="59"/>
        <v>8009438.887558858</v>
      </c>
      <c r="U118" s="193">
        <f t="shared" si="59"/>
        <v>8107083.5447708545</v>
      </c>
      <c r="V118" s="193">
        <f t="shared" si="59"/>
        <v>8251298.62177086</v>
      </c>
      <c r="W118" s="193">
        <f t="shared" si="59"/>
        <v>8398175.913067859</v>
      </c>
    </row>
    <row r="119" spans="1:23" ht="15" hidden="1" outlineLevel="1">
      <c r="A119" s="192"/>
      <c r="B119" s="192"/>
      <c r="C119" s="192"/>
      <c r="D119" s="192"/>
      <c r="E119" s="192"/>
      <c r="F119" s="192"/>
      <c r="G119" s="192"/>
      <c r="H119" s="192"/>
      <c r="I119" s="192"/>
      <c r="J119" s="192"/>
      <c r="K119" s="192"/>
      <c r="L119" s="192"/>
      <c r="M119" s="192"/>
      <c r="N119" s="192"/>
      <c r="O119" s="192"/>
      <c r="P119" s="192"/>
      <c r="Q119" s="192"/>
      <c r="R119" s="192"/>
      <c r="S119" s="192"/>
      <c r="T119" s="192"/>
      <c r="U119" s="192"/>
      <c r="V119" s="192"/>
      <c r="W119" s="192"/>
    </row>
    <row r="120" spans="1:23" ht="15" hidden="1" outlineLevel="1">
      <c r="A120" s="199" t="s">
        <v>159</v>
      </c>
      <c r="B120" s="192"/>
      <c r="C120" s="192"/>
      <c r="D120" s="193">
        <f aca="true" t="shared" si="60" ref="D120:W120">D107-D118</f>
        <v>-31365714.285714295</v>
      </c>
      <c r="E120" s="193">
        <f t="shared" si="60"/>
        <v>-31365714.285714295</v>
      </c>
      <c r="F120" s="193">
        <f t="shared" si="60"/>
        <v>-67008571.42857145</v>
      </c>
      <c r="G120" s="193">
        <f t="shared" si="60"/>
        <v>-6589279.224392854</v>
      </c>
      <c r="H120" s="193">
        <f t="shared" si="60"/>
        <v>13110034.188901167</v>
      </c>
      <c r="I120" s="193">
        <f t="shared" si="60"/>
        <v>20560481.884233475</v>
      </c>
      <c r="J120" s="193">
        <f t="shared" si="60"/>
        <v>28969533.212673895</v>
      </c>
      <c r="K120" s="193">
        <f t="shared" si="60"/>
        <v>40037564.25620932</v>
      </c>
      <c r="L120" s="193">
        <f t="shared" si="60"/>
        <v>52018410.047736056</v>
      </c>
      <c r="M120" s="193">
        <f t="shared" si="60"/>
        <v>52718427.1654054</v>
      </c>
      <c r="N120" s="193">
        <f t="shared" si="60"/>
        <v>53439441.24955748</v>
      </c>
      <c r="O120" s="193">
        <f t="shared" si="60"/>
        <v>53743189.99298566</v>
      </c>
      <c r="P120" s="193">
        <f t="shared" si="60"/>
        <v>53582947.10923202</v>
      </c>
      <c r="Q120" s="193">
        <f t="shared" si="60"/>
        <v>53342605.112797834</v>
      </c>
      <c r="R120" s="193">
        <f t="shared" si="60"/>
        <v>-192543940.81210345</v>
      </c>
      <c r="S120" s="193">
        <f t="shared" si="60"/>
        <v>52992915.79866111</v>
      </c>
      <c r="T120" s="193">
        <f t="shared" si="60"/>
        <v>52810164.54753393</v>
      </c>
      <c r="U120" s="193">
        <f t="shared" si="60"/>
        <v>52621929.75919694</v>
      </c>
      <c r="V120" s="193">
        <f t="shared" si="60"/>
        <v>52384407.11793556</v>
      </c>
      <c r="W120" s="193">
        <f t="shared" si="60"/>
        <v>52109694.68471101</v>
      </c>
    </row>
    <row r="121" spans="1:23" ht="15" hidden="1" outlineLevel="1">
      <c r="A121" s="19" t="s">
        <v>327</v>
      </c>
      <c r="B121" s="19"/>
      <c r="C121" s="180">
        <f>IRR(D120:W120,0.1)</f>
        <v>0.15624240029332825</v>
      </c>
      <c r="D121" s="192"/>
      <c r="E121" s="192"/>
      <c r="F121" s="192"/>
      <c r="G121" s="192"/>
      <c r="H121" s="192"/>
      <c r="I121" s="192"/>
      <c r="J121" s="192"/>
      <c r="K121" s="192"/>
      <c r="L121" s="192"/>
      <c r="M121" s="192"/>
      <c r="N121" s="192"/>
      <c r="O121" s="192"/>
      <c r="P121" s="192"/>
      <c r="Q121" s="192"/>
      <c r="R121" s="192"/>
      <c r="S121" s="192"/>
      <c r="T121" s="192"/>
      <c r="U121" s="192"/>
      <c r="V121" s="192"/>
      <c r="W121" s="192"/>
    </row>
    <row r="122" spans="1:23" ht="15" hidden="1" outlineLevel="1">
      <c r="A122" s="192"/>
      <c r="B122" s="192"/>
      <c r="C122" s="204"/>
      <c r="D122" s="192"/>
      <c r="E122" s="193"/>
      <c r="F122" s="192"/>
      <c r="G122" s="192"/>
      <c r="H122" s="192"/>
      <c r="I122" s="192"/>
      <c r="J122" s="192"/>
      <c r="K122" s="192"/>
      <c r="L122" s="192"/>
      <c r="M122" s="192"/>
      <c r="N122" s="192"/>
      <c r="O122" s="192"/>
      <c r="P122" s="192"/>
      <c r="Q122" s="192"/>
      <c r="R122" s="192"/>
      <c r="S122" s="192"/>
      <c r="T122" s="192"/>
      <c r="U122" s="192"/>
      <c r="V122" s="192"/>
      <c r="W122" s="192"/>
    </row>
    <row r="123" spans="1:23" ht="15" hidden="1" outlineLevel="1">
      <c r="A123" s="192"/>
      <c r="B123" s="205" t="s">
        <v>30</v>
      </c>
      <c r="C123" s="201">
        <v>0</v>
      </c>
      <c r="D123" s="201">
        <v>1</v>
      </c>
      <c r="E123" s="201">
        <v>2</v>
      </c>
      <c r="F123" s="201">
        <v>3</v>
      </c>
      <c r="G123" s="201">
        <v>4</v>
      </c>
      <c r="H123" s="201">
        <v>5</v>
      </c>
      <c r="I123" s="201">
        <v>6</v>
      </c>
      <c r="J123" s="201">
        <v>7</v>
      </c>
      <c r="K123" s="201">
        <v>8</v>
      </c>
      <c r="L123" s="201">
        <v>9</v>
      </c>
      <c r="M123" s="201">
        <v>10</v>
      </c>
      <c r="N123" s="201">
        <v>11</v>
      </c>
      <c r="O123" s="201">
        <v>12</v>
      </c>
      <c r="P123" s="201">
        <v>13</v>
      </c>
      <c r="Q123" s="201">
        <v>14</v>
      </c>
      <c r="R123" s="201">
        <v>15</v>
      </c>
      <c r="S123" s="201">
        <v>16</v>
      </c>
      <c r="T123" s="201">
        <v>17</v>
      </c>
      <c r="U123" s="201">
        <v>18</v>
      </c>
      <c r="V123" s="201">
        <v>19</v>
      </c>
      <c r="W123" s="201">
        <v>20</v>
      </c>
    </row>
    <row r="124" spans="1:23" ht="15" hidden="1" outlineLevel="1">
      <c r="A124" s="7" t="s">
        <v>175</v>
      </c>
      <c r="B124" s="20" t="s">
        <v>8</v>
      </c>
      <c r="C124" s="24">
        <v>2010</v>
      </c>
      <c r="D124" s="24">
        <v>2011</v>
      </c>
      <c r="E124" s="24">
        <v>2012</v>
      </c>
      <c r="F124" s="24">
        <v>2013</v>
      </c>
      <c r="G124" s="24">
        <v>2014</v>
      </c>
      <c r="H124" s="24">
        <v>2015</v>
      </c>
      <c r="I124" s="24">
        <v>2016</v>
      </c>
      <c r="J124" s="24">
        <v>2017</v>
      </c>
      <c r="K124" s="24">
        <v>2018</v>
      </c>
      <c r="L124" s="24">
        <v>2019</v>
      </c>
      <c r="M124" s="24">
        <v>2020</v>
      </c>
      <c r="N124" s="24">
        <v>2021</v>
      </c>
      <c r="O124" s="24">
        <v>2022</v>
      </c>
      <c r="P124" s="24">
        <v>2023</v>
      </c>
      <c r="Q124" s="24">
        <v>2024</v>
      </c>
      <c r="R124" s="24">
        <v>2025</v>
      </c>
      <c r="S124" s="24">
        <v>2026</v>
      </c>
      <c r="T124" s="24">
        <v>2027</v>
      </c>
      <c r="U124" s="24">
        <v>2028</v>
      </c>
      <c r="V124" s="24">
        <v>2029</v>
      </c>
      <c r="W124" s="24">
        <v>2030</v>
      </c>
    </row>
    <row r="125" spans="1:23" ht="15" hidden="1" outlineLevel="1">
      <c r="A125" t="s">
        <v>160</v>
      </c>
      <c r="C125" s="8"/>
      <c r="D125" s="1">
        <f>'P2_Streams'!D28*(1+capital_cost_var)</f>
        <v>6380744.255744257</v>
      </c>
      <c r="E125" s="1">
        <f>'P2_Streams'!E28*(1+capital_cost_var)</f>
        <v>12761488.511488514</v>
      </c>
      <c r="F125" s="1">
        <f>'P2_Streams'!F28*(1+capital_cost_var)</f>
        <v>15496093.192521768</v>
      </c>
      <c r="G125" s="1">
        <f>'P2_Streams'!G28*(1+capital_cost_var)</f>
        <v>8659581.489938635</v>
      </c>
      <c r="H125" s="1">
        <f>'P2_Streams'!H28*(1+capital_cost_var)</f>
        <v>2278837.2341943774</v>
      </c>
      <c r="I125" s="1">
        <f>'P2_Streams'!I28</f>
        <v>0</v>
      </c>
      <c r="J125" s="1">
        <f>'P2_Streams'!J28</f>
        <v>0</v>
      </c>
      <c r="K125" s="1">
        <f>'P2_Streams'!K28</f>
        <v>0</v>
      </c>
      <c r="L125" s="1">
        <f>'P2_Streams'!L28</f>
        <v>0</v>
      </c>
      <c r="M125" s="1">
        <f>'P2_Streams'!M28</f>
        <v>0</v>
      </c>
      <c r="N125" s="1">
        <f>'P2_Streams'!N28</f>
        <v>0</v>
      </c>
      <c r="O125" s="1">
        <f>'P2_Streams'!O28</f>
        <v>0</v>
      </c>
      <c r="P125" s="1">
        <f>'P2_Streams'!P28</f>
        <v>0</v>
      </c>
      <c r="Q125" s="1">
        <f>'P2_Streams'!Q28</f>
        <v>0</v>
      </c>
      <c r="R125" s="1">
        <f>'P2_Streams'!R28</f>
        <v>0</v>
      </c>
      <c r="S125" s="1">
        <f>'P2_Streams'!S28</f>
        <v>0</v>
      </c>
      <c r="T125" s="1">
        <f>'P2_Streams'!T28</f>
        <v>0</v>
      </c>
      <c r="U125" s="1">
        <f>'P2_Streams'!U28</f>
        <v>0</v>
      </c>
      <c r="V125" s="1">
        <f>'P2_Streams'!V28</f>
        <v>0</v>
      </c>
      <c r="W125" s="1">
        <f>'P2_Streams'!W28</f>
        <v>0</v>
      </c>
    </row>
    <row r="126" spans="1:23" ht="15" hidden="1" outlineLevel="1">
      <c r="A126" s="192" t="s">
        <v>161</v>
      </c>
      <c r="B126" s="201"/>
      <c r="C126" s="206"/>
      <c r="D126" s="200">
        <f>'P2_Streams'!D32</f>
        <v>0</v>
      </c>
      <c r="E126" s="200">
        <f>'P2_Streams'!E32</f>
        <v>0</v>
      </c>
      <c r="F126" s="200">
        <f>'P2_Streams'!F32</f>
        <v>0</v>
      </c>
      <c r="G126" s="200">
        <f>'P2_Streams'!G32</f>
        <v>-824602.335126</v>
      </c>
      <c r="H126" s="200">
        <f>'P2_Streams'!H32</f>
        <v>-779690.2735295</v>
      </c>
      <c r="I126" s="200">
        <f>'P2_Streams'!I32</f>
        <v>-732799.9286499999</v>
      </c>
      <c r="J126" s="200">
        <f>'P2_Streams'!J32</f>
        <v>-706168.5562900001</v>
      </c>
      <c r="K126" s="200">
        <f>'P2_Streams'!K32</f>
        <v>-678738.627805</v>
      </c>
      <c r="L126" s="200">
        <f>'P2_Streams'!L32</f>
        <v>-642367.3147599997</v>
      </c>
      <c r="M126" s="200">
        <f>'P2_Streams'!M32</f>
        <v>-613022.94047</v>
      </c>
      <c r="N126" s="200">
        <f>'P2_Streams'!N32</f>
        <v>-582798.3657600001</v>
      </c>
      <c r="O126" s="200">
        <f>'P2_Streams'!O32</f>
        <v>-551667.0887100003</v>
      </c>
      <c r="P126" s="200">
        <f>'P2_Streams'!P32</f>
        <v>-519602.2321799998</v>
      </c>
      <c r="Q126" s="200">
        <f>'P2_Streams'!Q32</f>
        <v>-467752.44224500004</v>
      </c>
      <c r="R126" s="200">
        <f>'P2_Streams'!R32</f>
        <v>-433170.18035000004</v>
      </c>
      <c r="S126" s="200">
        <f>'P2_Streams'!S32</f>
        <v>-397550.1267299999</v>
      </c>
      <c r="T126" s="200">
        <f>'P2_Streams'!T32</f>
        <v>-360861.68452999997</v>
      </c>
      <c r="U126" s="200">
        <f>'P2_Streams'!U32</f>
        <v>-323072.33626500005</v>
      </c>
      <c r="V126" s="200">
        <f>'P2_Streams'!V32</f>
        <v>-273239.07752499986</v>
      </c>
      <c r="W126" s="200">
        <f>'P2_Streams'!W32</f>
        <v>-217641.29603999993</v>
      </c>
    </row>
    <row r="127" spans="1:23" ht="15" hidden="1" outlineLevel="1">
      <c r="A127" s="199" t="s">
        <v>164</v>
      </c>
      <c r="B127" s="192"/>
      <c r="C127" s="193"/>
      <c r="D127" s="193">
        <f>D125+D126</f>
        <v>6380744.255744257</v>
      </c>
      <c r="E127" s="193">
        <f aca="true" t="shared" si="61" ref="E127:W127">E125+E126</f>
        <v>12761488.511488514</v>
      </c>
      <c r="F127" s="193">
        <f t="shared" si="61"/>
        <v>15496093.192521768</v>
      </c>
      <c r="G127" s="193">
        <f t="shared" si="61"/>
        <v>7834979.154812636</v>
      </c>
      <c r="H127" s="193">
        <f t="shared" si="61"/>
        <v>1499146.9606648774</v>
      </c>
      <c r="I127" s="193">
        <f t="shared" si="61"/>
        <v>-732799.9286499999</v>
      </c>
      <c r="J127" s="193">
        <f t="shared" si="61"/>
        <v>-706168.5562900001</v>
      </c>
      <c r="K127" s="193">
        <f t="shared" si="61"/>
        <v>-678738.627805</v>
      </c>
      <c r="L127" s="193">
        <f t="shared" si="61"/>
        <v>-642367.3147599997</v>
      </c>
      <c r="M127" s="193">
        <f t="shared" si="61"/>
        <v>-613022.94047</v>
      </c>
      <c r="N127" s="193">
        <f t="shared" si="61"/>
        <v>-582798.3657600001</v>
      </c>
      <c r="O127" s="193">
        <f t="shared" si="61"/>
        <v>-551667.0887100003</v>
      </c>
      <c r="P127" s="193">
        <f t="shared" si="61"/>
        <v>-519602.2321799998</v>
      </c>
      <c r="Q127" s="193">
        <f t="shared" si="61"/>
        <v>-467752.44224500004</v>
      </c>
      <c r="R127" s="193">
        <f t="shared" si="61"/>
        <v>-433170.18035000004</v>
      </c>
      <c r="S127" s="193">
        <f t="shared" si="61"/>
        <v>-397550.1267299999</v>
      </c>
      <c r="T127" s="193">
        <f t="shared" si="61"/>
        <v>-360861.68452999997</v>
      </c>
      <c r="U127" s="193">
        <f t="shared" si="61"/>
        <v>-323072.33626500005</v>
      </c>
      <c r="V127" s="193">
        <f t="shared" si="61"/>
        <v>-273239.07752499986</v>
      </c>
      <c r="W127" s="193">
        <f t="shared" si="61"/>
        <v>-217641.29603999993</v>
      </c>
    </row>
    <row r="128" spans="1:23" ht="15.75" hidden="1" outlineLevel="1" thickBot="1">
      <c r="A128" s="192" t="s">
        <v>162</v>
      </c>
      <c r="B128" s="192"/>
      <c r="C128" s="204"/>
      <c r="D128" s="207">
        <f>'P2_Streams'!D38+'P2_Streams'!D54</f>
        <v>0</v>
      </c>
      <c r="E128" s="207">
        <f>'P2_Streams'!E38+'P2_Streams'!E54</f>
        <v>0</v>
      </c>
      <c r="F128" s="207">
        <f>'P2_Streams'!F38+'P2_Streams'!F54</f>
        <v>0</v>
      </c>
      <c r="G128" s="207">
        <f>'P2_Streams'!G38+'P2_Streams'!G54</f>
        <v>1403181.3189919996</v>
      </c>
      <c r="H128" s="207">
        <f>'P2_Streams'!H38+'P2_Streams'!H54</f>
        <v>4377417.271764033</v>
      </c>
      <c r="I128" s="207">
        <f>'P2_Streams'!I38+'P2_Streams'!I54</f>
        <v>5326514.037466614</v>
      </c>
      <c r="J128" s="207">
        <f>'P2_Streams'!J38+'P2_Streams'!J54</f>
        <v>3370477.923013364</v>
      </c>
      <c r="K128" s="207">
        <f>'P2_Streams'!K38+'P2_Streams'!K54</f>
        <v>3620629.1242266693</v>
      </c>
      <c r="L128" s="207">
        <f>'P2_Streams'!L38+'P2_Streams'!L54</f>
        <v>3942853.668586635</v>
      </c>
      <c r="M128" s="207">
        <f>'P2_Streams'!M38+'P2_Streams'!M54</f>
        <v>4210217.149573298</v>
      </c>
      <c r="N128" s="207">
        <f>'P2_Streams'!N38+'P2_Streams'!N54</f>
        <v>4485160.860586758</v>
      </c>
      <c r="O128" s="207">
        <f>'P2_Streams'!O38+'P2_Streams'!O54</f>
        <v>4769176.443653303</v>
      </c>
      <c r="P128" s="207">
        <f>'P2_Streams'!P38+'P2_Streams'!P54</f>
        <v>5061048.102559976</v>
      </c>
      <c r="Q128" s="207">
        <f>'P2_Streams'!Q38+'P2_Streams'!Q54</f>
        <v>5512079.8553733425</v>
      </c>
      <c r="R128" s="207">
        <f>'P2_Streams'!R38+'P2_Streams'!R54</f>
        <v>5826662.757199977</v>
      </c>
      <c r="S128" s="207">
        <f>'P2_Streams'!S38+'P2_Streams'!S54</f>
        <v>6150329.559493348</v>
      </c>
      <c r="T128" s="207">
        <f>'P2_Streams'!T38+'P2_Streams'!T54</f>
        <v>6483773.897093315</v>
      </c>
      <c r="U128" s="207">
        <f>'P2_Streams'!U38+'P2_Streams'!U54</f>
        <v>6827182.3298800625</v>
      </c>
      <c r="V128" s="207">
        <f>'P2_Streams'!V38+'P2_Streams'!V54</f>
        <v>7267709.313133267</v>
      </c>
      <c r="W128" s="207">
        <f>'P2_Streams'!W38+'P2_Streams'!W54</f>
        <v>7756303.171680003</v>
      </c>
    </row>
    <row r="129" spans="1:23" ht="15.75" hidden="1" outlineLevel="1" thickTop="1">
      <c r="A129" s="199" t="s">
        <v>163</v>
      </c>
      <c r="B129" s="192"/>
      <c r="C129" s="193"/>
      <c r="D129" s="193">
        <f aca="true" t="shared" si="62" ref="D129:W129">D128-D127</f>
        <v>-6380744.255744257</v>
      </c>
      <c r="E129" s="193">
        <f t="shared" si="62"/>
        <v>-12761488.511488514</v>
      </c>
      <c r="F129" s="193">
        <f t="shared" si="62"/>
        <v>-15496093.192521768</v>
      </c>
      <c r="G129" s="193">
        <f>G128-G127</f>
        <v>-6431797.835820636</v>
      </c>
      <c r="H129" s="193">
        <f t="shared" si="62"/>
        <v>2878270.311099155</v>
      </c>
      <c r="I129" s="193">
        <f t="shared" si="62"/>
        <v>6059313.966116614</v>
      </c>
      <c r="J129" s="193">
        <f t="shared" si="62"/>
        <v>4076646.479303364</v>
      </c>
      <c r="K129" s="193">
        <f t="shared" si="62"/>
        <v>4299367.752031669</v>
      </c>
      <c r="L129" s="193">
        <f t="shared" si="62"/>
        <v>4585220.983346635</v>
      </c>
      <c r="M129" s="193">
        <f t="shared" si="62"/>
        <v>4823240.090043298</v>
      </c>
      <c r="N129" s="193">
        <f t="shared" si="62"/>
        <v>5067959.226346758</v>
      </c>
      <c r="O129" s="193">
        <f t="shared" si="62"/>
        <v>5320843.532363303</v>
      </c>
      <c r="P129" s="193">
        <f t="shared" si="62"/>
        <v>5580650.334739976</v>
      </c>
      <c r="Q129" s="193">
        <f t="shared" si="62"/>
        <v>5979832.297618343</v>
      </c>
      <c r="R129" s="193">
        <f t="shared" si="62"/>
        <v>6259832.937549977</v>
      </c>
      <c r="S129" s="193">
        <f t="shared" si="62"/>
        <v>6547879.686223348</v>
      </c>
      <c r="T129" s="193">
        <f t="shared" si="62"/>
        <v>6844635.581623315</v>
      </c>
      <c r="U129" s="193">
        <f t="shared" si="62"/>
        <v>7150254.666145062</v>
      </c>
      <c r="V129" s="193">
        <f t="shared" si="62"/>
        <v>7540948.390658267</v>
      </c>
      <c r="W129" s="193">
        <f t="shared" si="62"/>
        <v>7973944.467720004</v>
      </c>
    </row>
    <row r="130" spans="1:23" ht="15" hidden="1" outlineLevel="1">
      <c r="A130" s="192"/>
      <c r="B130" s="192"/>
      <c r="C130" s="193">
        <f>NPV(0.1,D128:W128)</f>
        <v>26991562.353021454</v>
      </c>
      <c r="D130" s="192"/>
      <c r="E130" s="193"/>
      <c r="F130" s="192"/>
      <c r="G130" s="192"/>
      <c r="H130" s="192"/>
      <c r="I130" s="192"/>
      <c r="J130" s="192"/>
      <c r="K130" s="192"/>
      <c r="L130" s="192"/>
      <c r="M130" s="192"/>
      <c r="N130" s="192"/>
      <c r="O130" s="192"/>
      <c r="P130" s="192"/>
      <c r="Q130" s="192"/>
      <c r="R130" s="192"/>
      <c r="S130" s="192"/>
      <c r="T130" s="192"/>
      <c r="U130" s="192"/>
      <c r="V130" s="192"/>
      <c r="W130" s="192"/>
    </row>
    <row r="131" spans="1:23" ht="15" hidden="1" outlineLevel="1">
      <c r="A131" s="192"/>
      <c r="B131" s="205" t="s">
        <v>30</v>
      </c>
      <c r="C131" s="201">
        <v>0</v>
      </c>
      <c r="D131" s="201">
        <v>1</v>
      </c>
      <c r="E131" s="201">
        <v>2</v>
      </c>
      <c r="F131" s="201">
        <v>3</v>
      </c>
      <c r="G131" s="201">
        <v>4</v>
      </c>
      <c r="H131" s="201">
        <v>5</v>
      </c>
      <c r="I131" s="201">
        <v>6</v>
      </c>
      <c r="J131" s="201">
        <v>7</v>
      </c>
      <c r="K131" s="201">
        <v>8</v>
      </c>
      <c r="L131" s="201">
        <v>9</v>
      </c>
      <c r="M131" s="201">
        <v>10</v>
      </c>
      <c r="N131" s="201">
        <v>11</v>
      </c>
      <c r="O131" s="201">
        <v>12</v>
      </c>
      <c r="P131" s="201">
        <v>13</v>
      </c>
      <c r="Q131" s="201">
        <v>14</v>
      </c>
      <c r="R131" s="201">
        <v>15</v>
      </c>
      <c r="S131" s="201">
        <v>16</v>
      </c>
      <c r="T131" s="201">
        <v>17</v>
      </c>
      <c r="U131" s="201">
        <v>18</v>
      </c>
      <c r="V131" s="201">
        <v>19</v>
      </c>
      <c r="W131" s="201">
        <v>20</v>
      </c>
    </row>
    <row r="132" spans="1:23" ht="15" collapsed="1">
      <c r="A132" s="7" t="s">
        <v>165</v>
      </c>
      <c r="B132" s="20" t="s">
        <v>8</v>
      </c>
      <c r="C132" s="24">
        <v>2010</v>
      </c>
      <c r="D132" s="24">
        <v>2011</v>
      </c>
      <c r="E132" s="24">
        <v>2012</v>
      </c>
      <c r="F132" s="24">
        <v>2013</v>
      </c>
      <c r="G132" s="24">
        <v>2014</v>
      </c>
      <c r="H132" s="24">
        <v>2015</v>
      </c>
      <c r="I132" s="24">
        <v>2016</v>
      </c>
      <c r="J132" s="24">
        <v>2017</v>
      </c>
      <c r="K132" s="24">
        <v>2018</v>
      </c>
      <c r="L132" s="24">
        <v>2019</v>
      </c>
      <c r="M132" s="24">
        <v>2020</v>
      </c>
      <c r="N132" s="24">
        <v>2021</v>
      </c>
      <c r="O132" s="24">
        <v>2022</v>
      </c>
      <c r="P132" s="24">
        <v>2023</v>
      </c>
      <c r="Q132" s="24">
        <v>2024</v>
      </c>
      <c r="R132" s="24">
        <v>2025</v>
      </c>
      <c r="S132" s="24">
        <v>2026</v>
      </c>
      <c r="T132" s="24">
        <v>2027</v>
      </c>
      <c r="U132" s="24">
        <v>2028</v>
      </c>
      <c r="V132" s="24">
        <v>2029</v>
      </c>
      <c r="W132" s="24">
        <v>2030</v>
      </c>
    </row>
    <row r="133" spans="1:23" ht="15">
      <c r="A133" s="192" t="s">
        <v>166</v>
      </c>
      <c r="B133" s="192"/>
      <c r="C133" s="192"/>
      <c r="D133" s="193">
        <f>D113+D125</f>
        <v>37746458.541458555</v>
      </c>
      <c r="E133" s="193">
        <f aca="true" t="shared" si="63" ref="E133:W133">E113+E125</f>
        <v>44127202.79720281</v>
      </c>
      <c r="F133" s="193">
        <f t="shared" si="63"/>
        <v>82504664.62109321</v>
      </c>
      <c r="G133" s="193">
        <f t="shared" si="63"/>
        <v>21491010.06136721</v>
      </c>
      <c r="H133" s="193">
        <f t="shared" si="63"/>
        <v>2278837.2341943774</v>
      </c>
      <c r="I133" s="193">
        <f t="shared" si="63"/>
        <v>0</v>
      </c>
      <c r="J133" s="193">
        <f t="shared" si="63"/>
        <v>0</v>
      </c>
      <c r="K133" s="193">
        <f t="shared" si="63"/>
        <v>0</v>
      </c>
      <c r="L133" s="193">
        <f t="shared" si="63"/>
        <v>0</v>
      </c>
      <c r="M133" s="193">
        <f t="shared" si="63"/>
        <v>0</v>
      </c>
      <c r="N133" s="193">
        <f t="shared" si="63"/>
        <v>0</v>
      </c>
      <c r="O133" s="193">
        <f t="shared" si="63"/>
        <v>0</v>
      </c>
      <c r="P133" s="193">
        <f t="shared" si="63"/>
        <v>0</v>
      </c>
      <c r="Q133" s="193">
        <f t="shared" si="63"/>
        <v>0</v>
      </c>
      <c r="R133" s="193">
        <f t="shared" si="63"/>
        <v>245714285.71428573</v>
      </c>
      <c r="S133" s="193">
        <f t="shared" si="63"/>
        <v>0</v>
      </c>
      <c r="T133" s="193">
        <f t="shared" si="63"/>
        <v>0</v>
      </c>
      <c r="U133" s="193">
        <f t="shared" si="63"/>
        <v>0</v>
      </c>
      <c r="V133" s="193">
        <f t="shared" si="63"/>
        <v>0</v>
      </c>
      <c r="W133" s="193">
        <f t="shared" si="63"/>
        <v>0</v>
      </c>
    </row>
    <row r="134" spans="1:23" ht="15">
      <c r="A134" s="192" t="s">
        <v>167</v>
      </c>
      <c r="B134" s="192"/>
      <c r="C134" s="192"/>
      <c r="D134" s="200">
        <f aca="true" t="shared" si="64" ref="D134:W134">D117+D126</f>
        <v>0</v>
      </c>
      <c r="E134" s="200">
        <f t="shared" si="64"/>
        <v>0</v>
      </c>
      <c r="F134" s="200">
        <f t="shared" si="64"/>
        <v>0</v>
      </c>
      <c r="G134" s="200">
        <f t="shared" si="64"/>
        <v>5898979.031216856</v>
      </c>
      <c r="H134" s="200">
        <f t="shared" si="64"/>
        <v>6087099.728303358</v>
      </c>
      <c r="I134" s="200">
        <f t="shared" si="64"/>
        <v>6284018.730460858</v>
      </c>
      <c r="J134" s="200">
        <f t="shared" si="64"/>
        <v>6378517.052340858</v>
      </c>
      <c r="K134" s="200">
        <f t="shared" si="64"/>
        <v>6475848.218717855</v>
      </c>
      <c r="L134" s="200">
        <f t="shared" si="64"/>
        <v>6616691.600406858</v>
      </c>
      <c r="M134" s="200">
        <f t="shared" si="64"/>
        <v>6721170.103416856</v>
      </c>
      <c r="N134" s="200">
        <f t="shared" si="64"/>
        <v>6828782.534094858</v>
      </c>
      <c r="O134" s="200">
        <f t="shared" si="64"/>
        <v>6939623.153544856</v>
      </c>
      <c r="P134" s="200">
        <f t="shared" si="64"/>
        <v>7053786.633714855</v>
      </c>
      <c r="Q134" s="200">
        <f t="shared" si="64"/>
        <v>7265490.136765858</v>
      </c>
      <c r="R134" s="200">
        <f t="shared" si="64"/>
        <v>7389429.576696857</v>
      </c>
      <c r="S134" s="200">
        <f t="shared" si="64"/>
        <v>7517089.120644858</v>
      </c>
      <c r="T134" s="200">
        <f t="shared" si="64"/>
        <v>7648577.203028858</v>
      </c>
      <c r="U134" s="200">
        <f t="shared" si="64"/>
        <v>7784011.208505854</v>
      </c>
      <c r="V134" s="200">
        <f t="shared" si="64"/>
        <v>7978059.54424586</v>
      </c>
      <c r="W134" s="200">
        <f t="shared" si="64"/>
        <v>8180534.617027858</v>
      </c>
    </row>
    <row r="135" spans="1:23" ht="15">
      <c r="A135" s="199" t="s">
        <v>174</v>
      </c>
      <c r="B135" s="192"/>
      <c r="C135" s="204">
        <f>'ERR &amp; Sensitivity Analysis'!D15</f>
        <v>1</v>
      </c>
      <c r="D135" s="193">
        <f aca="true" t="shared" si="65" ref="D135:W135">(D133+D134)*$C$135</f>
        <v>37746458.541458555</v>
      </c>
      <c r="E135" s="193">
        <f t="shared" si="65"/>
        <v>44127202.79720281</v>
      </c>
      <c r="F135" s="193">
        <f t="shared" si="65"/>
        <v>82504664.62109321</v>
      </c>
      <c r="G135" s="193">
        <f t="shared" si="65"/>
        <v>27389989.092584066</v>
      </c>
      <c r="H135" s="193">
        <f t="shared" si="65"/>
        <v>8365936.962497735</v>
      </c>
      <c r="I135" s="193">
        <f t="shared" si="65"/>
        <v>6284018.730460858</v>
      </c>
      <c r="J135" s="193">
        <f t="shared" si="65"/>
        <v>6378517.052340858</v>
      </c>
      <c r="K135" s="193">
        <f t="shared" si="65"/>
        <v>6475848.218717855</v>
      </c>
      <c r="L135" s="193">
        <f t="shared" si="65"/>
        <v>6616691.600406858</v>
      </c>
      <c r="M135" s="193">
        <f t="shared" si="65"/>
        <v>6721170.103416856</v>
      </c>
      <c r="N135" s="193">
        <f t="shared" si="65"/>
        <v>6828782.534094858</v>
      </c>
      <c r="O135" s="193">
        <f t="shared" si="65"/>
        <v>6939623.153544856</v>
      </c>
      <c r="P135" s="193">
        <f t="shared" si="65"/>
        <v>7053786.633714855</v>
      </c>
      <c r="Q135" s="193">
        <f t="shared" si="65"/>
        <v>7265490.136765858</v>
      </c>
      <c r="R135" s="193">
        <f t="shared" si="65"/>
        <v>253103715.29098257</v>
      </c>
      <c r="S135" s="193">
        <f t="shared" si="65"/>
        <v>7517089.120644858</v>
      </c>
      <c r="T135" s="193">
        <f t="shared" si="65"/>
        <v>7648577.203028858</v>
      </c>
      <c r="U135" s="193">
        <f t="shared" si="65"/>
        <v>7784011.208505854</v>
      </c>
      <c r="V135" s="193">
        <f t="shared" si="65"/>
        <v>7978059.54424586</v>
      </c>
      <c r="W135" s="193">
        <f t="shared" si="65"/>
        <v>8180534.617027858</v>
      </c>
    </row>
    <row r="136" spans="1:23" ht="15.75" thickBot="1">
      <c r="A136" s="192" t="s">
        <v>335</v>
      </c>
      <c r="B136" s="192"/>
      <c r="C136" s="204">
        <f>'ERR &amp; Sensitivity Analysis'!D16</f>
        <v>1</v>
      </c>
      <c r="D136" s="207">
        <f aca="true" t="shared" si="66" ref="D136:W136">(D107+D128)*(1+benefits_var)*($C$136)</f>
        <v>0</v>
      </c>
      <c r="E136" s="207">
        <f t="shared" si="66"/>
        <v>0</v>
      </c>
      <c r="F136" s="207">
        <f t="shared" si="66"/>
        <v>0</v>
      </c>
      <c r="G136" s="207">
        <f t="shared" si="66"/>
        <v>14368912.032370578</v>
      </c>
      <c r="H136" s="207">
        <f t="shared" si="66"/>
        <v>24354241.462498058</v>
      </c>
      <c r="I136" s="207">
        <f t="shared" si="66"/>
        <v>32903814.58081095</v>
      </c>
      <c r="J136" s="207">
        <f t="shared" si="66"/>
        <v>39424696.74431812</v>
      </c>
      <c r="K136" s="207">
        <f t="shared" si="66"/>
        <v>50812780.22695884</v>
      </c>
      <c r="L136" s="207">
        <f t="shared" si="66"/>
        <v>63220322.631489545</v>
      </c>
      <c r="M136" s="207">
        <f t="shared" si="66"/>
        <v>64262837.35886555</v>
      </c>
      <c r="N136" s="207">
        <f t="shared" si="66"/>
        <v>65336183.0099991</v>
      </c>
      <c r="O136" s="207">
        <f t="shared" si="66"/>
        <v>66003656.67889381</v>
      </c>
      <c r="P136" s="207">
        <f t="shared" si="66"/>
        <v>66217384.07768685</v>
      </c>
      <c r="Q136" s="207">
        <f t="shared" si="66"/>
        <v>66587927.54718204</v>
      </c>
      <c r="R136" s="207">
        <f t="shared" si="66"/>
        <v>66819607.41642912</v>
      </c>
      <c r="S136" s="207">
        <f t="shared" si="66"/>
        <v>67057884.605529316</v>
      </c>
      <c r="T136" s="207">
        <f t="shared" si="66"/>
        <v>67303377.3321861</v>
      </c>
      <c r="U136" s="207">
        <f t="shared" si="66"/>
        <v>67556195.63384785</v>
      </c>
      <c r="V136" s="207">
        <f t="shared" si="66"/>
        <v>67903415.05283968</v>
      </c>
      <c r="W136" s="207">
        <f t="shared" si="66"/>
        <v>68264173.76945886</v>
      </c>
    </row>
    <row r="137" spans="1:23" ht="15.75" thickTop="1">
      <c r="A137" s="199" t="s">
        <v>169</v>
      </c>
      <c r="B137" s="192"/>
      <c r="C137" s="193"/>
      <c r="D137" s="193">
        <f>D136-D135</f>
        <v>-37746458.541458555</v>
      </c>
      <c r="E137" s="193">
        <f aca="true" t="shared" si="67" ref="E137:W137">E136-E135</f>
        <v>-44127202.79720281</v>
      </c>
      <c r="F137" s="193">
        <f t="shared" si="67"/>
        <v>-82504664.62109321</v>
      </c>
      <c r="G137" s="193">
        <f t="shared" si="67"/>
        <v>-13021077.060213488</v>
      </c>
      <c r="H137" s="193">
        <f t="shared" si="67"/>
        <v>15988304.500000322</v>
      </c>
      <c r="I137" s="193">
        <f t="shared" si="67"/>
        <v>26619795.85035009</v>
      </c>
      <c r="J137" s="193">
        <f t="shared" si="67"/>
        <v>33046179.691977262</v>
      </c>
      <c r="K137" s="193">
        <f t="shared" si="67"/>
        <v>44336932.00824098</v>
      </c>
      <c r="L137" s="193">
        <f t="shared" si="67"/>
        <v>56603631.03108269</v>
      </c>
      <c r="M137" s="193">
        <f t="shared" si="67"/>
        <v>57541667.2554487</v>
      </c>
      <c r="N137" s="193">
        <f t="shared" si="67"/>
        <v>58507400.47590424</v>
      </c>
      <c r="O137" s="193">
        <f t="shared" si="67"/>
        <v>59064033.525348954</v>
      </c>
      <c r="P137" s="193">
        <f t="shared" si="67"/>
        <v>59163597.443972</v>
      </c>
      <c r="Q137" s="193">
        <f t="shared" si="67"/>
        <v>59322437.41041618</v>
      </c>
      <c r="R137" s="193">
        <f t="shared" si="67"/>
        <v>-186284107.87455344</v>
      </c>
      <c r="S137" s="193">
        <f t="shared" si="67"/>
        <v>59540795.484884456</v>
      </c>
      <c r="T137" s="193">
        <f t="shared" si="67"/>
        <v>59654800.129157245</v>
      </c>
      <c r="U137" s="193">
        <f t="shared" si="67"/>
        <v>59772184.42534199</v>
      </c>
      <c r="V137" s="193">
        <f t="shared" si="67"/>
        <v>59925355.50859382</v>
      </c>
      <c r="W137" s="193">
        <f t="shared" si="67"/>
        <v>60083639.152431004</v>
      </c>
    </row>
    <row r="138" spans="1:23" ht="15">
      <c r="A138" s="192"/>
      <c r="B138" s="194" t="s">
        <v>89</v>
      </c>
      <c r="C138" s="203">
        <f>IRR(D137:W137,0.1)</f>
        <v>0.1407075831906015</v>
      </c>
      <c r="D138" s="192"/>
      <c r="E138" s="192"/>
      <c r="F138" s="192"/>
      <c r="G138" s="192"/>
      <c r="H138" s="192"/>
      <c r="I138" s="192"/>
      <c r="J138" s="192"/>
      <c r="K138" s="192"/>
      <c r="L138" s="192"/>
      <c r="M138" s="192"/>
      <c r="N138" s="192"/>
      <c r="O138" s="192"/>
      <c r="P138" s="192"/>
      <c r="Q138" s="192"/>
      <c r="R138" s="192"/>
      <c r="S138" s="192"/>
      <c r="T138" s="192"/>
      <c r="U138" s="192"/>
      <c r="V138" s="192"/>
      <c r="W138" s="192"/>
    </row>
    <row r="139" spans="1:23" ht="15">
      <c r="A139" s="192"/>
      <c r="B139" s="194"/>
      <c r="C139" s="204"/>
      <c r="D139" s="192"/>
      <c r="E139" s="192"/>
      <c r="F139" s="192"/>
      <c r="G139" s="192"/>
      <c r="H139" s="192"/>
      <c r="I139" s="192"/>
      <c r="J139" s="192"/>
      <c r="K139" s="192"/>
      <c r="L139" s="192"/>
      <c r="M139" s="192"/>
      <c r="N139" s="192"/>
      <c r="O139" s="192"/>
      <c r="P139" s="192"/>
      <c r="Q139" s="192"/>
      <c r="R139" s="192"/>
      <c r="S139" s="192"/>
      <c r="T139" s="192"/>
      <c r="U139" s="192"/>
      <c r="V139" s="192"/>
      <c r="W139" s="192"/>
    </row>
    <row r="140" spans="1:23" ht="15">
      <c r="A140" s="199" t="s">
        <v>176</v>
      </c>
      <c r="B140" s="192"/>
      <c r="C140" s="192"/>
      <c r="D140" s="193">
        <f>($B152+$B153*0.9+$B155*0.9)/exrate*0.2</f>
        <v>1477857.142857143</v>
      </c>
      <c r="E140" s="193">
        <f>($B152+$B153*0.9+$B155*0.9)/exrate*0.2</f>
        <v>1477857.142857143</v>
      </c>
      <c r="F140" s="193">
        <f>($B152+$B153*0.9+$B155*0.9)/exrate*0.2</f>
        <v>1477857.142857143</v>
      </c>
      <c r="G140" s="193">
        <f>($B152+$B153*0.9+$B155*0.9)/exrate*0.2</f>
        <v>1477857.142857143</v>
      </c>
      <c r="H140" s="193">
        <f>($B152+$B153*0.9+$B155*0.9)/exrate*0.2</f>
        <v>1477857.142857143</v>
      </c>
      <c r="I140" s="192"/>
      <c r="J140" s="192"/>
      <c r="K140" s="192"/>
      <c r="L140" s="192"/>
      <c r="M140" s="192"/>
      <c r="N140" s="192"/>
      <c r="O140" s="192"/>
      <c r="P140" s="192"/>
      <c r="Q140" s="192"/>
      <c r="R140" s="192"/>
      <c r="S140" s="192"/>
      <c r="T140" s="192"/>
      <c r="U140" s="192"/>
      <c r="V140" s="192"/>
      <c r="W140" s="192"/>
    </row>
    <row r="141" spans="1:23" ht="15" hidden="1" outlineLevel="1">
      <c r="A141" s="208" t="s">
        <v>320</v>
      </c>
      <c r="B141" s="192"/>
      <c r="C141" s="192"/>
      <c r="D141" s="193"/>
      <c r="E141" s="193"/>
      <c r="F141" s="193"/>
      <c r="G141" s="193"/>
      <c r="H141" s="193"/>
      <c r="I141" s="192"/>
      <c r="J141" s="192"/>
      <c r="K141" s="192"/>
      <c r="L141" s="192"/>
      <c r="M141" s="192"/>
      <c r="N141" s="192"/>
      <c r="O141" s="192"/>
      <c r="P141" s="192"/>
      <c r="Q141" s="192"/>
      <c r="R141" s="192"/>
      <c r="S141" s="192"/>
      <c r="T141" s="192"/>
      <c r="U141" s="192"/>
      <c r="V141" s="192"/>
      <c r="W141" s="192"/>
    </row>
    <row r="142" spans="1:23" ht="15" hidden="1" outlineLevel="1">
      <c r="A142" s="192"/>
      <c r="B142" s="192"/>
      <c r="C142" s="192"/>
      <c r="D142" s="193"/>
      <c r="E142" s="193"/>
      <c r="F142" s="193"/>
      <c r="G142" s="193"/>
      <c r="H142" s="193"/>
      <c r="I142" s="192"/>
      <c r="J142" s="192"/>
      <c r="K142" s="192"/>
      <c r="L142" s="192"/>
      <c r="M142" s="192"/>
      <c r="N142" s="192"/>
      <c r="O142" s="192"/>
      <c r="P142" s="192"/>
      <c r="Q142" s="192"/>
      <c r="R142" s="192"/>
      <c r="S142" s="192"/>
      <c r="T142" s="192"/>
      <c r="U142" s="192"/>
      <c r="V142" s="192"/>
      <c r="W142" s="192"/>
    </row>
    <row r="143" spans="1:23" ht="15" hidden="1" outlineLevel="2">
      <c r="A143" s="139" t="s">
        <v>309</v>
      </c>
      <c r="B143" s="192"/>
      <c r="C143" s="192">
        <f>investcost</f>
        <v>138285714.28571433</v>
      </c>
      <c r="D143" s="193"/>
      <c r="E143" s="193"/>
      <c r="F143" s="193"/>
      <c r="G143" s="193"/>
      <c r="H143" s="193"/>
      <c r="I143" s="192"/>
      <c r="J143" s="192"/>
      <c r="K143" s="192"/>
      <c r="L143" s="192"/>
      <c r="M143" s="192"/>
      <c r="N143" s="192"/>
      <c r="O143" s="192"/>
      <c r="P143" s="192"/>
      <c r="Q143" s="192"/>
      <c r="R143" s="192"/>
      <c r="S143" s="192"/>
      <c r="T143" s="192"/>
      <c r="U143" s="192"/>
      <c r="V143" s="192"/>
      <c r="W143" s="192"/>
    </row>
    <row r="144" spans="1:23" ht="15" hidden="1" outlineLevel="2">
      <c r="A144" s="209" t="s">
        <v>304</v>
      </c>
      <c r="B144" s="192"/>
      <c r="C144" s="192"/>
      <c r="D144" s="193"/>
      <c r="E144" s="193"/>
      <c r="F144" s="193"/>
      <c r="G144" s="193"/>
      <c r="H144" s="193"/>
      <c r="I144" s="192"/>
      <c r="J144" s="192"/>
      <c r="K144" s="192"/>
      <c r="L144" s="192"/>
      <c r="M144" s="192"/>
      <c r="N144" s="192"/>
      <c r="O144" s="192"/>
      <c r="P144" s="192"/>
      <c r="Q144" s="192"/>
      <c r="R144" s="192"/>
      <c r="S144" s="192"/>
      <c r="T144" s="192"/>
      <c r="U144" s="192"/>
      <c r="V144" s="192"/>
      <c r="W144" s="192"/>
    </row>
    <row r="145" spans="1:23" ht="15" hidden="1" outlineLevel="2">
      <c r="A145" s="209" t="s">
        <v>313</v>
      </c>
      <c r="B145" s="193">
        <v>50000000</v>
      </c>
      <c r="C145" s="192"/>
      <c r="D145" s="193"/>
      <c r="E145" s="193"/>
      <c r="F145" s="193"/>
      <c r="G145" s="193"/>
      <c r="H145" s="193"/>
      <c r="I145" s="192"/>
      <c r="J145" s="192"/>
      <c r="K145" s="192"/>
      <c r="L145" s="192"/>
      <c r="M145" s="192"/>
      <c r="N145" s="192"/>
      <c r="O145" s="192"/>
      <c r="P145" s="192"/>
      <c r="Q145" s="192"/>
      <c r="R145" s="192"/>
      <c r="S145" s="192"/>
      <c r="T145" s="192"/>
      <c r="U145" s="192"/>
      <c r="V145" s="192"/>
      <c r="W145" s="192"/>
    </row>
    <row r="146" spans="1:23" ht="15" hidden="1" outlineLevel="2">
      <c r="A146" s="209" t="s">
        <v>314</v>
      </c>
      <c r="B146" s="193">
        <v>88000000</v>
      </c>
      <c r="C146" s="192"/>
      <c r="D146" s="193"/>
      <c r="E146" s="193"/>
      <c r="F146" s="193"/>
      <c r="G146" s="193"/>
      <c r="H146" s="193"/>
      <c r="I146" s="192"/>
      <c r="J146" s="192"/>
      <c r="K146" s="192"/>
      <c r="L146" s="192"/>
      <c r="M146" s="192"/>
      <c r="N146" s="192"/>
      <c r="O146" s="192"/>
      <c r="P146" s="192"/>
      <c r="Q146" s="192"/>
      <c r="R146" s="192"/>
      <c r="S146" s="192"/>
      <c r="T146" s="192"/>
      <c r="U146" s="192"/>
      <c r="V146" s="192"/>
      <c r="W146" s="192"/>
    </row>
    <row r="147" spans="1:23" ht="15" hidden="1" outlineLevel="2">
      <c r="A147" s="209" t="s">
        <v>315</v>
      </c>
      <c r="B147" s="193">
        <f>B146+B145</f>
        <v>138000000</v>
      </c>
      <c r="C147" s="192"/>
      <c r="D147" s="193"/>
      <c r="E147" s="193"/>
      <c r="F147" s="193"/>
      <c r="G147" s="193"/>
      <c r="H147" s="193"/>
      <c r="I147" s="192"/>
      <c r="J147" s="192"/>
      <c r="K147" s="192"/>
      <c r="L147" s="192"/>
      <c r="M147" s="192"/>
      <c r="N147" s="192"/>
      <c r="O147" s="192"/>
      <c r="P147" s="192"/>
      <c r="Q147" s="192"/>
      <c r="R147" s="192"/>
      <c r="S147" s="192"/>
      <c r="T147" s="192"/>
      <c r="U147" s="192"/>
      <c r="V147" s="192"/>
      <c r="W147" s="192"/>
    </row>
    <row r="148" spans="1:23" ht="15" hidden="1" outlineLevel="2">
      <c r="A148" s="209" t="s">
        <v>305</v>
      </c>
      <c r="B148" s="193">
        <f>88000000+67000000*(1.25/1.4)</f>
        <v>147821428.57142857</v>
      </c>
      <c r="C148" s="192"/>
      <c r="D148" s="193"/>
      <c r="E148" s="193"/>
      <c r="F148" s="193"/>
      <c r="G148" s="193"/>
      <c r="H148" s="193"/>
      <c r="I148" s="192"/>
      <c r="J148" s="192"/>
      <c r="K148" s="192"/>
      <c r="L148" s="192"/>
      <c r="M148" s="192"/>
      <c r="N148" s="192"/>
      <c r="O148" s="192"/>
      <c r="P148" s="192"/>
      <c r="Q148" s="192"/>
      <c r="R148" s="192"/>
      <c r="S148" s="192"/>
      <c r="T148" s="192"/>
      <c r="U148" s="192"/>
      <c r="V148" s="192"/>
      <c r="W148" s="192"/>
    </row>
    <row r="149" spans="1:23" ht="15" hidden="1" outlineLevel="2">
      <c r="A149" s="209" t="s">
        <v>310</v>
      </c>
      <c r="B149" s="193">
        <v>6000000</v>
      </c>
      <c r="C149" s="192"/>
      <c r="D149" s="193"/>
      <c r="E149" s="193"/>
      <c r="F149" s="193"/>
      <c r="G149" s="193"/>
      <c r="H149" s="193"/>
      <c r="I149" s="192"/>
      <c r="J149" s="192"/>
      <c r="K149" s="192"/>
      <c r="L149" s="192"/>
      <c r="M149" s="192"/>
      <c r="N149" s="192"/>
      <c r="O149" s="192"/>
      <c r="P149" s="192"/>
      <c r="Q149" s="192"/>
      <c r="R149" s="192"/>
      <c r="S149" s="192"/>
      <c r="T149" s="192"/>
      <c r="U149" s="192"/>
      <c r="V149" s="192"/>
      <c r="W149" s="192"/>
    </row>
    <row r="150" spans="1:8" ht="15" hidden="1" outlineLevel="2">
      <c r="A150" s="37" t="s">
        <v>311</v>
      </c>
      <c r="B150" s="181">
        <v>3986013.98601399</v>
      </c>
      <c r="D150" s="1"/>
      <c r="E150" s="1"/>
      <c r="F150" s="1"/>
      <c r="G150" s="1"/>
      <c r="H150" s="1"/>
    </row>
    <row r="151" spans="1:8" ht="15" hidden="1" outlineLevel="2">
      <c r="A151" s="37" t="s">
        <v>312</v>
      </c>
      <c r="B151" s="181">
        <f>B147+B149+B150</f>
        <v>147986013.98601398</v>
      </c>
      <c r="D151" s="1"/>
      <c r="E151" s="1"/>
      <c r="F151" s="1"/>
      <c r="G151" s="1"/>
      <c r="H151" s="1"/>
    </row>
    <row r="152" spans="1:8" ht="15" hidden="1" outlineLevel="2">
      <c r="A152" s="37" t="s">
        <v>302</v>
      </c>
      <c r="B152" s="181">
        <v>1300000</v>
      </c>
      <c r="D152" s="1"/>
      <c r="E152" s="1"/>
      <c r="F152" s="1"/>
      <c r="G152" s="1"/>
      <c r="H152" s="1"/>
    </row>
    <row r="153" spans="1:8" ht="15" hidden="1" outlineLevel="2">
      <c r="A153" s="37" t="s">
        <v>303</v>
      </c>
      <c r="B153" s="181">
        <v>9200000</v>
      </c>
      <c r="D153" s="1"/>
      <c r="E153" s="1"/>
      <c r="F153" s="1"/>
      <c r="G153" s="1"/>
      <c r="H153" s="1"/>
    </row>
    <row r="154" spans="1:8" ht="15" hidden="1" outlineLevel="2">
      <c r="A154" s="37" t="s">
        <v>306</v>
      </c>
      <c r="B154" s="181">
        <f>SUM(B151:B153)</f>
        <v>158486013.98601398</v>
      </c>
      <c r="C154" s="1"/>
      <c r="D154" s="1"/>
      <c r="E154" s="1"/>
      <c r="F154" s="1"/>
      <c r="G154" s="1"/>
      <c r="H154" s="1"/>
    </row>
    <row r="155" spans="1:2" ht="15" hidden="1" outlineLevel="2">
      <c r="A155" s="139" t="s">
        <v>307</v>
      </c>
      <c r="B155" s="1">
        <v>850000</v>
      </c>
    </row>
    <row r="156" spans="1:2" ht="15" hidden="1" outlineLevel="2">
      <c r="A156" s="139" t="s">
        <v>316</v>
      </c>
      <c r="B156" s="1">
        <v>17000000</v>
      </c>
    </row>
    <row r="157" ht="15" collapsed="1">
      <c r="A157" s="139"/>
    </row>
    <row r="158" spans="1:23" ht="15">
      <c r="A158" s="273" t="s">
        <v>179</v>
      </c>
      <c r="B158" s="274"/>
      <c r="C158" s="275"/>
      <c r="D158" s="275">
        <f aca="true" t="shared" si="68" ref="D158:W158">D137-D140</f>
        <v>-39224315.6843157</v>
      </c>
      <c r="E158" s="275">
        <f t="shared" si="68"/>
        <v>-45605059.94005995</v>
      </c>
      <c r="F158" s="275">
        <f t="shared" si="68"/>
        <v>-83982521.76395036</v>
      </c>
      <c r="G158" s="275">
        <f t="shared" si="68"/>
        <v>-14498934.203070631</v>
      </c>
      <c r="H158" s="275">
        <f t="shared" si="68"/>
        <v>14510447.357143179</v>
      </c>
      <c r="I158" s="275">
        <f t="shared" si="68"/>
        <v>26619795.85035009</v>
      </c>
      <c r="J158" s="275">
        <f t="shared" si="68"/>
        <v>33046179.691977262</v>
      </c>
      <c r="K158" s="275">
        <f t="shared" si="68"/>
        <v>44336932.00824098</v>
      </c>
      <c r="L158" s="275">
        <f t="shared" si="68"/>
        <v>56603631.03108269</v>
      </c>
      <c r="M158" s="275">
        <f t="shared" si="68"/>
        <v>57541667.2554487</v>
      </c>
      <c r="N158" s="275">
        <f t="shared" si="68"/>
        <v>58507400.47590424</v>
      </c>
      <c r="O158" s="275">
        <f t="shared" si="68"/>
        <v>59064033.525348954</v>
      </c>
      <c r="P158" s="275">
        <f t="shared" si="68"/>
        <v>59163597.443972</v>
      </c>
      <c r="Q158" s="275">
        <f t="shared" si="68"/>
        <v>59322437.41041618</v>
      </c>
      <c r="R158" s="275">
        <f t="shared" si="68"/>
        <v>-186284107.87455344</v>
      </c>
      <c r="S158" s="275">
        <f t="shared" si="68"/>
        <v>59540795.484884456</v>
      </c>
      <c r="T158" s="275">
        <f t="shared" si="68"/>
        <v>59654800.129157245</v>
      </c>
      <c r="U158" s="275">
        <f t="shared" si="68"/>
        <v>59772184.42534199</v>
      </c>
      <c r="V158" s="275">
        <f t="shared" si="68"/>
        <v>59925355.50859382</v>
      </c>
      <c r="W158" s="275">
        <f t="shared" si="68"/>
        <v>60083639.152431004</v>
      </c>
    </row>
    <row r="159" spans="1:23" ht="15">
      <c r="A159" s="273" t="s">
        <v>430</v>
      </c>
      <c r="B159" s="274"/>
      <c r="C159" s="275"/>
      <c r="D159" s="275">
        <f aca="true" t="shared" si="69" ref="D159:W159">D158/exrate</f>
        <v>-28017368.345939785</v>
      </c>
      <c r="E159" s="275">
        <f t="shared" si="69"/>
        <v>-32575042.81432854</v>
      </c>
      <c r="F159" s="275">
        <f t="shared" si="69"/>
        <v>-59987515.54567883</v>
      </c>
      <c r="G159" s="275">
        <f t="shared" si="69"/>
        <v>-10356381.57362188</v>
      </c>
      <c r="H159" s="275">
        <f t="shared" si="69"/>
        <v>10364605.255102271</v>
      </c>
      <c r="I159" s="275">
        <f t="shared" si="69"/>
        <v>19014139.89310721</v>
      </c>
      <c r="J159" s="275">
        <f t="shared" si="69"/>
        <v>23604414.065698046</v>
      </c>
      <c r="K159" s="275">
        <f t="shared" si="69"/>
        <v>31669237.148743562</v>
      </c>
      <c r="L159" s="275">
        <f t="shared" si="69"/>
        <v>40431165.022201926</v>
      </c>
      <c r="M159" s="275">
        <f t="shared" si="69"/>
        <v>41101190.89674907</v>
      </c>
      <c r="N159" s="275">
        <f t="shared" si="69"/>
        <v>41791000.3399316</v>
      </c>
      <c r="O159" s="275">
        <f t="shared" si="69"/>
        <v>42188595.37524926</v>
      </c>
      <c r="P159" s="275">
        <f t="shared" si="69"/>
        <v>42259712.45998</v>
      </c>
      <c r="Q159" s="275">
        <f t="shared" si="69"/>
        <v>42373169.5788687</v>
      </c>
      <c r="R159" s="275">
        <f t="shared" si="69"/>
        <v>-133060077.05325247</v>
      </c>
      <c r="S159" s="275">
        <f t="shared" si="69"/>
        <v>42529139.63206033</v>
      </c>
      <c r="T159" s="275">
        <f t="shared" si="69"/>
        <v>42610571.52082661</v>
      </c>
      <c r="U159" s="275">
        <f t="shared" si="69"/>
        <v>42694417.44667286</v>
      </c>
      <c r="V159" s="275">
        <f t="shared" si="69"/>
        <v>42803825.3632813</v>
      </c>
      <c r="W159" s="275">
        <f t="shared" si="69"/>
        <v>42916885.10887929</v>
      </c>
    </row>
    <row r="160" spans="1:23" s="192" customFormat="1" ht="15">
      <c r="A160" s="199"/>
      <c r="B160" s="292"/>
      <c r="C160" s="293"/>
      <c r="D160" s="293"/>
      <c r="E160" s="293"/>
      <c r="F160" s="293"/>
      <c r="G160" s="293"/>
      <c r="H160" s="293"/>
      <c r="I160" s="293"/>
      <c r="J160" s="293"/>
      <c r="K160" s="293"/>
      <c r="L160" s="293"/>
      <c r="M160" s="293"/>
      <c r="N160" s="293"/>
      <c r="O160" s="293"/>
      <c r="P160" s="293"/>
      <c r="Q160" s="293"/>
      <c r="R160" s="293"/>
      <c r="S160" s="293"/>
      <c r="T160" s="293"/>
      <c r="U160" s="293"/>
      <c r="V160" s="293"/>
      <c r="W160" s="293"/>
    </row>
    <row r="161" spans="1:3" ht="15">
      <c r="A161" s="297"/>
      <c r="B161" s="294" t="s">
        <v>90</v>
      </c>
      <c r="C161" s="295">
        <f>IRR(D158:W158,0.1)</f>
        <v>0.1352067512835755</v>
      </c>
    </row>
    <row r="162" spans="1:3" ht="15" collapsed="1">
      <c r="A162" s="330" t="s">
        <v>448</v>
      </c>
      <c r="B162" s="331"/>
      <c r="C162" s="296">
        <f>NPV(0.1,D136:W136)</f>
        <v>296984948.0420821</v>
      </c>
    </row>
    <row r="163" spans="1:3" ht="15">
      <c r="A163" s="330" t="s">
        <v>447</v>
      </c>
      <c r="B163" s="331"/>
      <c r="C163" s="296">
        <f>NPV(0.1,D135:W135)</f>
        <v>248133583.47754678</v>
      </c>
    </row>
    <row r="164" spans="1:23" ht="15" hidden="1" outlineLevel="1">
      <c r="A164" s="39" t="s">
        <v>226</v>
      </c>
      <c r="D164" s="1">
        <f aca="true" t="shared" si="70" ref="D164:W164">D135/PPP_Conversion</f>
        <v>76564824.62770498</v>
      </c>
      <c r="E164" s="1">
        <f t="shared" si="70"/>
        <v>89507510.74483329</v>
      </c>
      <c r="F164" s="1">
        <f t="shared" si="70"/>
        <v>167352260.8947124</v>
      </c>
      <c r="G164" s="1">
        <f t="shared" si="70"/>
        <v>55557787.20605287</v>
      </c>
      <c r="H164" s="1">
        <f t="shared" si="70"/>
        <v>16969446.171395</v>
      </c>
      <c r="I164" s="1">
        <f t="shared" si="70"/>
        <v>12746488.297080848</v>
      </c>
      <c r="J164" s="1">
        <f t="shared" si="70"/>
        <v>12938168.46316604</v>
      </c>
      <c r="K164" s="1">
        <f t="shared" si="70"/>
        <v>13135594.764133582</v>
      </c>
      <c r="L164" s="1">
        <f t="shared" si="70"/>
        <v>13421281.136727907</v>
      </c>
      <c r="M164" s="1">
        <f t="shared" si="70"/>
        <v>13633205.077924658</v>
      </c>
      <c r="N164" s="1">
        <f t="shared" si="70"/>
        <v>13851485.870374966</v>
      </c>
      <c r="O164" s="1">
        <f t="shared" si="70"/>
        <v>14076314.71307273</v>
      </c>
      <c r="P164" s="1">
        <f t="shared" si="70"/>
        <v>14307883.638366846</v>
      </c>
      <c r="Q164" s="1">
        <f t="shared" si="70"/>
        <v>14737302.508652857</v>
      </c>
      <c r="R164" s="1">
        <f t="shared" si="70"/>
        <v>513394960.02227706</v>
      </c>
      <c r="S164" s="1">
        <f t="shared" si="70"/>
        <v>15247645.275141701</v>
      </c>
      <c r="T164" s="1">
        <f t="shared" si="70"/>
        <v>15514355.381397277</v>
      </c>
      <c r="U164" s="1">
        <f t="shared" si="70"/>
        <v>15789069.388450008</v>
      </c>
      <c r="V164" s="1">
        <f t="shared" si="70"/>
        <v>16182676.56033643</v>
      </c>
      <c r="W164" s="1">
        <f t="shared" si="70"/>
        <v>16593376.505127503</v>
      </c>
    </row>
    <row r="165" spans="1:3" ht="15" hidden="1" outlineLevel="1">
      <c r="A165" s="39" t="s">
        <v>227</v>
      </c>
      <c r="C165" s="1">
        <f>NPV(0.1,D164:W164)</f>
        <v>503313556.74958754</v>
      </c>
    </row>
    <row r="166" spans="1:23" ht="15" hidden="1" outlineLevel="1">
      <c r="A166" s="39" t="s">
        <v>228</v>
      </c>
      <c r="D166" s="1">
        <f aca="true" t="shared" si="71" ref="D166:W166">D136/PPP_Conversion</f>
        <v>0</v>
      </c>
      <c r="E166" s="1">
        <f t="shared" si="71"/>
        <v>0</v>
      </c>
      <c r="F166" s="1">
        <f t="shared" si="71"/>
        <v>0</v>
      </c>
      <c r="G166" s="1">
        <f t="shared" si="71"/>
        <v>29145866.19142105</v>
      </c>
      <c r="H166" s="1">
        <f t="shared" si="71"/>
        <v>49400084.102430135</v>
      </c>
      <c r="I166" s="1">
        <f t="shared" si="71"/>
        <v>66742017.40529604</v>
      </c>
      <c r="J166" s="1">
        <f t="shared" si="71"/>
        <v>79968958.91342418</v>
      </c>
      <c r="K166" s="1">
        <f t="shared" si="71"/>
        <v>103068519.73013964</v>
      </c>
      <c r="L166" s="1">
        <f t="shared" si="71"/>
        <v>128235948.54257515</v>
      </c>
      <c r="M166" s="1">
        <f t="shared" si="71"/>
        <v>130350582.87802343</v>
      </c>
      <c r="N166" s="1">
        <f t="shared" si="71"/>
        <v>132527754.58417667</v>
      </c>
      <c r="O166" s="1">
        <f t="shared" si="71"/>
        <v>133881656.54948035</v>
      </c>
      <c r="P166" s="1">
        <f t="shared" si="71"/>
        <v>134315180.6849632</v>
      </c>
      <c r="Q166" s="1">
        <f t="shared" si="71"/>
        <v>135066790.15655586</v>
      </c>
      <c r="R166" s="1">
        <f t="shared" si="71"/>
        <v>135536729.03940997</v>
      </c>
      <c r="S166" s="1">
        <f t="shared" si="71"/>
        <v>136020049.90979576</v>
      </c>
      <c r="T166" s="1">
        <f t="shared" si="71"/>
        <v>136518006.7589982</v>
      </c>
      <c r="U166" s="1">
        <f t="shared" si="71"/>
        <v>137030822.78670964</v>
      </c>
      <c r="V166" s="1">
        <f t="shared" si="71"/>
        <v>137735121.81103384</v>
      </c>
      <c r="W166" s="1">
        <f t="shared" si="71"/>
        <v>138466883.91370967</v>
      </c>
    </row>
    <row r="167" spans="1:3" ht="15" hidden="1" outlineLevel="1">
      <c r="A167" s="39" t="s">
        <v>229</v>
      </c>
      <c r="C167" s="1">
        <f>NPV(0.1,D166:W166)</f>
        <v>602403545.7243043</v>
      </c>
    </row>
    <row r="168" ht="15" hidden="1" outlineLevel="1"/>
    <row r="169" ht="15" hidden="1" outlineLevel="1"/>
    <row r="170" ht="15" hidden="1" outlineLevel="1">
      <c r="A170" s="39" t="s">
        <v>333</v>
      </c>
    </row>
    <row r="171" spans="1:2" ht="15" hidden="1" outlineLevel="1">
      <c r="A171" s="39" t="s">
        <v>336</v>
      </c>
      <c r="B171">
        <v>0</v>
      </c>
    </row>
    <row r="172" spans="1:2" ht="15" hidden="1" outlineLevel="1">
      <c r="A172" s="39" t="s">
        <v>337</v>
      </c>
      <c r="B172">
        <v>0</v>
      </c>
    </row>
    <row r="173" spans="1:2" ht="15" hidden="1" outlineLevel="1">
      <c r="A173" s="39" t="s">
        <v>334</v>
      </c>
      <c r="B173">
        <v>0</v>
      </c>
    </row>
    <row r="174" ht="15" hidden="1" outlineLevel="1"/>
    <row r="175" spans="1:24" ht="15" hidden="1" outlineLevel="1">
      <c r="A175" s="39" t="s">
        <v>340</v>
      </c>
      <c r="F175" t="s">
        <v>342</v>
      </c>
      <c r="G175" s="1">
        <f>G176</f>
        <v>5000000</v>
      </c>
      <c r="H175" s="1">
        <f aca="true" t="shared" si="72" ref="H175:W175">H176</f>
        <v>6000000</v>
      </c>
      <c r="I175" s="1">
        <f t="shared" si="72"/>
        <v>7000000</v>
      </c>
      <c r="J175" s="1">
        <f t="shared" si="72"/>
        <v>8000000</v>
      </c>
      <c r="K175" s="1">
        <f t="shared" si="72"/>
        <v>9000000</v>
      </c>
      <c r="L175" s="1">
        <f t="shared" si="72"/>
        <v>10000000</v>
      </c>
      <c r="M175" s="1">
        <f t="shared" si="72"/>
        <v>10000000</v>
      </c>
      <c r="N175" s="1">
        <f t="shared" si="72"/>
        <v>10000000</v>
      </c>
      <c r="O175" s="1">
        <f t="shared" si="72"/>
        <v>10000000</v>
      </c>
      <c r="P175" s="1">
        <f t="shared" si="72"/>
        <v>10000000</v>
      </c>
      <c r="Q175" s="1">
        <f t="shared" si="72"/>
        <v>10000000</v>
      </c>
      <c r="R175" s="1">
        <f t="shared" si="72"/>
        <v>10000000</v>
      </c>
      <c r="S175" s="1">
        <f t="shared" si="72"/>
        <v>10000000</v>
      </c>
      <c r="T175" s="1">
        <f t="shared" si="72"/>
        <v>10000000</v>
      </c>
      <c r="U175" s="1">
        <f t="shared" si="72"/>
        <v>10000000</v>
      </c>
      <c r="V175" s="1">
        <f t="shared" si="72"/>
        <v>10000000</v>
      </c>
      <c r="W175" s="1">
        <f t="shared" si="72"/>
        <v>10000000</v>
      </c>
      <c r="X175" s="1"/>
    </row>
    <row r="176" spans="6:23" ht="15" hidden="1" outlineLevel="1">
      <c r="F176" t="s">
        <v>341</v>
      </c>
      <c r="G176" s="1">
        <v>5000000</v>
      </c>
      <c r="H176" s="1">
        <v>6000000</v>
      </c>
      <c r="I176" s="1">
        <v>7000000</v>
      </c>
      <c r="J176" s="1">
        <v>8000000</v>
      </c>
      <c r="K176" s="1">
        <v>9000000</v>
      </c>
      <c r="L176" s="1">
        <v>10000000</v>
      </c>
      <c r="M176" s="1">
        <v>10000000</v>
      </c>
      <c r="N176" s="1">
        <v>10000000</v>
      </c>
      <c r="O176" s="1">
        <v>10000000</v>
      </c>
      <c r="P176" s="1">
        <v>10000000</v>
      </c>
      <c r="Q176" s="1">
        <v>10000000</v>
      </c>
      <c r="R176" s="1">
        <v>10000000</v>
      </c>
      <c r="S176" s="1">
        <v>10000000</v>
      </c>
      <c r="T176" s="1">
        <v>10000000</v>
      </c>
      <c r="U176" s="1">
        <v>10000000</v>
      </c>
      <c r="V176" s="1">
        <v>10000000</v>
      </c>
      <c r="W176" s="1">
        <v>10000000</v>
      </c>
    </row>
    <row r="177" spans="7:13" ht="15" hidden="1" outlineLevel="1">
      <c r="G177">
        <v>1</v>
      </c>
      <c r="H177">
        <v>2</v>
      </c>
      <c r="I177">
        <v>3</v>
      </c>
      <c r="J177">
        <v>4</v>
      </c>
      <c r="K177">
        <v>5</v>
      </c>
      <c r="L177">
        <v>6</v>
      </c>
      <c r="M177">
        <v>7</v>
      </c>
    </row>
    <row r="178" spans="1:23" ht="15" hidden="1" outlineLevel="1">
      <c r="A178" t="s">
        <v>71</v>
      </c>
      <c r="F178" t="s">
        <v>342</v>
      </c>
      <c r="G178" s="2">
        <f>G179</f>
        <v>0.1</v>
      </c>
      <c r="H178" s="2">
        <f aca="true" t="shared" si="73" ref="H178:W178">H179</f>
        <v>0.2</v>
      </c>
      <c r="I178" s="2">
        <f t="shared" si="73"/>
        <v>0.33</v>
      </c>
      <c r="J178" s="2">
        <f t="shared" si="73"/>
        <v>0.5</v>
      </c>
      <c r="K178" s="2">
        <f t="shared" si="73"/>
        <v>0.75</v>
      </c>
      <c r="L178" s="2">
        <f t="shared" si="73"/>
        <v>1</v>
      </c>
      <c r="M178" s="2">
        <f t="shared" si="73"/>
        <v>1</v>
      </c>
      <c r="N178" s="2">
        <f t="shared" si="73"/>
        <v>1</v>
      </c>
      <c r="O178" s="2">
        <f t="shared" si="73"/>
        <v>1</v>
      </c>
      <c r="P178" s="2">
        <f t="shared" si="73"/>
        <v>1</v>
      </c>
      <c r="Q178" s="2">
        <f t="shared" si="73"/>
        <v>1</v>
      </c>
      <c r="R178" s="2">
        <f t="shared" si="73"/>
        <v>1</v>
      </c>
      <c r="S178" s="2">
        <f t="shared" si="73"/>
        <v>1</v>
      </c>
      <c r="T178" s="2">
        <f t="shared" si="73"/>
        <v>1</v>
      </c>
      <c r="U178" s="2">
        <f t="shared" si="73"/>
        <v>1</v>
      </c>
      <c r="V178" s="2">
        <f t="shared" si="73"/>
        <v>1</v>
      </c>
      <c r="W178" s="2">
        <f t="shared" si="73"/>
        <v>1</v>
      </c>
    </row>
    <row r="179" spans="6:23" ht="15" hidden="1" outlineLevel="1">
      <c r="F179" t="s">
        <v>341</v>
      </c>
      <c r="G179" s="2">
        <v>0.1</v>
      </c>
      <c r="H179" s="2">
        <v>0.2</v>
      </c>
      <c r="I179" s="2">
        <v>0.33</v>
      </c>
      <c r="J179" s="2">
        <v>0.5</v>
      </c>
      <c r="K179" s="2">
        <v>0.75</v>
      </c>
      <c r="L179" s="2">
        <v>1</v>
      </c>
      <c r="M179" s="2">
        <v>1</v>
      </c>
      <c r="N179" s="2">
        <v>1</v>
      </c>
      <c r="O179" s="2">
        <v>1</v>
      </c>
      <c r="P179" s="2">
        <v>1</v>
      </c>
      <c r="Q179" s="2">
        <v>1</v>
      </c>
      <c r="R179" s="2">
        <v>1</v>
      </c>
      <c r="S179" s="2">
        <v>1</v>
      </c>
      <c r="T179" s="2">
        <v>1</v>
      </c>
      <c r="U179" s="2">
        <v>1</v>
      </c>
      <c r="V179" s="2">
        <v>1</v>
      </c>
      <c r="W179" s="2">
        <v>1</v>
      </c>
    </row>
    <row r="180" spans="7:23" ht="15" hidden="1" outlineLevel="1">
      <c r="G180" s="2">
        <v>0.1</v>
      </c>
      <c r="H180" s="2">
        <v>0.2</v>
      </c>
      <c r="I180" s="2">
        <v>0.3</v>
      </c>
      <c r="J180" s="2">
        <v>0.4</v>
      </c>
      <c r="K180" s="2">
        <v>0.5</v>
      </c>
      <c r="L180" s="2">
        <v>0.6</v>
      </c>
      <c r="M180" s="2">
        <v>0.7</v>
      </c>
      <c r="N180" s="2">
        <v>0.8</v>
      </c>
      <c r="O180" s="2">
        <v>0.9</v>
      </c>
      <c r="P180" s="2">
        <v>1</v>
      </c>
      <c r="Q180" s="2">
        <f aca="true" t="shared" si="74" ref="Q180:W180">P180</f>
        <v>1</v>
      </c>
      <c r="R180" s="2">
        <f t="shared" si="74"/>
        <v>1</v>
      </c>
      <c r="S180" s="2">
        <f t="shared" si="74"/>
        <v>1</v>
      </c>
      <c r="T180" s="2">
        <f t="shared" si="74"/>
        <v>1</v>
      </c>
      <c r="U180" s="2">
        <f t="shared" si="74"/>
        <v>1</v>
      </c>
      <c r="V180" s="2">
        <f t="shared" si="74"/>
        <v>1</v>
      </c>
      <c r="W180" s="2">
        <f t="shared" si="74"/>
        <v>1</v>
      </c>
    </row>
    <row r="181" spans="2:23" ht="15" hidden="1" outlineLevel="1">
      <c r="B181" s="20" t="s">
        <v>30</v>
      </c>
      <c r="C181" s="5">
        <v>0</v>
      </c>
      <c r="D181" s="5">
        <v>1</v>
      </c>
      <c r="E181" s="5">
        <v>2</v>
      </c>
      <c r="F181" s="5">
        <v>3</v>
      </c>
      <c r="G181" s="5">
        <v>4</v>
      </c>
      <c r="H181" s="5">
        <v>5</v>
      </c>
      <c r="I181" s="5">
        <v>6</v>
      </c>
      <c r="J181" s="5">
        <v>7</v>
      </c>
      <c r="K181" s="5">
        <v>8</v>
      </c>
      <c r="L181" s="5">
        <v>9</v>
      </c>
      <c r="M181" s="5">
        <v>10</v>
      </c>
      <c r="N181" s="5">
        <v>11</v>
      </c>
      <c r="O181" s="5">
        <v>12</v>
      </c>
      <c r="P181" s="5">
        <v>13</v>
      </c>
      <c r="Q181" s="5">
        <v>14</v>
      </c>
      <c r="R181" s="5">
        <v>15</v>
      </c>
      <c r="S181" s="5">
        <v>16</v>
      </c>
      <c r="T181" s="5">
        <v>17</v>
      </c>
      <c r="U181" s="5">
        <v>18</v>
      </c>
      <c r="V181" s="5">
        <v>19</v>
      </c>
      <c r="W181" s="5">
        <v>20</v>
      </c>
    </row>
    <row r="182" spans="1:23" ht="15" hidden="1" outlineLevel="1">
      <c r="A182" t="s">
        <v>344</v>
      </c>
      <c r="B182" s="20" t="s">
        <v>8</v>
      </c>
      <c r="C182" s="24">
        <v>2010</v>
      </c>
      <c r="D182" s="24">
        <v>2011</v>
      </c>
      <c r="E182" s="24">
        <v>2012</v>
      </c>
      <c r="F182" s="24">
        <v>2013</v>
      </c>
      <c r="G182" s="24">
        <v>2014</v>
      </c>
      <c r="H182" s="24">
        <v>2015</v>
      </c>
      <c r="I182" s="24">
        <v>2016</v>
      </c>
      <c r="J182" s="24">
        <v>2017</v>
      </c>
      <c r="K182" s="24">
        <v>2018</v>
      </c>
      <c r="L182" s="24">
        <v>2019</v>
      </c>
      <c r="M182" s="24">
        <v>2020</v>
      </c>
      <c r="N182" s="24">
        <v>2021</v>
      </c>
      <c r="O182" s="24">
        <v>2022</v>
      </c>
      <c r="P182" s="24">
        <v>2023</v>
      </c>
      <c r="Q182" s="24">
        <v>2024</v>
      </c>
      <c r="R182" s="24">
        <v>2025</v>
      </c>
      <c r="S182" s="24">
        <v>2026</v>
      </c>
      <c r="T182" s="24">
        <v>2027</v>
      </c>
      <c r="U182" s="24">
        <v>2028</v>
      </c>
      <c r="V182" s="24">
        <v>2029</v>
      </c>
      <c r="W182" s="24">
        <v>2030</v>
      </c>
    </row>
    <row r="183" spans="1:23" ht="15" hidden="1" outlineLevel="1">
      <c r="A183" t="s">
        <v>343</v>
      </c>
      <c r="E183" s="1">
        <f>D136</f>
        <v>0</v>
      </c>
      <c r="F183" s="1">
        <f aca="true" t="shared" si="75" ref="F183:W183">E136</f>
        <v>0</v>
      </c>
      <c r="G183" s="1">
        <f t="shared" si="75"/>
        <v>0</v>
      </c>
      <c r="H183" s="1">
        <f t="shared" si="75"/>
        <v>14368912.032370578</v>
      </c>
      <c r="I183" s="1">
        <f t="shared" si="75"/>
        <v>24354241.462498058</v>
      </c>
      <c r="J183" s="1">
        <f t="shared" si="75"/>
        <v>32903814.58081095</v>
      </c>
      <c r="K183" s="1">
        <f t="shared" si="75"/>
        <v>39424696.74431812</v>
      </c>
      <c r="L183" s="1">
        <f t="shared" si="75"/>
        <v>50812780.22695884</v>
      </c>
      <c r="M183" s="1">
        <f t="shared" si="75"/>
        <v>63220322.631489545</v>
      </c>
      <c r="N183" s="1">
        <f t="shared" si="75"/>
        <v>64262837.35886555</v>
      </c>
      <c r="O183" s="1">
        <f t="shared" si="75"/>
        <v>65336183.0099991</v>
      </c>
      <c r="P183" s="1">
        <f t="shared" si="75"/>
        <v>66003656.67889381</v>
      </c>
      <c r="Q183" s="1">
        <f t="shared" si="75"/>
        <v>66217384.07768685</v>
      </c>
      <c r="R183" s="1">
        <f t="shared" si="75"/>
        <v>66587927.54718204</v>
      </c>
      <c r="S183" s="1">
        <f t="shared" si="75"/>
        <v>66819607.41642912</v>
      </c>
      <c r="T183" s="1">
        <f t="shared" si="75"/>
        <v>67057884.605529316</v>
      </c>
      <c r="U183" s="1">
        <f t="shared" si="75"/>
        <v>67303377.3321861</v>
      </c>
      <c r="V183" s="1">
        <f t="shared" si="75"/>
        <v>67556195.63384785</v>
      </c>
      <c r="W183" s="1">
        <f t="shared" si="75"/>
        <v>67903415.05283968</v>
      </c>
    </row>
    <row r="184" spans="1:23" ht="15" hidden="1" outlineLevel="1">
      <c r="A184" t="s">
        <v>345</v>
      </c>
      <c r="C184" s="5"/>
      <c r="D184" s="25">
        <f>D135</f>
        <v>37746458.541458555</v>
      </c>
      <c r="E184" s="25">
        <f aca="true" t="shared" si="76" ref="E184:W184">E135</f>
        <v>44127202.79720281</v>
      </c>
      <c r="F184" s="25">
        <f t="shared" si="76"/>
        <v>82504664.62109321</v>
      </c>
      <c r="G184" s="25">
        <f t="shared" si="76"/>
        <v>27389989.092584066</v>
      </c>
      <c r="H184" s="25">
        <f t="shared" si="76"/>
        <v>8365936.962497735</v>
      </c>
      <c r="I184" s="25">
        <f t="shared" si="76"/>
        <v>6284018.730460858</v>
      </c>
      <c r="J184" s="25">
        <f t="shared" si="76"/>
        <v>6378517.052340858</v>
      </c>
      <c r="K184" s="25">
        <f t="shared" si="76"/>
        <v>6475848.218717855</v>
      </c>
      <c r="L184" s="25">
        <f t="shared" si="76"/>
        <v>6616691.600406858</v>
      </c>
      <c r="M184" s="25">
        <f t="shared" si="76"/>
        <v>6721170.103416856</v>
      </c>
      <c r="N184" s="25">
        <f t="shared" si="76"/>
        <v>6828782.534094858</v>
      </c>
      <c r="O184" s="25">
        <f t="shared" si="76"/>
        <v>6939623.153544856</v>
      </c>
      <c r="P184" s="25">
        <f t="shared" si="76"/>
        <v>7053786.633714855</v>
      </c>
      <c r="Q184" s="25">
        <f t="shared" si="76"/>
        <v>7265490.136765858</v>
      </c>
      <c r="R184" s="25">
        <f t="shared" si="76"/>
        <v>253103715.29098257</v>
      </c>
      <c r="S184" s="25">
        <f t="shared" si="76"/>
        <v>7517089.120644858</v>
      </c>
      <c r="T184" s="25">
        <f t="shared" si="76"/>
        <v>7648577.203028858</v>
      </c>
      <c r="U184" s="25">
        <f t="shared" si="76"/>
        <v>7784011.208505854</v>
      </c>
      <c r="V184" s="25">
        <f t="shared" si="76"/>
        <v>7978059.54424586</v>
      </c>
      <c r="W184" s="25">
        <f t="shared" si="76"/>
        <v>8180534.617027858</v>
      </c>
    </row>
    <row r="185" spans="4:23" ht="15" hidden="1" outlineLevel="1">
      <c r="D185" s="1">
        <f>D183-D184</f>
        <v>-37746458.541458555</v>
      </c>
      <c r="E185" s="1">
        <f aca="true" t="shared" si="77" ref="E185:W185">E183-E184</f>
        <v>-44127202.79720281</v>
      </c>
      <c r="F185" s="1">
        <f t="shared" si="77"/>
        <v>-82504664.62109321</v>
      </c>
      <c r="G185" s="1">
        <f t="shared" si="77"/>
        <v>-27389989.092584066</v>
      </c>
      <c r="H185" s="1">
        <f t="shared" si="77"/>
        <v>6002975.069872843</v>
      </c>
      <c r="I185" s="1">
        <f t="shared" si="77"/>
        <v>18070222.7320372</v>
      </c>
      <c r="J185" s="1">
        <f t="shared" si="77"/>
        <v>26525297.52847009</v>
      </c>
      <c r="K185" s="1">
        <f t="shared" si="77"/>
        <v>32948848.525600266</v>
      </c>
      <c r="L185" s="1">
        <f t="shared" si="77"/>
        <v>44196088.626551986</v>
      </c>
      <c r="M185" s="1">
        <f t="shared" si="77"/>
        <v>56499152.528072685</v>
      </c>
      <c r="N185" s="1">
        <f t="shared" si="77"/>
        <v>57434054.8247707</v>
      </c>
      <c r="O185" s="1">
        <f t="shared" si="77"/>
        <v>58396559.85645424</v>
      </c>
      <c r="P185" s="1">
        <f t="shared" si="77"/>
        <v>58949870.04517896</v>
      </c>
      <c r="Q185" s="1">
        <f t="shared" si="77"/>
        <v>58951893.94092099</v>
      </c>
      <c r="R185" s="1">
        <f t="shared" si="77"/>
        <v>-186515787.74380052</v>
      </c>
      <c r="S185" s="1">
        <f t="shared" si="77"/>
        <v>59302518.29578426</v>
      </c>
      <c r="T185" s="1">
        <f t="shared" si="77"/>
        <v>59409307.40250046</v>
      </c>
      <c r="U185" s="1">
        <f t="shared" si="77"/>
        <v>59519366.12368025</v>
      </c>
      <c r="V185" s="1">
        <f t="shared" si="77"/>
        <v>59578136.089601986</v>
      </c>
      <c r="W185" s="1">
        <f t="shared" si="77"/>
        <v>59722880.435811825</v>
      </c>
    </row>
    <row r="186" ht="15" hidden="1" outlineLevel="1">
      <c r="C186" s="146">
        <f>IRR(D185:W185,0.1)</f>
        <v>0.11001896773551878</v>
      </c>
    </row>
    <row r="187" spans="1:23" ht="15" hidden="1" outlineLevel="1">
      <c r="A187" s="39" t="s">
        <v>228</v>
      </c>
      <c r="D187" s="1">
        <f aca="true" t="shared" si="78" ref="D187:W187">D183/PPP_Conversion</f>
        <v>0</v>
      </c>
      <c r="E187" s="1">
        <f t="shared" si="78"/>
        <v>0</v>
      </c>
      <c r="F187" s="1">
        <f t="shared" si="78"/>
        <v>0</v>
      </c>
      <c r="G187" s="1">
        <f t="shared" si="78"/>
        <v>0</v>
      </c>
      <c r="H187" s="1">
        <f t="shared" si="78"/>
        <v>29145866.19142105</v>
      </c>
      <c r="I187" s="1">
        <f t="shared" si="78"/>
        <v>49400084.102430135</v>
      </c>
      <c r="J187" s="1">
        <f t="shared" si="78"/>
        <v>66742017.40529604</v>
      </c>
      <c r="K187" s="1">
        <f t="shared" si="78"/>
        <v>79968958.91342418</v>
      </c>
      <c r="L187" s="1">
        <f t="shared" si="78"/>
        <v>103068519.73013964</v>
      </c>
      <c r="M187" s="1">
        <f t="shared" si="78"/>
        <v>128235948.54257515</v>
      </c>
      <c r="N187" s="1">
        <f t="shared" si="78"/>
        <v>130350582.87802343</v>
      </c>
      <c r="O187" s="1">
        <f t="shared" si="78"/>
        <v>132527754.58417667</v>
      </c>
      <c r="P187" s="1">
        <f t="shared" si="78"/>
        <v>133881656.54948035</v>
      </c>
      <c r="Q187" s="1">
        <f t="shared" si="78"/>
        <v>134315180.6849632</v>
      </c>
      <c r="R187" s="1">
        <f t="shared" si="78"/>
        <v>135066790.15655586</v>
      </c>
      <c r="S187" s="1">
        <f t="shared" si="78"/>
        <v>135536729.03940997</v>
      </c>
      <c r="T187" s="1">
        <f t="shared" si="78"/>
        <v>136020049.90979576</v>
      </c>
      <c r="U187" s="1">
        <f t="shared" si="78"/>
        <v>136518006.7589982</v>
      </c>
      <c r="V187" s="1">
        <f t="shared" si="78"/>
        <v>137030822.78670964</v>
      </c>
      <c r="W187" s="1">
        <f t="shared" si="78"/>
        <v>137735121.81103384</v>
      </c>
    </row>
    <row r="188" spans="1:3" ht="15" hidden="1" outlineLevel="1">
      <c r="A188" s="39" t="s">
        <v>229</v>
      </c>
      <c r="C188" s="1">
        <f>NPV(0.1,D187:W187)</f>
        <v>528928477.9437935</v>
      </c>
    </row>
    <row r="189" ht="15" collapsed="1"/>
  </sheetData>
  <sheetProtection/>
  <mergeCells count="4">
    <mergeCell ref="A1:G1"/>
    <mergeCell ref="A2:G3"/>
    <mergeCell ref="A162:B162"/>
    <mergeCell ref="A163:B163"/>
  </mergeCells>
  <conditionalFormatting sqref="A4">
    <cfRule type="cellIs" priority="1" dxfId="14" operator="notEqual" stopIfTrue="1">
      <formula>0</formula>
    </cfRule>
    <cfRule type="cellIs" priority="3" dxfId="15" operator="equal" stopIfTrue="1">
      <formula>0</formula>
    </cfRule>
  </conditionalFormatting>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4"/>
  <dimension ref="A1:AB185"/>
  <sheetViews>
    <sheetView zoomScale="55" zoomScaleNormal="55" zoomScalePageLayoutView="0" workbookViewId="0" topLeftCell="A108">
      <selection activeCell="C147" sqref="C147"/>
    </sheetView>
  </sheetViews>
  <sheetFormatPr defaultColWidth="9.140625" defaultRowHeight="15"/>
  <cols>
    <col min="1" max="1" width="52.7109375" style="0" customWidth="1"/>
    <col min="2" max="2" width="15.28125" style="0" customWidth="1"/>
    <col min="3" max="4" width="12.421875" style="0" customWidth="1"/>
    <col min="5" max="5" width="10.57421875" style="0" bestFit="1" customWidth="1"/>
    <col min="6" max="7" width="10.28125" style="0" customWidth="1"/>
    <col min="8" max="8" width="12.421875" style="0" customWidth="1"/>
    <col min="9" max="9" width="11.7109375" style="0" customWidth="1"/>
    <col min="10" max="10" width="10.00390625" style="0" customWidth="1"/>
    <col min="11" max="11" width="11.421875" style="0" customWidth="1"/>
    <col min="12" max="12" width="12.140625" style="0" customWidth="1"/>
    <col min="13" max="23" width="10.57421875" style="0" bestFit="1" customWidth="1"/>
    <col min="24" max="24" width="11.00390625" style="0" bestFit="1" customWidth="1"/>
    <col min="25" max="26" width="9.28125" style="0" bestFit="1" customWidth="1"/>
    <col min="27" max="27" width="12.00390625" style="0" bestFit="1" customWidth="1"/>
    <col min="28" max="28" width="10.00390625" style="0" bestFit="1" customWidth="1"/>
  </cols>
  <sheetData>
    <row r="1" spans="1:5" ht="18">
      <c r="A1" s="328" t="s">
        <v>399</v>
      </c>
      <c r="B1" s="328"/>
      <c r="C1" s="328"/>
      <c r="D1" s="328"/>
      <c r="E1" s="328"/>
    </row>
    <row r="2" spans="1:5" ht="18" customHeight="1">
      <c r="A2" s="332" t="s">
        <v>395</v>
      </c>
      <c r="B2" s="332"/>
      <c r="C2" s="332"/>
      <c r="D2" s="332"/>
      <c r="E2" s="332"/>
    </row>
    <row r="3" spans="1:5" ht="15">
      <c r="A3" s="332"/>
      <c r="B3" s="332"/>
      <c r="C3" s="332"/>
      <c r="D3" s="332"/>
      <c r="E3" s="332"/>
    </row>
    <row r="4" spans="1:5" ht="18">
      <c r="A4" s="185"/>
      <c r="B4" s="185"/>
      <c r="C4" s="185"/>
      <c r="D4" s="185"/>
      <c r="E4" s="186" t="s">
        <v>380</v>
      </c>
    </row>
    <row r="5" ht="15">
      <c r="A5" s="7"/>
    </row>
    <row r="6" spans="1:7" ht="15">
      <c r="A6" s="7"/>
      <c r="C6" s="3"/>
      <c r="D6" s="3"/>
      <c r="E6" s="3"/>
      <c r="F6" s="3"/>
      <c r="G6" s="3"/>
    </row>
    <row r="7" ht="15">
      <c r="A7" s="7" t="s">
        <v>31</v>
      </c>
    </row>
    <row r="8" ht="15">
      <c r="A8" s="7" t="s">
        <v>97</v>
      </c>
    </row>
    <row r="9" spans="1:23" ht="15">
      <c r="A9" s="7" t="s">
        <v>184</v>
      </c>
      <c r="B9" s="20" t="s">
        <v>30</v>
      </c>
      <c r="C9" s="5">
        <v>0</v>
      </c>
      <c r="D9" s="5">
        <v>1</v>
      </c>
      <c r="E9" s="5">
        <v>2</v>
      </c>
      <c r="F9" s="5">
        <v>3</v>
      </c>
      <c r="G9" s="5">
        <v>4</v>
      </c>
      <c r="H9" s="5">
        <v>5</v>
      </c>
      <c r="I9" s="5">
        <v>6</v>
      </c>
      <c r="J9" s="5">
        <v>7</v>
      </c>
      <c r="K9" s="5">
        <v>8</v>
      </c>
      <c r="L9" s="5">
        <v>9</v>
      </c>
      <c r="M9" s="5">
        <v>10</v>
      </c>
      <c r="N9" s="5">
        <v>11</v>
      </c>
      <c r="O9" s="5">
        <v>12</v>
      </c>
      <c r="P9" s="5">
        <v>13</v>
      </c>
      <c r="Q9" s="5">
        <v>14</v>
      </c>
      <c r="R9" s="5">
        <v>15</v>
      </c>
      <c r="S9" s="5">
        <v>16</v>
      </c>
      <c r="T9" s="5">
        <v>17</v>
      </c>
      <c r="U9" s="5">
        <v>18</v>
      </c>
      <c r="V9" s="5">
        <v>19</v>
      </c>
      <c r="W9" s="5">
        <v>20</v>
      </c>
    </row>
    <row r="10" spans="2:23" ht="15">
      <c r="B10" s="20" t="s">
        <v>8</v>
      </c>
      <c r="C10" s="24">
        <v>2010</v>
      </c>
      <c r="D10" s="24">
        <v>2011</v>
      </c>
      <c r="E10" s="24">
        <v>2012</v>
      </c>
      <c r="F10" s="24">
        <v>2013</v>
      </c>
      <c r="G10" s="24">
        <v>2014</v>
      </c>
      <c r="H10" s="24">
        <v>2015</v>
      </c>
      <c r="I10" s="24">
        <v>2016</v>
      </c>
      <c r="J10" s="24">
        <v>2017</v>
      </c>
      <c r="K10" s="24">
        <v>2018</v>
      </c>
      <c r="L10" s="24">
        <v>2019</v>
      </c>
      <c r="M10" s="24">
        <v>2020</v>
      </c>
      <c r="N10" s="24">
        <v>2021</v>
      </c>
      <c r="O10" s="24">
        <v>2022</v>
      </c>
      <c r="P10" s="24">
        <v>2023</v>
      </c>
      <c r="Q10" s="24">
        <v>2024</v>
      </c>
      <c r="R10" s="24">
        <v>2025</v>
      </c>
      <c r="S10" s="24">
        <v>2026</v>
      </c>
      <c r="T10" s="24">
        <v>2027</v>
      </c>
      <c r="U10" s="24">
        <v>2028</v>
      </c>
      <c r="V10" s="24">
        <v>2029</v>
      </c>
      <c r="W10" s="24">
        <v>2030</v>
      </c>
    </row>
    <row r="11" spans="1:23" ht="15">
      <c r="A11" t="s">
        <v>34</v>
      </c>
      <c r="B11" s="6"/>
      <c r="C11" s="12">
        <v>1850000</v>
      </c>
      <c r="D11" s="12">
        <f aca="true" t="shared" si="0" ref="D11:W11">ROUND(C11*(1+PopGrowth),0)</f>
        <v>1905500</v>
      </c>
      <c r="E11" s="12">
        <f t="shared" si="0"/>
        <v>1962665</v>
      </c>
      <c r="F11" s="12">
        <f t="shared" si="0"/>
        <v>2021545</v>
      </c>
      <c r="G11" s="12">
        <f t="shared" si="0"/>
        <v>2082191</v>
      </c>
      <c r="H11" s="12">
        <f t="shared" si="0"/>
        <v>2144657</v>
      </c>
      <c r="I11" s="12">
        <f t="shared" si="0"/>
        <v>2208997</v>
      </c>
      <c r="J11" s="12">
        <f t="shared" si="0"/>
        <v>2275267</v>
      </c>
      <c r="K11" s="12">
        <f t="shared" si="0"/>
        <v>2343525</v>
      </c>
      <c r="L11" s="12">
        <f t="shared" si="0"/>
        <v>2413831</v>
      </c>
      <c r="M11" s="12">
        <f t="shared" si="0"/>
        <v>2486246</v>
      </c>
      <c r="N11" s="12">
        <f t="shared" si="0"/>
        <v>2560833</v>
      </c>
      <c r="O11" s="12">
        <f t="shared" si="0"/>
        <v>2637658</v>
      </c>
      <c r="P11" s="12">
        <f t="shared" si="0"/>
        <v>2716788</v>
      </c>
      <c r="Q11" s="12">
        <f t="shared" si="0"/>
        <v>2798292</v>
      </c>
      <c r="R11" s="12">
        <f t="shared" si="0"/>
        <v>2882241</v>
      </c>
      <c r="S11" s="12">
        <f t="shared" si="0"/>
        <v>2968708</v>
      </c>
      <c r="T11" s="12">
        <f t="shared" si="0"/>
        <v>3057769</v>
      </c>
      <c r="U11" s="12">
        <f t="shared" si="0"/>
        <v>3149502</v>
      </c>
      <c r="V11" s="12">
        <f t="shared" si="0"/>
        <v>3243987</v>
      </c>
      <c r="W11" s="12">
        <f t="shared" si="0"/>
        <v>3341307</v>
      </c>
    </row>
    <row r="12" spans="1:23" ht="15">
      <c r="A12" t="s">
        <v>46</v>
      </c>
      <c r="B12" s="6"/>
      <c r="C12" s="16">
        <f>C11*0.93-C28</f>
        <v>1421500</v>
      </c>
      <c r="D12" s="16">
        <f aca="true" t="shared" si="1" ref="D12:W12">D11*0.93-D28</f>
        <v>1464145</v>
      </c>
      <c r="E12" s="16">
        <f t="shared" si="1"/>
        <v>1508069.4500000002</v>
      </c>
      <c r="F12" s="16">
        <f t="shared" si="1"/>
        <v>1553311.85</v>
      </c>
      <c r="G12" s="16">
        <f t="shared" si="1"/>
        <v>1599910.6300000001</v>
      </c>
      <c r="H12" s="16">
        <f t="shared" si="1"/>
        <v>1647908.01</v>
      </c>
      <c r="I12" s="16">
        <f t="shared" si="1"/>
        <v>1697345.2100000002</v>
      </c>
      <c r="J12" s="16">
        <f t="shared" si="1"/>
        <v>1748265.31</v>
      </c>
      <c r="K12" s="16">
        <f t="shared" si="1"/>
        <v>1800713.25</v>
      </c>
      <c r="L12" s="16">
        <f t="shared" si="1"/>
        <v>1854734.83</v>
      </c>
      <c r="M12" s="16">
        <f t="shared" si="1"/>
        <v>1910376.7800000003</v>
      </c>
      <c r="N12" s="16">
        <f t="shared" si="1"/>
        <v>1967687.69</v>
      </c>
      <c r="O12" s="16">
        <f t="shared" si="1"/>
        <v>2026717.94</v>
      </c>
      <c r="P12" s="16">
        <f t="shared" si="1"/>
        <v>2087519.8400000003</v>
      </c>
      <c r="Q12" s="16">
        <f t="shared" si="1"/>
        <v>2150145.56</v>
      </c>
      <c r="R12" s="16">
        <f t="shared" si="1"/>
        <v>2214650.1300000004</v>
      </c>
      <c r="S12" s="16">
        <f t="shared" si="1"/>
        <v>2281089.44</v>
      </c>
      <c r="T12" s="16">
        <f t="shared" si="1"/>
        <v>2349522.17</v>
      </c>
      <c r="U12" s="16">
        <f t="shared" si="1"/>
        <v>2420007.8600000003</v>
      </c>
      <c r="V12" s="16">
        <f t="shared" si="1"/>
        <v>2492607.91</v>
      </c>
      <c r="W12" s="16">
        <f t="shared" si="1"/>
        <v>2567386.5100000002</v>
      </c>
    </row>
    <row r="13" spans="1:23" ht="15">
      <c r="A13" t="s">
        <v>35</v>
      </c>
      <c r="B13" s="6"/>
      <c r="C13" s="12">
        <f>Data!B9</f>
        <v>103</v>
      </c>
      <c r="D13" s="12">
        <v>103</v>
      </c>
      <c r="E13" s="12">
        <v>103</v>
      </c>
      <c r="F13" s="12">
        <v>103</v>
      </c>
      <c r="G13" s="12">
        <v>104</v>
      </c>
      <c r="H13" s="12">
        <v>104</v>
      </c>
      <c r="I13" s="12">
        <v>104</v>
      </c>
      <c r="J13" s="12">
        <v>104</v>
      </c>
      <c r="K13" s="12">
        <v>104</v>
      </c>
      <c r="L13" s="12">
        <v>104</v>
      </c>
      <c r="M13" s="12">
        <v>104</v>
      </c>
      <c r="N13" s="12">
        <v>104</v>
      </c>
      <c r="O13" s="12">
        <v>104</v>
      </c>
      <c r="P13" s="12">
        <v>104</v>
      </c>
      <c r="Q13" s="12">
        <v>104</v>
      </c>
      <c r="R13" s="12">
        <v>104</v>
      </c>
      <c r="S13" s="12">
        <v>104</v>
      </c>
      <c r="T13" s="12">
        <v>104</v>
      </c>
      <c r="U13" s="12">
        <v>104</v>
      </c>
      <c r="V13" s="12">
        <v>104</v>
      </c>
      <c r="W13" s="12">
        <v>105</v>
      </c>
    </row>
    <row r="14" spans="1:23" ht="15">
      <c r="A14" t="s">
        <v>40</v>
      </c>
      <c r="B14" s="6"/>
      <c r="C14" s="1">
        <f>C12*C13/1000*365</f>
        <v>53441292.5</v>
      </c>
      <c r="D14" s="1">
        <f aca="true" t="shared" si="2" ref="D14:W14">D12*D13/1000*365</f>
        <v>55044531.275</v>
      </c>
      <c r="E14" s="1">
        <f t="shared" si="2"/>
        <v>56695870.972750016</v>
      </c>
      <c r="F14" s="1">
        <f t="shared" si="2"/>
        <v>58396759.000750005</v>
      </c>
      <c r="G14" s="1">
        <f t="shared" si="2"/>
        <v>60732607.514800005</v>
      </c>
      <c r="H14" s="1">
        <f t="shared" si="2"/>
        <v>62554588.0596</v>
      </c>
      <c r="I14" s="1">
        <f t="shared" si="2"/>
        <v>64431224.171600014</v>
      </c>
      <c r="J14" s="1">
        <f t="shared" si="2"/>
        <v>66364151.1676</v>
      </c>
      <c r="K14" s="1">
        <f t="shared" si="2"/>
        <v>68355074.97</v>
      </c>
      <c r="L14" s="1">
        <f t="shared" si="2"/>
        <v>70405734.1468</v>
      </c>
      <c r="M14" s="1">
        <f t="shared" si="2"/>
        <v>72517902.56880002</v>
      </c>
      <c r="N14" s="1">
        <f t="shared" si="2"/>
        <v>74693424.7124</v>
      </c>
      <c r="O14" s="1">
        <f t="shared" si="2"/>
        <v>76934213.0024</v>
      </c>
      <c r="P14" s="1">
        <f t="shared" si="2"/>
        <v>79242253.12640002</v>
      </c>
      <c r="Q14" s="1">
        <f t="shared" si="2"/>
        <v>81619525.4576</v>
      </c>
      <c r="R14" s="1">
        <f t="shared" si="2"/>
        <v>84068118.93480001</v>
      </c>
      <c r="S14" s="1">
        <f t="shared" si="2"/>
        <v>86590155.1424</v>
      </c>
      <c r="T14" s="1">
        <f t="shared" si="2"/>
        <v>89187861.5732</v>
      </c>
      <c r="U14" s="1">
        <f t="shared" si="2"/>
        <v>91863498.3656</v>
      </c>
      <c r="V14" s="1">
        <f t="shared" si="2"/>
        <v>94619396.2636</v>
      </c>
      <c r="W14" s="1">
        <f t="shared" si="2"/>
        <v>98395087.99575001</v>
      </c>
    </row>
    <row r="15" spans="1:23" ht="15">
      <c r="A15" t="s">
        <v>64</v>
      </c>
      <c r="B15" s="6"/>
      <c r="C15" s="3">
        <f aca="true" t="shared" si="3" ref="C15:W15">C14/365</f>
        <v>146414.5</v>
      </c>
      <c r="D15" s="3">
        <f t="shared" si="3"/>
        <v>150806.935</v>
      </c>
      <c r="E15" s="3">
        <f t="shared" si="3"/>
        <v>155331.15335000004</v>
      </c>
      <c r="F15" s="3">
        <f t="shared" si="3"/>
        <v>159991.12055000002</v>
      </c>
      <c r="G15" s="3">
        <f t="shared" si="3"/>
        <v>166390.70552000002</v>
      </c>
      <c r="H15" s="3">
        <f t="shared" si="3"/>
        <v>171382.43304</v>
      </c>
      <c r="I15" s="3">
        <f t="shared" si="3"/>
        <v>176523.90184000004</v>
      </c>
      <c r="J15" s="3">
        <f t="shared" si="3"/>
        <v>181819.59224</v>
      </c>
      <c r="K15" s="3">
        <f t="shared" si="3"/>
        <v>187274.17799999999</v>
      </c>
      <c r="L15" s="3">
        <f t="shared" si="3"/>
        <v>192892.42231999998</v>
      </c>
      <c r="M15" s="3">
        <f t="shared" si="3"/>
        <v>198679.18512000004</v>
      </c>
      <c r="N15" s="3">
        <f t="shared" si="3"/>
        <v>204639.51976000002</v>
      </c>
      <c r="O15" s="3">
        <f t="shared" si="3"/>
        <v>210778.66575999997</v>
      </c>
      <c r="P15" s="3">
        <f t="shared" si="3"/>
        <v>217102.06336000006</v>
      </c>
      <c r="Q15" s="3">
        <f t="shared" si="3"/>
        <v>223615.13824</v>
      </c>
      <c r="R15" s="3">
        <f t="shared" si="3"/>
        <v>230323.61352000004</v>
      </c>
      <c r="S15" s="3">
        <f t="shared" si="3"/>
        <v>237233.30176</v>
      </c>
      <c r="T15" s="3">
        <f t="shared" si="3"/>
        <v>244350.30568000002</v>
      </c>
      <c r="U15" s="3">
        <f t="shared" si="3"/>
        <v>251680.81744</v>
      </c>
      <c r="V15" s="3">
        <f t="shared" si="3"/>
        <v>259231.22264000002</v>
      </c>
      <c r="W15" s="3">
        <f t="shared" si="3"/>
        <v>269575.58355000004</v>
      </c>
    </row>
    <row r="16" spans="2:23" ht="15">
      <c r="B16" s="6"/>
      <c r="C16" s="3"/>
      <c r="D16" s="3"/>
      <c r="E16" s="3"/>
      <c r="F16" s="3"/>
      <c r="G16" s="3"/>
      <c r="H16" s="3"/>
      <c r="I16" s="3"/>
      <c r="J16" s="3"/>
      <c r="K16" s="3"/>
      <c r="L16" s="3"/>
      <c r="M16" s="3"/>
      <c r="N16" s="3"/>
      <c r="O16" s="3"/>
      <c r="P16" s="3"/>
      <c r="Q16" s="3"/>
      <c r="R16" s="3"/>
      <c r="S16" s="3"/>
      <c r="T16" s="3"/>
      <c r="U16" s="3"/>
      <c r="V16" s="3"/>
      <c r="W16" s="3"/>
    </row>
    <row r="17" spans="1:26" ht="15">
      <c r="A17" t="s">
        <v>36</v>
      </c>
      <c r="B17" s="6"/>
      <c r="C17" s="3">
        <v>921450</v>
      </c>
      <c r="D17" s="3">
        <f aca="true" t="shared" si="4" ref="D17:W17">ROUND(C17*(1+PopGrowth),0)</f>
        <v>949094</v>
      </c>
      <c r="E17" s="3">
        <f t="shared" si="4"/>
        <v>977567</v>
      </c>
      <c r="F17" s="3">
        <f t="shared" si="4"/>
        <v>1006894</v>
      </c>
      <c r="G17" s="3">
        <f t="shared" si="4"/>
        <v>1037101</v>
      </c>
      <c r="H17" s="3">
        <f t="shared" si="4"/>
        <v>1068214</v>
      </c>
      <c r="I17" s="3">
        <f t="shared" si="4"/>
        <v>1100260</v>
      </c>
      <c r="J17" s="3">
        <f t="shared" si="4"/>
        <v>1133268</v>
      </c>
      <c r="K17" s="3">
        <f t="shared" si="4"/>
        <v>1167266</v>
      </c>
      <c r="L17" s="3">
        <f t="shared" si="4"/>
        <v>1202284</v>
      </c>
      <c r="M17" s="3">
        <f t="shared" si="4"/>
        <v>1238353</v>
      </c>
      <c r="N17" s="3">
        <f t="shared" si="4"/>
        <v>1275504</v>
      </c>
      <c r="O17" s="3">
        <f t="shared" si="4"/>
        <v>1313769</v>
      </c>
      <c r="P17" s="3">
        <f t="shared" si="4"/>
        <v>1353182</v>
      </c>
      <c r="Q17" s="3">
        <f t="shared" si="4"/>
        <v>1393777</v>
      </c>
      <c r="R17" s="3">
        <f t="shared" si="4"/>
        <v>1435590</v>
      </c>
      <c r="S17" s="3">
        <f t="shared" si="4"/>
        <v>1478658</v>
      </c>
      <c r="T17" s="3">
        <f t="shared" si="4"/>
        <v>1523018</v>
      </c>
      <c r="U17" s="3">
        <f t="shared" si="4"/>
        <v>1568709</v>
      </c>
      <c r="V17" s="3">
        <f t="shared" si="4"/>
        <v>1615770</v>
      </c>
      <c r="W17" s="3">
        <f t="shared" si="4"/>
        <v>1664243</v>
      </c>
      <c r="X17" s="187"/>
      <c r="Y17" s="188">
        <f>W17*0.72</f>
        <v>1198254.96</v>
      </c>
      <c r="Z17" s="187"/>
    </row>
    <row r="18" spans="1:26" ht="15">
      <c r="A18" t="s">
        <v>350</v>
      </c>
      <c r="B18" s="6"/>
      <c r="C18" s="3">
        <f>C17*Data!$B53</f>
        <v>663444</v>
      </c>
      <c r="D18" s="3">
        <f>D17*Data!$B53</f>
        <v>683347.6799999999</v>
      </c>
      <c r="E18" s="3">
        <f>E17*Data!$B53</f>
        <v>703848.24</v>
      </c>
      <c r="F18" s="3">
        <f>F17*Data!$B53</f>
        <v>724963.6799999999</v>
      </c>
      <c r="G18" s="3">
        <f>G17*Data!$B53</f>
        <v>746712.72</v>
      </c>
      <c r="H18" s="3">
        <f>H17*Data!$B53</f>
        <v>769114.08</v>
      </c>
      <c r="I18" s="3">
        <f>I17*Data!$B53</f>
        <v>792187.2</v>
      </c>
      <c r="J18" s="3">
        <f>J17*Data!$B53</f>
        <v>815952.96</v>
      </c>
      <c r="K18" s="3">
        <f>K17*Data!$B53</f>
        <v>840431.52</v>
      </c>
      <c r="L18" s="3">
        <f>L17*Data!$B53</f>
        <v>865644.48</v>
      </c>
      <c r="M18" s="3">
        <f>M17*Data!$B53</f>
        <v>891614.1599999999</v>
      </c>
      <c r="N18" s="3">
        <f>N17*Data!$B53</f>
        <v>918362.88</v>
      </c>
      <c r="O18" s="3">
        <f>O17*Data!$B53</f>
        <v>945913.6799999999</v>
      </c>
      <c r="P18" s="3">
        <f>P17*Data!$B53</f>
        <v>974291.0399999999</v>
      </c>
      <c r="Q18" s="3">
        <f>Q17*Data!$B53</f>
        <v>1003519.44</v>
      </c>
      <c r="R18" s="3">
        <f>R17*Data!$B53</f>
        <v>1033624.7999999999</v>
      </c>
      <c r="S18" s="3">
        <f>S17*Data!$B53</f>
        <v>1064633.76</v>
      </c>
      <c r="T18" s="3">
        <f>T17*Data!$B53</f>
        <v>1096572.96</v>
      </c>
      <c r="U18" s="3">
        <f>U17*Data!$B53</f>
        <v>1129470.48</v>
      </c>
      <c r="V18" s="3">
        <f>V17*Data!$B53</f>
        <v>1163354.4</v>
      </c>
      <c r="W18" s="3">
        <f>W17*Data!$B53</f>
        <v>1198254.96</v>
      </c>
      <c r="X18" s="187"/>
      <c r="Y18" s="188"/>
      <c r="Z18" s="187"/>
    </row>
    <row r="19" spans="1:26" ht="15">
      <c r="A19" t="s">
        <v>373</v>
      </c>
      <c r="B19" s="6"/>
      <c r="C19" s="3"/>
      <c r="D19" s="2"/>
      <c r="E19" s="2"/>
      <c r="F19" s="2"/>
      <c r="G19" s="2"/>
      <c r="H19" s="2">
        <v>0.5</v>
      </c>
      <c r="I19" s="2">
        <v>1</v>
      </c>
      <c r="J19" s="2">
        <v>1</v>
      </c>
      <c r="K19" s="2">
        <v>1</v>
      </c>
      <c r="L19" s="2">
        <v>1</v>
      </c>
      <c r="M19" s="2">
        <v>1</v>
      </c>
      <c r="N19" s="2">
        <v>1</v>
      </c>
      <c r="O19" s="2">
        <v>1</v>
      </c>
      <c r="P19" s="2">
        <v>1</v>
      </c>
      <c r="Q19" s="2">
        <v>1</v>
      </c>
      <c r="R19" s="2">
        <v>1</v>
      </c>
      <c r="S19" s="2">
        <v>1</v>
      </c>
      <c r="T19" s="2">
        <v>1</v>
      </c>
      <c r="U19" s="2">
        <v>1</v>
      </c>
      <c r="V19" s="2">
        <v>1</v>
      </c>
      <c r="W19" s="2">
        <v>1</v>
      </c>
      <c r="X19" s="187"/>
      <c r="Y19" s="188"/>
      <c r="Z19" s="187"/>
    </row>
    <row r="20" spans="1:26" ht="15">
      <c r="A20" t="s">
        <v>349</v>
      </c>
      <c r="B20" s="6"/>
      <c r="C20" s="3">
        <f>C17*Data!$B53</f>
        <v>663444</v>
      </c>
      <c r="D20" s="3">
        <f>D17*Data!$B53</f>
        <v>683347.6799999999</v>
      </c>
      <c r="E20" s="3">
        <f>E17*Data!$B53</f>
        <v>703848.24</v>
      </c>
      <c r="F20" s="3">
        <f>F17*Data!$B53</f>
        <v>724963.6799999999</v>
      </c>
      <c r="G20" s="3">
        <f>G17*Data!$B53</f>
        <v>746712.72</v>
      </c>
      <c r="H20" s="3">
        <f>H17*(Data!$B53*(1-H19)+Data!$B54*H19)</f>
        <v>838547.9899999999</v>
      </c>
      <c r="I20" s="3">
        <f>I17*(Data!$B53*(1-I19)+Data!$B54*I19)</f>
        <v>935221</v>
      </c>
      <c r="J20" s="3">
        <f>J17*(Data!$B53*(1-J19)+Data!$B54*J19)</f>
        <v>963277.7999999999</v>
      </c>
      <c r="K20" s="3">
        <f>K17*(Data!$B53*(1-K19)+Data!$B54*K19)</f>
        <v>992176.1</v>
      </c>
      <c r="L20" s="3">
        <f>L17*(Data!$B53*(1-L19)+Data!$B54*L19)</f>
        <v>1021941.4</v>
      </c>
      <c r="M20" s="3">
        <f>M17*(Data!$B53*(1-M19)+Data!$B54*M19)</f>
        <v>1052600.05</v>
      </c>
      <c r="N20" s="3">
        <f>N17*(Data!$B53*(1-N19)+Data!$B54*N19)</f>
        <v>1084178.4</v>
      </c>
      <c r="O20" s="3">
        <f>O17*(Data!$B53*(1-O19)+Data!$B54*O19)</f>
        <v>1116703.65</v>
      </c>
      <c r="P20" s="3">
        <f>P17*(Data!$B53*(1-P19)+Data!$B54*P19)</f>
        <v>1150204.7</v>
      </c>
      <c r="Q20" s="3">
        <f>Q17*(Data!$B53*(1-Q19)+Data!$B54*Q19)</f>
        <v>1184710.45</v>
      </c>
      <c r="R20" s="3">
        <f>R17*(Data!$B53*(1-R19)+Data!$B54*R19)</f>
        <v>1220251.5</v>
      </c>
      <c r="S20" s="3">
        <f>S17*(Data!$B53*(1-S19)+Data!$B54*S19)</f>
        <v>1256859.3</v>
      </c>
      <c r="T20" s="3">
        <f>T17*(Data!$B53*(1-T19)+Data!$B54*T19)</f>
        <v>1294565.3</v>
      </c>
      <c r="U20" s="3">
        <f>U17*(Data!$B53*(1-U19)+Data!$B54*U19)</f>
        <v>1333402.65</v>
      </c>
      <c r="V20" s="3">
        <f>V17*(Data!$B53*(1-V19)+Data!$B54*V19)</f>
        <v>1373404.5</v>
      </c>
      <c r="W20" s="3">
        <f>W17*(Data!$B53*(1-W19)+Data!$B54*W19)</f>
        <v>1414606.55</v>
      </c>
      <c r="X20" s="188">
        <f>X17*(Data!$B53*(1-X19)+Data!$B54*X19)</f>
        <v>0</v>
      </c>
      <c r="Y20" s="188">
        <f>Y17*(Data!$B53*(1-Y19)+Data!$B54*Y19)</f>
        <v>862743.5711999999</v>
      </c>
      <c r="Z20" s="188">
        <f>Z17*(Data!$B53*(1-Z19)+Data!$B54*Z19)</f>
        <v>0</v>
      </c>
    </row>
    <row r="21" spans="1:26" ht="15">
      <c r="A21" t="s">
        <v>37</v>
      </c>
      <c r="B21" s="6"/>
      <c r="C21" s="12">
        <f>Data!B10</f>
        <v>58</v>
      </c>
      <c r="D21" s="12">
        <f aca="true" t="shared" si="5" ref="D21:U21">C21</f>
        <v>58</v>
      </c>
      <c r="E21" s="12">
        <f t="shared" si="5"/>
        <v>58</v>
      </c>
      <c r="F21" s="12">
        <f t="shared" si="5"/>
        <v>58</v>
      </c>
      <c r="G21" s="12">
        <v>83</v>
      </c>
      <c r="H21" s="12">
        <v>83</v>
      </c>
      <c r="I21" s="12">
        <f t="shared" si="5"/>
        <v>83</v>
      </c>
      <c r="J21" s="12">
        <f t="shared" si="5"/>
        <v>83</v>
      </c>
      <c r="K21" s="12">
        <f t="shared" si="5"/>
        <v>83</v>
      </c>
      <c r="L21" s="12">
        <v>84</v>
      </c>
      <c r="M21" s="12">
        <f t="shared" si="5"/>
        <v>84</v>
      </c>
      <c r="N21" s="12">
        <f t="shared" si="5"/>
        <v>84</v>
      </c>
      <c r="O21" s="12">
        <f t="shared" si="5"/>
        <v>84</v>
      </c>
      <c r="P21" s="12">
        <f t="shared" si="5"/>
        <v>84</v>
      </c>
      <c r="Q21" s="12">
        <v>86</v>
      </c>
      <c r="R21" s="12">
        <f t="shared" si="5"/>
        <v>86</v>
      </c>
      <c r="S21" s="12">
        <f t="shared" si="5"/>
        <v>86</v>
      </c>
      <c r="T21" s="12">
        <f t="shared" si="5"/>
        <v>86</v>
      </c>
      <c r="U21" s="12">
        <f t="shared" si="5"/>
        <v>86</v>
      </c>
      <c r="V21" s="12">
        <v>87</v>
      </c>
      <c r="W21" s="12">
        <v>88</v>
      </c>
      <c r="X21" s="187"/>
      <c r="Y21" s="187"/>
      <c r="Z21" s="187"/>
    </row>
    <row r="22" spans="1:23" ht="15">
      <c r="A22" t="s">
        <v>45</v>
      </c>
      <c r="B22" s="6"/>
      <c r="C22" s="1">
        <f>C20*C21*365/1000</f>
        <v>14045109.48</v>
      </c>
      <c r="D22" s="1">
        <f aca="true" t="shared" si="6" ref="D22:W22">D20*D21*365/1000</f>
        <v>14466470.385599999</v>
      </c>
      <c r="E22" s="1">
        <f t="shared" si="6"/>
        <v>14900467.2408</v>
      </c>
      <c r="F22" s="1">
        <f t="shared" si="6"/>
        <v>15347481.105599998</v>
      </c>
      <c r="G22" s="1">
        <f t="shared" si="6"/>
        <v>22621661.852399997</v>
      </c>
      <c r="H22" s="1">
        <f t="shared" si="6"/>
        <v>25403811.357049994</v>
      </c>
      <c r="I22" s="1">
        <f t="shared" si="6"/>
        <v>28332520.195</v>
      </c>
      <c r="J22" s="1">
        <f t="shared" si="6"/>
        <v>29182500.950999998</v>
      </c>
      <c r="K22" s="1">
        <f t="shared" si="6"/>
        <v>30057974.9495</v>
      </c>
      <c r="L22" s="1">
        <f t="shared" si="6"/>
        <v>31332723.324000005</v>
      </c>
      <c r="M22" s="1">
        <f t="shared" si="6"/>
        <v>32272717.533</v>
      </c>
      <c r="N22" s="1">
        <f t="shared" si="6"/>
        <v>33240909.743999995</v>
      </c>
      <c r="O22" s="1">
        <f t="shared" si="6"/>
        <v>34238133.908999994</v>
      </c>
      <c r="P22" s="1">
        <f t="shared" si="6"/>
        <v>35265276.102</v>
      </c>
      <c r="Q22" s="1">
        <f t="shared" si="6"/>
        <v>37188061.0255</v>
      </c>
      <c r="R22" s="1">
        <f t="shared" si="6"/>
        <v>38303694.585</v>
      </c>
      <c r="S22" s="1">
        <f t="shared" si="6"/>
        <v>39452813.427</v>
      </c>
      <c r="T22" s="1">
        <f t="shared" si="6"/>
        <v>40636404.767</v>
      </c>
      <c r="U22" s="1">
        <f t="shared" si="6"/>
        <v>41855509.1835</v>
      </c>
      <c r="V22" s="1">
        <f t="shared" si="6"/>
        <v>43612459.8975</v>
      </c>
      <c r="W22" s="1">
        <f t="shared" si="6"/>
        <v>45437162.386</v>
      </c>
    </row>
    <row r="23" spans="1:23" ht="15">
      <c r="A23" t="s">
        <v>65</v>
      </c>
      <c r="B23" s="6"/>
      <c r="C23" s="3">
        <f>C22/365</f>
        <v>38479.752</v>
      </c>
      <c r="D23" s="3">
        <f aca="true" t="shared" si="7" ref="D23:W23">D22/365</f>
        <v>39634.16544</v>
      </c>
      <c r="E23" s="3">
        <f t="shared" si="7"/>
        <v>40823.19792</v>
      </c>
      <c r="F23" s="3">
        <f t="shared" si="7"/>
        <v>42047.89343999999</v>
      </c>
      <c r="G23" s="3">
        <f t="shared" si="7"/>
        <v>61977.155759999994</v>
      </c>
      <c r="H23" s="3">
        <f t="shared" si="7"/>
        <v>69599.48316999998</v>
      </c>
      <c r="I23" s="3">
        <f t="shared" si="7"/>
        <v>77623.34300000001</v>
      </c>
      <c r="J23" s="3">
        <f t="shared" si="7"/>
        <v>79952.05739999999</v>
      </c>
      <c r="K23" s="3">
        <f t="shared" si="7"/>
        <v>82350.6163</v>
      </c>
      <c r="L23" s="3">
        <f t="shared" si="7"/>
        <v>85843.07760000002</v>
      </c>
      <c r="M23" s="3">
        <f t="shared" si="7"/>
        <v>88418.4042</v>
      </c>
      <c r="N23" s="3">
        <f t="shared" si="7"/>
        <v>91070.98559999999</v>
      </c>
      <c r="O23" s="3">
        <f t="shared" si="7"/>
        <v>93803.10659999998</v>
      </c>
      <c r="P23" s="3">
        <f t="shared" si="7"/>
        <v>96617.1948</v>
      </c>
      <c r="Q23" s="3">
        <f t="shared" si="7"/>
        <v>101885.0987</v>
      </c>
      <c r="R23" s="3">
        <f t="shared" si="7"/>
        <v>104941.629</v>
      </c>
      <c r="S23" s="3">
        <f t="shared" si="7"/>
        <v>108089.8998</v>
      </c>
      <c r="T23" s="3">
        <f t="shared" si="7"/>
        <v>111332.6158</v>
      </c>
      <c r="U23" s="3">
        <f t="shared" si="7"/>
        <v>114672.62789999999</v>
      </c>
      <c r="V23" s="3">
        <f t="shared" si="7"/>
        <v>119486.1915</v>
      </c>
      <c r="W23" s="3">
        <f t="shared" si="7"/>
        <v>124485.3764</v>
      </c>
    </row>
    <row r="24" spans="2:23" ht="15">
      <c r="B24" s="6"/>
      <c r="C24" s="3"/>
      <c r="D24" s="3"/>
      <c r="E24" s="3"/>
      <c r="F24" s="3"/>
      <c r="G24" s="3"/>
      <c r="H24" s="3"/>
      <c r="I24" s="3"/>
      <c r="J24" s="3"/>
      <c r="K24" s="3"/>
      <c r="L24" s="3"/>
      <c r="M24" s="3"/>
      <c r="N24" s="3"/>
      <c r="O24" s="3"/>
      <c r="P24" s="3"/>
      <c r="Q24" s="3"/>
      <c r="R24" s="3"/>
      <c r="S24" s="3"/>
      <c r="T24" s="3"/>
      <c r="U24" s="3"/>
      <c r="V24" s="3"/>
      <c r="W24" s="3"/>
    </row>
    <row r="25" spans="1:23" ht="15">
      <c r="A25" t="s">
        <v>47</v>
      </c>
      <c r="B25" s="6"/>
      <c r="C25" s="3">
        <f aca="true" t="shared" si="8" ref="C25:W25">C17-C20</f>
        <v>258006</v>
      </c>
      <c r="D25" s="3">
        <f t="shared" si="8"/>
        <v>265746.32000000007</v>
      </c>
      <c r="E25" s="3">
        <f t="shared" si="8"/>
        <v>273718.76</v>
      </c>
      <c r="F25" s="3">
        <f t="shared" si="8"/>
        <v>281930.32000000007</v>
      </c>
      <c r="G25" s="3">
        <f t="shared" si="8"/>
        <v>290388.28</v>
      </c>
      <c r="H25" s="3">
        <f t="shared" si="8"/>
        <v>229666.01000000013</v>
      </c>
      <c r="I25" s="3">
        <f t="shared" si="8"/>
        <v>165039</v>
      </c>
      <c r="J25" s="3">
        <f t="shared" si="8"/>
        <v>169990.20000000007</v>
      </c>
      <c r="K25" s="3">
        <f t="shared" si="8"/>
        <v>175089.90000000002</v>
      </c>
      <c r="L25" s="3">
        <f t="shared" si="8"/>
        <v>180342.59999999998</v>
      </c>
      <c r="M25" s="3">
        <f t="shared" si="8"/>
        <v>185752.94999999995</v>
      </c>
      <c r="N25" s="3">
        <f t="shared" si="8"/>
        <v>191325.6000000001</v>
      </c>
      <c r="O25" s="3">
        <f t="shared" si="8"/>
        <v>197065.3500000001</v>
      </c>
      <c r="P25" s="3">
        <f t="shared" si="8"/>
        <v>202977.30000000005</v>
      </c>
      <c r="Q25" s="3">
        <f t="shared" si="8"/>
        <v>209066.55000000005</v>
      </c>
      <c r="R25" s="3">
        <f t="shared" si="8"/>
        <v>215338.5</v>
      </c>
      <c r="S25" s="3">
        <f t="shared" si="8"/>
        <v>221798.69999999995</v>
      </c>
      <c r="T25" s="3">
        <f t="shared" si="8"/>
        <v>228452.69999999995</v>
      </c>
      <c r="U25" s="3">
        <f t="shared" si="8"/>
        <v>235306.3500000001</v>
      </c>
      <c r="V25" s="3">
        <f t="shared" si="8"/>
        <v>242365.5</v>
      </c>
      <c r="W25" s="3">
        <f t="shared" si="8"/>
        <v>249636.44999999995</v>
      </c>
    </row>
    <row r="26" spans="1:23" ht="15">
      <c r="A26" t="s">
        <v>48</v>
      </c>
      <c r="B26" s="6"/>
      <c r="C26" s="1">
        <f aca="true" t="shared" si="9" ref="C26:W26">C25*C21*365/1000/2</f>
        <v>2730993.51</v>
      </c>
      <c r="D26" s="1">
        <f t="shared" si="9"/>
        <v>2812924.797200001</v>
      </c>
      <c r="E26" s="1">
        <f t="shared" si="9"/>
        <v>2897313.0746</v>
      </c>
      <c r="F26" s="1">
        <f t="shared" si="9"/>
        <v>2984232.437200001</v>
      </c>
      <c r="G26" s="1">
        <f t="shared" si="9"/>
        <v>4398656.4713</v>
      </c>
      <c r="H26" s="1">
        <f t="shared" si="9"/>
        <v>3478865.886475002</v>
      </c>
      <c r="I26" s="1">
        <f t="shared" si="9"/>
        <v>2499928.2525</v>
      </c>
      <c r="J26" s="1">
        <f t="shared" si="9"/>
        <v>2574926.554500001</v>
      </c>
      <c r="K26" s="1">
        <f t="shared" si="9"/>
        <v>2652174.26025</v>
      </c>
      <c r="L26" s="1">
        <f t="shared" si="9"/>
        <v>2764652.0579999997</v>
      </c>
      <c r="M26" s="1">
        <f t="shared" si="9"/>
        <v>2847592.7234999994</v>
      </c>
      <c r="N26" s="1">
        <f t="shared" si="9"/>
        <v>2933021.4480000013</v>
      </c>
      <c r="O26" s="1">
        <f t="shared" si="9"/>
        <v>3021011.8155000014</v>
      </c>
      <c r="P26" s="1">
        <f t="shared" si="9"/>
        <v>3111642.0090000005</v>
      </c>
      <c r="Q26" s="1">
        <f t="shared" si="9"/>
        <v>3281299.502250001</v>
      </c>
      <c r="R26" s="1">
        <f t="shared" si="9"/>
        <v>3379737.7575</v>
      </c>
      <c r="S26" s="1">
        <f t="shared" si="9"/>
        <v>3481130.596499999</v>
      </c>
      <c r="T26" s="1">
        <f t="shared" si="9"/>
        <v>3585565.126499999</v>
      </c>
      <c r="U26" s="1">
        <f t="shared" si="9"/>
        <v>3693133.1632500016</v>
      </c>
      <c r="V26" s="1">
        <f t="shared" si="9"/>
        <v>3848158.22625</v>
      </c>
      <c r="W26" s="1">
        <f t="shared" si="9"/>
        <v>4009161.386999999</v>
      </c>
    </row>
    <row r="27" spans="2:23" ht="15">
      <c r="B27" s="6"/>
      <c r="C27" s="3"/>
      <c r="D27" s="12"/>
      <c r="E27" s="12"/>
      <c r="F27" s="12"/>
      <c r="G27" s="12"/>
      <c r="H27" s="12"/>
      <c r="I27" s="12"/>
      <c r="J27" s="12"/>
      <c r="K27" s="12"/>
      <c r="L27" s="12"/>
      <c r="M27" s="12"/>
      <c r="N27" s="12"/>
      <c r="O27" s="12"/>
      <c r="P27" s="12"/>
      <c r="Q27" s="12"/>
      <c r="R27" s="12"/>
      <c r="S27" s="12"/>
      <c r="T27" s="12"/>
      <c r="U27" s="12"/>
      <c r="V27" s="12"/>
      <c r="W27" s="12"/>
    </row>
    <row r="28" spans="1:23" ht="15">
      <c r="A28" t="s">
        <v>41</v>
      </c>
      <c r="B28" s="6"/>
      <c r="C28">
        <v>299000</v>
      </c>
      <c r="D28" s="12">
        <f aca="true" t="shared" si="10" ref="D28:W28">ROUND(C28*(1+PopGrowth),0)</f>
        <v>307970</v>
      </c>
      <c r="E28" s="12">
        <f t="shared" si="10"/>
        <v>317209</v>
      </c>
      <c r="F28" s="12">
        <f t="shared" si="10"/>
        <v>326725</v>
      </c>
      <c r="G28" s="12">
        <f t="shared" si="10"/>
        <v>336527</v>
      </c>
      <c r="H28" s="12">
        <f t="shared" si="10"/>
        <v>346623</v>
      </c>
      <c r="I28" s="12">
        <f t="shared" si="10"/>
        <v>357022</v>
      </c>
      <c r="J28" s="12">
        <f t="shared" si="10"/>
        <v>367733</v>
      </c>
      <c r="K28" s="12">
        <f t="shared" si="10"/>
        <v>378765</v>
      </c>
      <c r="L28" s="12">
        <f t="shared" si="10"/>
        <v>390128</v>
      </c>
      <c r="M28" s="12">
        <f t="shared" si="10"/>
        <v>401832</v>
      </c>
      <c r="N28" s="12">
        <f t="shared" si="10"/>
        <v>413887</v>
      </c>
      <c r="O28" s="12">
        <f t="shared" si="10"/>
        <v>426304</v>
      </c>
      <c r="P28" s="12">
        <f t="shared" si="10"/>
        <v>439093</v>
      </c>
      <c r="Q28" s="12">
        <f t="shared" si="10"/>
        <v>452266</v>
      </c>
      <c r="R28" s="12">
        <f t="shared" si="10"/>
        <v>465834</v>
      </c>
      <c r="S28" s="12">
        <f t="shared" si="10"/>
        <v>479809</v>
      </c>
      <c r="T28" s="12">
        <f t="shared" si="10"/>
        <v>494203</v>
      </c>
      <c r="U28" s="12">
        <f t="shared" si="10"/>
        <v>509029</v>
      </c>
      <c r="V28" s="12">
        <f t="shared" si="10"/>
        <v>524300</v>
      </c>
      <c r="W28" s="12">
        <f t="shared" si="10"/>
        <v>540029</v>
      </c>
    </row>
    <row r="29" spans="1:23" ht="15">
      <c r="A29" t="s">
        <v>42</v>
      </c>
      <c r="B29" s="6"/>
      <c r="C29" s="1">
        <f>C28*Data!$B9*365/1000</f>
        <v>11240905</v>
      </c>
      <c r="D29" s="1">
        <f>D28*Data!$B9*365/1000</f>
        <v>11578132.15</v>
      </c>
      <c r="E29" s="1">
        <f>E28*Data!$B9*365/1000</f>
        <v>11925472.355</v>
      </c>
      <c r="F29" s="1">
        <f>F28*Data!$B9*365/1000</f>
        <v>12283226.375</v>
      </c>
      <c r="G29" s="1">
        <f>G28*G13*365/1000</f>
        <v>12774564.92</v>
      </c>
      <c r="H29" s="1">
        <f>H28*H13*365/1000</f>
        <v>13157809.08</v>
      </c>
      <c r="I29" s="1">
        <f aca="true" t="shared" si="11" ref="I29:W29">I28*I13*365/1000</f>
        <v>13552555.12</v>
      </c>
      <c r="J29" s="1">
        <f t="shared" si="11"/>
        <v>13959144.68</v>
      </c>
      <c r="K29" s="1">
        <f t="shared" si="11"/>
        <v>14377919.4</v>
      </c>
      <c r="L29" s="1">
        <f t="shared" si="11"/>
        <v>14809258.88</v>
      </c>
      <c r="M29" s="1">
        <f t="shared" si="11"/>
        <v>15253542.72</v>
      </c>
      <c r="N29" s="1">
        <f t="shared" si="11"/>
        <v>15711150.52</v>
      </c>
      <c r="O29" s="1">
        <f t="shared" si="11"/>
        <v>16182499.84</v>
      </c>
      <c r="P29" s="1">
        <f t="shared" si="11"/>
        <v>16667970.28</v>
      </c>
      <c r="Q29" s="1">
        <f t="shared" si="11"/>
        <v>17168017.36</v>
      </c>
      <c r="R29" s="1">
        <f t="shared" si="11"/>
        <v>17683058.64</v>
      </c>
      <c r="S29" s="1">
        <f t="shared" si="11"/>
        <v>18213549.64</v>
      </c>
      <c r="T29" s="1">
        <f t="shared" si="11"/>
        <v>18759945.88</v>
      </c>
      <c r="U29" s="1">
        <f t="shared" si="11"/>
        <v>19322740.84</v>
      </c>
      <c r="V29" s="1">
        <f t="shared" si="11"/>
        <v>19902428</v>
      </c>
      <c r="W29" s="1">
        <f t="shared" si="11"/>
        <v>20696611.425</v>
      </c>
    </row>
    <row r="30" spans="1:23" ht="15">
      <c r="A30" t="s">
        <v>66</v>
      </c>
      <c r="B30" s="6"/>
      <c r="C30" s="3">
        <f>C29/365</f>
        <v>30797</v>
      </c>
      <c r="D30" s="3">
        <f aca="true" t="shared" si="12" ref="D30:W30">D29/365</f>
        <v>31720.91</v>
      </c>
      <c r="E30" s="3">
        <f t="shared" si="12"/>
        <v>32672.527000000002</v>
      </c>
      <c r="F30" s="3">
        <f t="shared" si="12"/>
        <v>33652.675</v>
      </c>
      <c r="G30" s="3">
        <f t="shared" si="12"/>
        <v>34998.808</v>
      </c>
      <c r="H30" s="3">
        <f t="shared" si="12"/>
        <v>36048.792</v>
      </c>
      <c r="I30" s="3">
        <f t="shared" si="12"/>
        <v>37130.288</v>
      </c>
      <c r="J30" s="3">
        <f t="shared" si="12"/>
        <v>38244.231999999996</v>
      </c>
      <c r="K30" s="3">
        <f t="shared" si="12"/>
        <v>39391.56</v>
      </c>
      <c r="L30" s="3">
        <f t="shared" si="12"/>
        <v>40573.312000000005</v>
      </c>
      <c r="M30" s="3">
        <f t="shared" si="12"/>
        <v>41790.528</v>
      </c>
      <c r="N30" s="3">
        <f t="shared" si="12"/>
        <v>43044.248</v>
      </c>
      <c r="O30" s="3">
        <f t="shared" si="12"/>
        <v>44335.616</v>
      </c>
      <c r="P30" s="3">
        <f t="shared" si="12"/>
        <v>45665.672</v>
      </c>
      <c r="Q30" s="3">
        <f t="shared" si="12"/>
        <v>47035.664</v>
      </c>
      <c r="R30" s="3">
        <f t="shared" si="12"/>
        <v>48446.736000000004</v>
      </c>
      <c r="S30" s="3">
        <f t="shared" si="12"/>
        <v>49900.136</v>
      </c>
      <c r="T30" s="3">
        <f t="shared" si="12"/>
        <v>51397.111999999994</v>
      </c>
      <c r="U30" s="3">
        <f t="shared" si="12"/>
        <v>52939.015999999996</v>
      </c>
      <c r="V30" s="3">
        <f t="shared" si="12"/>
        <v>54527.2</v>
      </c>
      <c r="W30" s="3">
        <f t="shared" si="12"/>
        <v>56703.045000000006</v>
      </c>
    </row>
    <row r="31" spans="1:23" ht="15">
      <c r="A31" t="s">
        <v>194</v>
      </c>
      <c r="B31" s="6"/>
      <c r="C31" s="1">
        <f>C14+C29</f>
        <v>64682197.5</v>
      </c>
      <c r="D31" s="1">
        <f aca="true" t="shared" si="13" ref="D31:W31">D14+D29</f>
        <v>66622663.425</v>
      </c>
      <c r="E31" s="1">
        <f t="shared" si="13"/>
        <v>68621343.32775001</v>
      </c>
      <c r="F31" s="1">
        <f t="shared" si="13"/>
        <v>70679985.37575</v>
      </c>
      <c r="G31" s="1">
        <f t="shared" si="13"/>
        <v>73507172.4348</v>
      </c>
      <c r="H31" s="1">
        <f t="shared" si="13"/>
        <v>75712397.13960001</v>
      </c>
      <c r="I31" s="1">
        <f t="shared" si="13"/>
        <v>77983779.29160002</v>
      </c>
      <c r="J31" s="1">
        <f t="shared" si="13"/>
        <v>80323295.8476</v>
      </c>
      <c r="K31" s="1">
        <f t="shared" si="13"/>
        <v>82732994.37</v>
      </c>
      <c r="L31" s="1">
        <f t="shared" si="13"/>
        <v>85214993.02679999</v>
      </c>
      <c r="M31" s="1">
        <f t="shared" si="13"/>
        <v>87771445.28880002</v>
      </c>
      <c r="N31" s="1">
        <f t="shared" si="13"/>
        <v>90404575.2324</v>
      </c>
      <c r="O31" s="1">
        <f t="shared" si="13"/>
        <v>93116712.8424</v>
      </c>
      <c r="P31" s="1">
        <f t="shared" si="13"/>
        <v>95910223.40640002</v>
      </c>
      <c r="Q31" s="1">
        <f t="shared" si="13"/>
        <v>98787542.8176</v>
      </c>
      <c r="R31" s="1">
        <f t="shared" si="13"/>
        <v>101751177.57480001</v>
      </c>
      <c r="S31" s="1">
        <f t="shared" si="13"/>
        <v>104803704.7824</v>
      </c>
      <c r="T31" s="1">
        <f t="shared" si="13"/>
        <v>107947807.4532</v>
      </c>
      <c r="U31" s="1">
        <f t="shared" si="13"/>
        <v>111186239.20560001</v>
      </c>
      <c r="V31" s="1">
        <f t="shared" si="13"/>
        <v>114521824.2636</v>
      </c>
      <c r="W31" s="1">
        <f t="shared" si="13"/>
        <v>119091699.42075</v>
      </c>
    </row>
    <row r="32" spans="2:23" ht="15">
      <c r="B32" s="6"/>
      <c r="C32" s="1"/>
      <c r="D32" s="2"/>
      <c r="E32" s="1"/>
      <c r="F32" s="1"/>
      <c r="G32" s="1"/>
      <c r="H32" s="1"/>
      <c r="I32" s="1"/>
      <c r="J32" s="1"/>
      <c r="K32" s="1"/>
      <c r="L32" s="1"/>
      <c r="M32" s="1"/>
      <c r="N32" s="1"/>
      <c r="O32" s="1"/>
      <c r="P32" s="1"/>
      <c r="Q32" s="1"/>
      <c r="R32" s="1"/>
      <c r="S32" s="1"/>
      <c r="T32" s="1"/>
      <c r="U32" s="1"/>
      <c r="V32" s="1"/>
      <c r="W32" s="1"/>
    </row>
    <row r="33" spans="1:23" ht="15">
      <c r="A33" t="s">
        <v>99</v>
      </c>
      <c r="B33" s="1"/>
      <c r="C33" s="1">
        <v>27000000</v>
      </c>
      <c r="D33" s="1">
        <f aca="true" t="shared" si="14" ref="D33:W33">D22+D26+D29</f>
        <v>28857527.3328</v>
      </c>
      <c r="E33" s="1">
        <f t="shared" si="14"/>
        <v>29723252.6704</v>
      </c>
      <c r="F33" s="1">
        <f>F22+F26+F29</f>
        <v>30614939.917799998</v>
      </c>
      <c r="G33" s="1">
        <f>G22+G26+G29</f>
        <v>39794883.2437</v>
      </c>
      <c r="H33" s="1">
        <f>H22+H26+H29</f>
        <v>42040486.323525</v>
      </c>
      <c r="I33" s="1">
        <f t="shared" si="14"/>
        <v>44385003.5675</v>
      </c>
      <c r="J33" s="1">
        <f t="shared" si="14"/>
        <v>45716572.185499996</v>
      </c>
      <c r="K33" s="1">
        <f t="shared" si="14"/>
        <v>47088068.609749995</v>
      </c>
      <c r="L33" s="1">
        <f t="shared" si="14"/>
        <v>48906634.26200001</v>
      </c>
      <c r="M33" s="1">
        <f t="shared" si="14"/>
        <v>50373852.9765</v>
      </c>
      <c r="N33" s="1">
        <f t="shared" si="14"/>
        <v>51885081.712</v>
      </c>
      <c r="O33" s="1">
        <f t="shared" si="14"/>
        <v>53441645.56449999</v>
      </c>
      <c r="P33" s="1">
        <f t="shared" si="14"/>
        <v>55044888.391</v>
      </c>
      <c r="Q33" s="1">
        <f t="shared" si="14"/>
        <v>57637377.88775</v>
      </c>
      <c r="R33" s="1">
        <f t="shared" si="14"/>
        <v>59366490.9825</v>
      </c>
      <c r="S33" s="1">
        <f t="shared" si="14"/>
        <v>61147493.6635</v>
      </c>
      <c r="T33" s="1">
        <f t="shared" si="14"/>
        <v>62981915.773499995</v>
      </c>
      <c r="U33" s="1">
        <f t="shared" si="14"/>
        <v>64871383.186749995</v>
      </c>
      <c r="V33" s="1">
        <f t="shared" si="14"/>
        <v>67363046.12375</v>
      </c>
      <c r="W33" s="1">
        <f t="shared" si="14"/>
        <v>70142935.198</v>
      </c>
    </row>
    <row r="34" spans="1:23" ht="15">
      <c r="A34" t="s">
        <v>100</v>
      </c>
      <c r="B34" s="6"/>
      <c r="C34" s="3">
        <f>C33/365</f>
        <v>73972.60273972603</v>
      </c>
      <c r="D34" s="3">
        <f>D33/365</f>
        <v>79061.71872</v>
      </c>
      <c r="E34" s="3">
        <f>E33/365</f>
        <v>81433.56896</v>
      </c>
      <c r="F34" s="3">
        <f>F33/365</f>
        <v>83876.54771999999</v>
      </c>
      <c r="G34" s="3">
        <f>G33/365</f>
        <v>109027.07737999999</v>
      </c>
      <c r="H34" s="3">
        <f>H33/365</f>
        <v>115179.41458499999</v>
      </c>
      <c r="I34" s="3">
        <f>I33/365</f>
        <v>121602.7495</v>
      </c>
      <c r="J34" s="3">
        <f>J33/365</f>
        <v>125250.88269999999</v>
      </c>
      <c r="K34" s="3">
        <f>K33/365</f>
        <v>129008.40714999998</v>
      </c>
      <c r="L34" s="3">
        <f>L33/365</f>
        <v>133990.77880000003</v>
      </c>
      <c r="M34" s="3">
        <f>M33/365</f>
        <v>138010.5561</v>
      </c>
      <c r="N34" s="3">
        <f>N33/365</f>
        <v>142150.9088</v>
      </c>
      <c r="O34" s="3">
        <f>O33/365</f>
        <v>146415.46729999996</v>
      </c>
      <c r="P34" s="3">
        <f>P33/365</f>
        <v>150807.91340000002</v>
      </c>
      <c r="Q34" s="3">
        <f>Q33/365</f>
        <v>157910.62435</v>
      </c>
      <c r="R34" s="3">
        <f>R33/365</f>
        <v>162647.9205</v>
      </c>
      <c r="S34" s="3">
        <f>S33/365</f>
        <v>167527.3799</v>
      </c>
      <c r="T34" s="3">
        <f>T33/365</f>
        <v>172553.19389999998</v>
      </c>
      <c r="U34" s="3">
        <f>U33/365</f>
        <v>177729.81694999998</v>
      </c>
      <c r="V34" s="3">
        <f>V33/365</f>
        <v>184556.29075000001</v>
      </c>
      <c r="W34" s="3">
        <f>W33/365</f>
        <v>192172.4252</v>
      </c>
    </row>
    <row r="35" spans="2:23" ht="15">
      <c r="B35" s="6"/>
      <c r="C35" s="1"/>
      <c r="D35" s="1"/>
      <c r="E35" s="1"/>
      <c r="F35" s="1"/>
      <c r="G35" s="1"/>
      <c r="H35" s="1">
        <f>H36*0.6716</f>
        <v>20836390</v>
      </c>
      <c r="I35" s="3"/>
      <c r="J35" s="3"/>
      <c r="K35" s="3"/>
      <c r="L35" s="3"/>
      <c r="M35" s="3"/>
      <c r="N35" s="3"/>
      <c r="O35" s="3"/>
      <c r="P35" s="3"/>
      <c r="Q35" s="3"/>
      <c r="R35" s="3"/>
      <c r="S35" s="3"/>
      <c r="T35" s="3"/>
      <c r="U35" s="3"/>
      <c r="V35" s="3"/>
      <c r="W35" s="3"/>
    </row>
    <row r="36" spans="1:23" ht="15">
      <c r="A36" t="s">
        <v>49</v>
      </c>
      <c r="B36" s="6"/>
      <c r="C36" s="1">
        <f>IF(C33&gt;85000*365,85000*365,C33)</f>
        <v>27000000</v>
      </c>
      <c r="D36" s="1">
        <f aca="true" t="shared" si="15" ref="D36:W36">IF(D33&gt;85000*365,85000*365,D33)</f>
        <v>28857527.3328</v>
      </c>
      <c r="E36" s="1">
        <f t="shared" si="15"/>
        <v>29723252.6704</v>
      </c>
      <c r="F36" s="1">
        <f t="shared" si="15"/>
        <v>30614939.917799998</v>
      </c>
      <c r="G36" s="1">
        <f t="shared" si="15"/>
        <v>31025000</v>
      </c>
      <c r="H36" s="1">
        <f t="shared" si="15"/>
        <v>31025000</v>
      </c>
      <c r="I36" s="1">
        <f t="shared" si="15"/>
        <v>31025000</v>
      </c>
      <c r="J36" s="1">
        <f t="shared" si="15"/>
        <v>31025000</v>
      </c>
      <c r="K36" s="1">
        <f t="shared" si="15"/>
        <v>31025000</v>
      </c>
      <c r="L36" s="1">
        <f t="shared" si="15"/>
        <v>31025000</v>
      </c>
      <c r="M36" s="1">
        <f t="shared" si="15"/>
        <v>31025000</v>
      </c>
      <c r="N36" s="1">
        <f t="shared" si="15"/>
        <v>31025000</v>
      </c>
      <c r="O36" s="1">
        <f t="shared" si="15"/>
        <v>31025000</v>
      </c>
      <c r="P36" s="1">
        <f t="shared" si="15"/>
        <v>31025000</v>
      </c>
      <c r="Q36" s="1">
        <f t="shared" si="15"/>
        <v>31025000</v>
      </c>
      <c r="R36" s="1">
        <f t="shared" si="15"/>
        <v>31025000</v>
      </c>
      <c r="S36" s="1">
        <f t="shared" si="15"/>
        <v>31025000</v>
      </c>
      <c r="T36" s="1">
        <f t="shared" si="15"/>
        <v>31025000</v>
      </c>
      <c r="U36" s="1">
        <f t="shared" si="15"/>
        <v>31025000</v>
      </c>
      <c r="V36" s="1">
        <f t="shared" si="15"/>
        <v>31025000</v>
      </c>
      <c r="W36" s="1">
        <f t="shared" si="15"/>
        <v>31025000</v>
      </c>
    </row>
    <row r="37" spans="1:23" ht="17.25">
      <c r="A37" t="s">
        <v>68</v>
      </c>
      <c r="B37" s="6"/>
      <c r="C37" s="3">
        <f>C36/365</f>
        <v>73972.60273972603</v>
      </c>
      <c r="D37" s="3">
        <f>D36/365</f>
        <v>79061.71872</v>
      </c>
      <c r="E37" s="3">
        <f>E36/365</f>
        <v>81433.56896</v>
      </c>
      <c r="F37" s="3">
        <f>F36/365</f>
        <v>83876.54771999999</v>
      </c>
      <c r="G37" s="3">
        <f>G36/365</f>
        <v>85000</v>
      </c>
      <c r="H37" s="3">
        <f>H36/365</f>
        <v>85000</v>
      </c>
      <c r="I37" s="3">
        <f>I36/365</f>
        <v>85000</v>
      </c>
      <c r="J37" s="3">
        <f>J36/365</f>
        <v>85000</v>
      </c>
      <c r="K37" s="3">
        <f>K36/365</f>
        <v>85000</v>
      </c>
      <c r="L37" s="3">
        <f>L36/365</f>
        <v>85000</v>
      </c>
      <c r="M37" s="3">
        <f>M36/365</f>
        <v>85000</v>
      </c>
      <c r="N37" s="3">
        <f>N36/365</f>
        <v>85000</v>
      </c>
      <c r="O37" s="3">
        <f>O36/365</f>
        <v>85000</v>
      </c>
      <c r="P37" s="3">
        <f>P36/365</f>
        <v>85000</v>
      </c>
      <c r="Q37" s="3">
        <f>Q36/365</f>
        <v>85000</v>
      </c>
      <c r="R37" s="3">
        <f>R36/365</f>
        <v>85000</v>
      </c>
      <c r="S37" s="3">
        <f>S36/365</f>
        <v>85000</v>
      </c>
      <c r="T37" s="3">
        <f>T36/365</f>
        <v>85000</v>
      </c>
      <c r="U37" s="3">
        <f>U36/365</f>
        <v>85000</v>
      </c>
      <c r="V37" s="3">
        <f>V36/365</f>
        <v>85000</v>
      </c>
      <c r="W37" s="3">
        <f>W36/365</f>
        <v>85000</v>
      </c>
    </row>
    <row r="38" spans="1:23" ht="15">
      <c r="A38" t="s">
        <v>151</v>
      </c>
      <c r="B38" s="6"/>
      <c r="C38" s="1">
        <f>C33-C36</f>
        <v>0</v>
      </c>
      <c r="D38" s="1">
        <f>D33-D36</f>
        <v>0</v>
      </c>
      <c r="E38" s="1">
        <f aca="true" t="shared" si="16" ref="E38:W38">E33-E36</f>
        <v>0</v>
      </c>
      <c r="F38" s="1">
        <f t="shared" si="16"/>
        <v>0</v>
      </c>
      <c r="G38" s="1">
        <f t="shared" si="16"/>
        <v>8769883.243699998</v>
      </c>
      <c r="H38" s="1">
        <f t="shared" si="16"/>
        <v>11015486.323524997</v>
      </c>
      <c r="I38" s="1">
        <f t="shared" si="16"/>
        <v>13360003.567500003</v>
      </c>
      <c r="J38" s="1">
        <f t="shared" si="16"/>
        <v>14691572.185499996</v>
      </c>
      <c r="K38" s="1">
        <f t="shared" si="16"/>
        <v>16063068.609749995</v>
      </c>
      <c r="L38" s="1">
        <f t="shared" si="16"/>
        <v>17881634.26200001</v>
      </c>
      <c r="M38" s="1">
        <f t="shared" si="16"/>
        <v>19348852.976499997</v>
      </c>
      <c r="N38" s="1">
        <f t="shared" si="16"/>
        <v>20860081.711999997</v>
      </c>
      <c r="O38" s="1">
        <f t="shared" si="16"/>
        <v>22416645.56449999</v>
      </c>
      <c r="P38" s="1">
        <f t="shared" si="16"/>
        <v>24019888.391000003</v>
      </c>
      <c r="Q38" s="1">
        <f t="shared" si="16"/>
        <v>26612377.88775</v>
      </c>
      <c r="R38" s="1">
        <f t="shared" si="16"/>
        <v>28341490.9825</v>
      </c>
      <c r="S38" s="1">
        <f t="shared" si="16"/>
        <v>30122493.663500004</v>
      </c>
      <c r="T38" s="1">
        <f t="shared" si="16"/>
        <v>31956915.773499995</v>
      </c>
      <c r="U38" s="1">
        <f t="shared" si="16"/>
        <v>33846383.186749995</v>
      </c>
      <c r="V38" s="1">
        <f t="shared" si="16"/>
        <v>36338046.12375</v>
      </c>
      <c r="W38" s="1">
        <f t="shared" si="16"/>
        <v>39117935.198</v>
      </c>
    </row>
    <row r="39" spans="1:23" ht="15">
      <c r="A39" t="s">
        <v>62</v>
      </c>
      <c r="B39" s="6"/>
      <c r="C39" s="3"/>
      <c r="D39" s="3"/>
      <c r="E39" s="3"/>
      <c r="F39" s="3"/>
      <c r="G39" s="3"/>
      <c r="H39" s="1">
        <f>H14+H35</f>
        <v>83390978.0596</v>
      </c>
      <c r="I39" s="3">
        <f>H39/365</f>
        <v>228468.43303999997</v>
      </c>
      <c r="J39" s="3"/>
      <c r="K39" s="3"/>
      <c r="L39" s="3"/>
      <c r="M39" s="3"/>
      <c r="N39" s="3"/>
      <c r="O39" s="3"/>
      <c r="P39" s="3"/>
      <c r="Q39" s="3"/>
      <c r="R39" s="3"/>
      <c r="S39" s="3"/>
      <c r="T39" s="3"/>
      <c r="U39" s="3"/>
      <c r="V39" s="3"/>
      <c r="W39" s="3"/>
    </row>
    <row r="40" spans="1:23" ht="15">
      <c r="A40" t="s">
        <v>38</v>
      </c>
      <c r="B40" s="6"/>
      <c r="C40" s="1">
        <f>C36+C14</f>
        <v>80441292.5</v>
      </c>
      <c r="D40" s="1">
        <f aca="true" t="shared" si="17" ref="D40:W40">D36+D14</f>
        <v>83902058.6078</v>
      </c>
      <c r="E40" s="1">
        <f t="shared" si="17"/>
        <v>86419123.64315002</v>
      </c>
      <c r="F40" s="1">
        <f t="shared" si="17"/>
        <v>89011698.91855</v>
      </c>
      <c r="G40" s="1">
        <f t="shared" si="17"/>
        <v>91757607.51480001</v>
      </c>
      <c r="H40" s="1">
        <f>H36+H14</f>
        <v>93579588.0596</v>
      </c>
      <c r="I40" s="1">
        <f t="shared" si="17"/>
        <v>95456224.17160001</v>
      </c>
      <c r="J40" s="1">
        <f t="shared" si="17"/>
        <v>97389151.1676</v>
      </c>
      <c r="K40" s="1">
        <f t="shared" si="17"/>
        <v>99380074.97</v>
      </c>
      <c r="L40" s="1">
        <f t="shared" si="17"/>
        <v>101430734.1468</v>
      </c>
      <c r="M40" s="1">
        <f t="shared" si="17"/>
        <v>103542902.56880002</v>
      </c>
      <c r="N40" s="1">
        <f t="shared" si="17"/>
        <v>105718424.7124</v>
      </c>
      <c r="O40" s="1">
        <f t="shared" si="17"/>
        <v>107959213.0024</v>
      </c>
      <c r="P40" s="1">
        <f t="shared" si="17"/>
        <v>110267253.12640002</v>
      </c>
      <c r="Q40" s="1">
        <f t="shared" si="17"/>
        <v>112644525.4576</v>
      </c>
      <c r="R40" s="1">
        <f t="shared" si="17"/>
        <v>115093118.93480001</v>
      </c>
      <c r="S40" s="1">
        <f t="shared" si="17"/>
        <v>117615155.1424</v>
      </c>
      <c r="T40" s="1">
        <f t="shared" si="17"/>
        <v>120212861.5732</v>
      </c>
      <c r="U40" s="1">
        <f t="shared" si="17"/>
        <v>122888498.3656</v>
      </c>
      <c r="V40" s="1">
        <f t="shared" si="17"/>
        <v>125644396.2636</v>
      </c>
      <c r="W40" s="1">
        <f t="shared" si="17"/>
        <v>129420087.99575001</v>
      </c>
    </row>
    <row r="41" spans="1:23" ht="17.25">
      <c r="A41" t="s">
        <v>63</v>
      </c>
      <c r="B41" s="6"/>
      <c r="C41" s="3">
        <f>C40/365</f>
        <v>220387.10273972602</v>
      </c>
      <c r="D41" s="3">
        <f aca="true" t="shared" si="18" ref="D41:W41">D40/365</f>
        <v>229868.65372000003</v>
      </c>
      <c r="E41" s="3">
        <f t="shared" si="18"/>
        <v>236764.72231000004</v>
      </c>
      <c r="F41" s="3">
        <f t="shared" si="18"/>
        <v>243867.66827</v>
      </c>
      <c r="G41" s="3">
        <f t="shared" si="18"/>
        <v>251390.70552000005</v>
      </c>
      <c r="H41" s="3">
        <f t="shared" si="18"/>
        <v>256382.43303999997</v>
      </c>
      <c r="I41" s="3">
        <f t="shared" si="18"/>
        <v>261523.90184000004</v>
      </c>
      <c r="J41" s="3">
        <f t="shared" si="18"/>
        <v>266819.59224</v>
      </c>
      <c r="K41" s="3">
        <f t="shared" si="18"/>
        <v>272274.178</v>
      </c>
      <c r="L41" s="3">
        <f t="shared" si="18"/>
        <v>277892.42232</v>
      </c>
      <c r="M41" s="3">
        <f t="shared" si="18"/>
        <v>283679.18512000004</v>
      </c>
      <c r="N41" s="3">
        <f t="shared" si="18"/>
        <v>289639.51976</v>
      </c>
      <c r="O41" s="3">
        <f t="shared" si="18"/>
        <v>295778.66576</v>
      </c>
      <c r="P41" s="3">
        <f t="shared" si="18"/>
        <v>302102.0633600001</v>
      </c>
      <c r="Q41" s="3">
        <f t="shared" si="18"/>
        <v>308615.13824</v>
      </c>
      <c r="R41" s="3">
        <f t="shared" si="18"/>
        <v>315323.61352</v>
      </c>
      <c r="S41" s="3">
        <f t="shared" si="18"/>
        <v>322233.30176</v>
      </c>
      <c r="T41" s="3">
        <f t="shared" si="18"/>
        <v>329350.30568</v>
      </c>
      <c r="U41" s="3">
        <f t="shared" si="18"/>
        <v>336680.81744</v>
      </c>
      <c r="V41" s="3">
        <f t="shared" si="18"/>
        <v>344231.22264</v>
      </c>
      <c r="W41" s="3">
        <f t="shared" si="18"/>
        <v>354575.58355000004</v>
      </c>
    </row>
    <row r="42" spans="2:23" ht="15">
      <c r="B42" s="6"/>
      <c r="C42" s="3"/>
      <c r="D42" s="3"/>
      <c r="E42" s="3"/>
      <c r="F42" s="3"/>
      <c r="G42" s="3"/>
      <c r="H42" s="3"/>
      <c r="I42" s="149"/>
      <c r="J42" s="3"/>
      <c r="K42" s="3"/>
      <c r="L42" s="3"/>
      <c r="M42" s="3"/>
      <c r="N42" s="3"/>
      <c r="O42" s="3"/>
      <c r="P42" s="3"/>
      <c r="Q42" s="3"/>
      <c r="R42" s="3"/>
      <c r="S42" s="3"/>
      <c r="T42" s="3"/>
      <c r="U42" s="3"/>
      <c r="V42" s="3"/>
      <c r="W42" s="3"/>
    </row>
    <row r="43" spans="2:23" ht="15">
      <c r="B43" s="20" t="s">
        <v>30</v>
      </c>
      <c r="C43" s="5">
        <v>0</v>
      </c>
      <c r="D43" s="5">
        <v>1</v>
      </c>
      <c r="E43" s="5">
        <v>2</v>
      </c>
      <c r="F43" s="5">
        <v>3</v>
      </c>
      <c r="G43" s="5">
        <v>4</v>
      </c>
      <c r="H43" s="5">
        <v>5</v>
      </c>
      <c r="I43" s="5">
        <v>6</v>
      </c>
      <c r="J43" s="5">
        <v>7</v>
      </c>
      <c r="K43" s="5">
        <v>8</v>
      </c>
      <c r="L43" s="5">
        <v>9</v>
      </c>
      <c r="M43" s="5">
        <v>10</v>
      </c>
      <c r="N43" s="5">
        <v>11</v>
      </c>
      <c r="O43" s="5">
        <v>12</v>
      </c>
      <c r="P43" s="5">
        <v>13</v>
      </c>
      <c r="Q43" s="5">
        <v>14</v>
      </c>
      <c r="R43" s="5">
        <v>15</v>
      </c>
      <c r="S43" s="5">
        <v>16</v>
      </c>
      <c r="T43" s="5">
        <v>17</v>
      </c>
      <c r="U43" s="5">
        <v>18</v>
      </c>
      <c r="V43" s="5">
        <v>19</v>
      </c>
      <c r="W43" s="5">
        <v>20</v>
      </c>
    </row>
    <row r="44" spans="2:23" ht="15">
      <c r="B44" s="20" t="s">
        <v>8</v>
      </c>
      <c r="C44" s="24">
        <v>2010</v>
      </c>
      <c r="D44" s="24">
        <v>2011</v>
      </c>
      <c r="E44" s="24">
        <v>2012</v>
      </c>
      <c r="F44" s="24">
        <v>2013</v>
      </c>
      <c r="G44" s="24">
        <v>2014</v>
      </c>
      <c r="H44" s="24">
        <v>2015</v>
      </c>
      <c r="I44" s="24">
        <v>2016</v>
      </c>
      <c r="J44" s="24">
        <v>2017</v>
      </c>
      <c r="K44" s="24">
        <v>2018</v>
      </c>
      <c r="L44" s="24">
        <v>2019</v>
      </c>
      <c r="M44" s="24">
        <v>2020</v>
      </c>
      <c r="N44" s="24">
        <v>2021</v>
      </c>
      <c r="O44" s="24">
        <v>2022</v>
      </c>
      <c r="P44" s="24">
        <v>2023</v>
      </c>
      <c r="Q44" s="24">
        <v>2024</v>
      </c>
      <c r="R44" s="24">
        <v>2025</v>
      </c>
      <c r="S44" s="24">
        <v>2026</v>
      </c>
      <c r="T44" s="24">
        <v>2027</v>
      </c>
      <c r="U44" s="24">
        <v>2028</v>
      </c>
      <c r="V44" s="24">
        <v>2029</v>
      </c>
      <c r="W44" s="24">
        <v>2030</v>
      </c>
    </row>
    <row r="45" spans="1:23" ht="15">
      <c r="A45" t="s">
        <v>125</v>
      </c>
      <c r="B45" s="6"/>
      <c r="C45" s="3"/>
      <c r="D45" s="1"/>
      <c r="E45" s="1"/>
      <c r="F45" s="1"/>
      <c r="G45" s="1">
        <f>G33-G36</f>
        <v>8769883.243699998</v>
      </c>
      <c r="H45" s="1">
        <f>H33-H36</f>
        <v>11015486.323524997</v>
      </c>
      <c r="I45" s="1">
        <f aca="true" t="shared" si="19" ref="I45:W45">I33-I36</f>
        <v>13360003.567500003</v>
      </c>
      <c r="J45" s="1">
        <f t="shared" si="19"/>
        <v>14691572.185499996</v>
      </c>
      <c r="K45" s="1">
        <f t="shared" si="19"/>
        <v>16063068.609749995</v>
      </c>
      <c r="L45" s="1">
        <f t="shared" si="19"/>
        <v>17881634.26200001</v>
      </c>
      <c r="M45" s="1">
        <f t="shared" si="19"/>
        <v>19348852.976499997</v>
      </c>
      <c r="N45" s="1">
        <f t="shared" si="19"/>
        <v>20860081.711999997</v>
      </c>
      <c r="O45" s="1">
        <f t="shared" si="19"/>
        <v>22416645.56449999</v>
      </c>
      <c r="P45" s="1">
        <f t="shared" si="19"/>
        <v>24019888.391000003</v>
      </c>
      <c r="Q45" s="1">
        <f t="shared" si="19"/>
        <v>26612377.88775</v>
      </c>
      <c r="R45" s="1">
        <f t="shared" si="19"/>
        <v>28341490.9825</v>
      </c>
      <c r="S45" s="1">
        <f t="shared" si="19"/>
        <v>30122493.663500004</v>
      </c>
      <c r="T45" s="1">
        <f t="shared" si="19"/>
        <v>31956915.773499995</v>
      </c>
      <c r="U45" s="1">
        <f t="shared" si="19"/>
        <v>33846383.186749995</v>
      </c>
      <c r="V45" s="1">
        <f t="shared" si="19"/>
        <v>36338046.12375</v>
      </c>
      <c r="W45" s="1">
        <f t="shared" si="19"/>
        <v>39117935.198</v>
      </c>
    </row>
    <row r="46" spans="1:23" ht="17.25">
      <c r="A46" t="s">
        <v>98</v>
      </c>
      <c r="B46" s="6"/>
      <c r="C46" s="3"/>
      <c r="D46" s="3"/>
      <c r="E46" s="3"/>
      <c r="F46" s="3"/>
      <c r="G46" s="3">
        <f aca="true" t="shared" si="20" ref="G46:W46">G45/365</f>
        <v>24027.077379999995</v>
      </c>
      <c r="H46" s="3">
        <f t="shared" si="20"/>
        <v>30179.41458499999</v>
      </c>
      <c r="I46" s="3">
        <f t="shared" si="20"/>
        <v>36602.749500000005</v>
      </c>
      <c r="J46" s="3">
        <f t="shared" si="20"/>
        <v>40250.88269999999</v>
      </c>
      <c r="K46" s="3">
        <f t="shared" si="20"/>
        <v>44008.407149999985</v>
      </c>
      <c r="L46" s="3">
        <f t="shared" si="20"/>
        <v>48990.77880000003</v>
      </c>
      <c r="M46" s="3">
        <f t="shared" si="20"/>
        <v>53010.556099999994</v>
      </c>
      <c r="N46" s="3">
        <f t="shared" si="20"/>
        <v>57150.90879999999</v>
      </c>
      <c r="O46" s="3">
        <f t="shared" si="20"/>
        <v>61415.46729999997</v>
      </c>
      <c r="P46" s="3">
        <f t="shared" si="20"/>
        <v>65807.9134</v>
      </c>
      <c r="Q46" s="3">
        <f t="shared" si="20"/>
        <v>72910.62435</v>
      </c>
      <c r="R46" s="3">
        <f t="shared" si="20"/>
        <v>77647.92050000001</v>
      </c>
      <c r="S46" s="3">
        <f t="shared" si="20"/>
        <v>82527.37990000001</v>
      </c>
      <c r="T46" s="3">
        <f t="shared" si="20"/>
        <v>87553.19389999998</v>
      </c>
      <c r="U46" s="3">
        <f t="shared" si="20"/>
        <v>92729.81694999998</v>
      </c>
      <c r="V46" s="3">
        <f t="shared" si="20"/>
        <v>99556.29075</v>
      </c>
      <c r="W46" s="3">
        <f t="shared" si="20"/>
        <v>107172.4252</v>
      </c>
    </row>
    <row r="47" spans="2:23" ht="15">
      <c r="B47" s="6"/>
      <c r="C47" s="3"/>
      <c r="D47" s="3"/>
      <c r="E47" s="3"/>
      <c r="F47" s="3"/>
      <c r="G47" s="3"/>
      <c r="H47" s="3"/>
      <c r="I47" s="2"/>
      <c r="J47" s="3"/>
      <c r="K47" s="3"/>
      <c r="L47" s="3"/>
      <c r="M47" s="3"/>
      <c r="N47" s="3"/>
      <c r="O47" s="3"/>
      <c r="P47" s="3"/>
      <c r="Q47" s="3"/>
      <c r="R47" s="3"/>
      <c r="S47" s="3"/>
      <c r="T47" s="3"/>
      <c r="U47" s="3"/>
      <c r="V47" s="3"/>
      <c r="W47" s="3"/>
    </row>
    <row r="48" spans="1:23" ht="15">
      <c r="A48" s="7" t="s">
        <v>91</v>
      </c>
      <c r="B48" s="6"/>
      <c r="C48" s="3"/>
      <c r="D48" s="3"/>
      <c r="E48" s="3"/>
      <c r="F48" s="3"/>
      <c r="G48" s="3"/>
      <c r="H48" s="3"/>
      <c r="I48" s="3"/>
      <c r="J48" s="3"/>
      <c r="K48" s="3"/>
      <c r="L48" s="3"/>
      <c r="M48" s="3">
        <v>323287.4315253814</v>
      </c>
      <c r="N48" s="2">
        <f>(M50-M48)/M48</f>
        <v>-0.12251712421511723</v>
      </c>
      <c r="O48" s="3"/>
      <c r="P48" s="3"/>
      <c r="Q48" s="3"/>
      <c r="R48" s="3"/>
      <c r="S48" s="3"/>
      <c r="T48" s="3"/>
      <c r="U48" s="3"/>
      <c r="V48" s="3"/>
      <c r="W48" s="3"/>
    </row>
    <row r="49" spans="1:23" ht="15">
      <c r="A49" t="s">
        <v>94</v>
      </c>
      <c r="B49" s="6"/>
      <c r="C49" s="1">
        <f>C40</f>
        <v>80441292.5</v>
      </c>
      <c r="D49" s="1">
        <f aca="true" t="shared" si="21" ref="D49:W49">D40</f>
        <v>83902058.6078</v>
      </c>
      <c r="E49" s="1">
        <f t="shared" si="21"/>
        <v>86419123.64315002</v>
      </c>
      <c r="F49" s="1">
        <f t="shared" si="21"/>
        <v>89011698.91855</v>
      </c>
      <c r="G49" s="1">
        <f t="shared" si="21"/>
        <v>91757607.51480001</v>
      </c>
      <c r="H49" s="1">
        <f t="shared" si="21"/>
        <v>93579588.0596</v>
      </c>
      <c r="I49" s="1">
        <f t="shared" si="21"/>
        <v>95456224.17160001</v>
      </c>
      <c r="J49" s="1">
        <f t="shared" si="21"/>
        <v>97389151.1676</v>
      </c>
      <c r="K49" s="1">
        <f t="shared" si="21"/>
        <v>99380074.97</v>
      </c>
      <c r="L49" s="1">
        <f t="shared" si="21"/>
        <v>101430734.1468</v>
      </c>
      <c r="M49" s="1">
        <f t="shared" si="21"/>
        <v>103542902.56880002</v>
      </c>
      <c r="N49" s="1">
        <f t="shared" si="21"/>
        <v>105718424.7124</v>
      </c>
      <c r="O49" s="1">
        <f t="shared" si="21"/>
        <v>107959213.0024</v>
      </c>
      <c r="P49" s="1">
        <f t="shared" si="21"/>
        <v>110267253.12640002</v>
      </c>
      <c r="Q49" s="1">
        <f t="shared" si="21"/>
        <v>112644525.4576</v>
      </c>
      <c r="R49" s="1">
        <f t="shared" si="21"/>
        <v>115093118.93480001</v>
      </c>
      <c r="S49" s="1">
        <f t="shared" si="21"/>
        <v>117615155.1424</v>
      </c>
      <c r="T49" s="1">
        <f t="shared" si="21"/>
        <v>120212861.5732</v>
      </c>
      <c r="U49" s="1">
        <f t="shared" si="21"/>
        <v>122888498.3656</v>
      </c>
      <c r="V49" s="1">
        <f t="shared" si="21"/>
        <v>125644396.2636</v>
      </c>
      <c r="W49" s="1">
        <f t="shared" si="21"/>
        <v>129420087.99575001</v>
      </c>
    </row>
    <row r="50" spans="1:23" ht="17.25">
      <c r="A50" t="s">
        <v>95</v>
      </c>
      <c r="B50" s="6"/>
      <c r="C50" s="3">
        <f aca="true" t="shared" si="22" ref="C50:W50">C49/365</f>
        <v>220387.10273972602</v>
      </c>
      <c r="D50" s="3">
        <f t="shared" si="22"/>
        <v>229868.65372000003</v>
      </c>
      <c r="E50" s="3">
        <f t="shared" si="22"/>
        <v>236764.72231000004</v>
      </c>
      <c r="F50" s="3">
        <f t="shared" si="22"/>
        <v>243867.66827</v>
      </c>
      <c r="G50" s="3">
        <f t="shared" si="22"/>
        <v>251390.70552000005</v>
      </c>
      <c r="H50" s="3">
        <f t="shared" si="22"/>
        <v>256382.43303999997</v>
      </c>
      <c r="I50" s="3">
        <f t="shared" si="22"/>
        <v>261523.90184000004</v>
      </c>
      <c r="J50" s="3">
        <f t="shared" si="22"/>
        <v>266819.59224</v>
      </c>
      <c r="K50" s="3">
        <f t="shared" si="22"/>
        <v>272274.178</v>
      </c>
      <c r="L50" s="3">
        <f t="shared" si="22"/>
        <v>277892.42232</v>
      </c>
      <c r="M50" s="3">
        <f t="shared" si="22"/>
        <v>283679.18512000004</v>
      </c>
      <c r="N50" s="3">
        <f t="shared" si="22"/>
        <v>289639.51976</v>
      </c>
      <c r="O50" s="3">
        <f t="shared" si="22"/>
        <v>295778.66576</v>
      </c>
      <c r="P50" s="3">
        <f t="shared" si="22"/>
        <v>302102.0633600001</v>
      </c>
      <c r="Q50" s="3">
        <f t="shared" si="22"/>
        <v>308615.13824</v>
      </c>
      <c r="R50" s="3">
        <f t="shared" si="22"/>
        <v>315323.61352</v>
      </c>
      <c r="S50" s="3">
        <f t="shared" si="22"/>
        <v>322233.30176</v>
      </c>
      <c r="T50" s="3">
        <f t="shared" si="22"/>
        <v>329350.30568</v>
      </c>
      <c r="U50" s="3">
        <f t="shared" si="22"/>
        <v>336680.81744</v>
      </c>
      <c r="V50" s="3">
        <f t="shared" si="22"/>
        <v>344231.22264</v>
      </c>
      <c r="W50" s="3">
        <f t="shared" si="22"/>
        <v>354575.58355000004</v>
      </c>
    </row>
    <row r="51" spans="1:23" ht="15">
      <c r="A51" t="s">
        <v>85</v>
      </c>
      <c r="B51" s="6"/>
      <c r="C51" s="2">
        <f aca="true" t="shared" si="23" ref="C51:W51">(C22+C26)/C49</f>
        <v>0.2085508880902181</v>
      </c>
      <c r="D51" s="2">
        <f t="shared" si="23"/>
        <v>0.20594721356686246</v>
      </c>
      <c r="E51" s="2">
        <f t="shared" si="23"/>
        <v>0.20594724367828898</v>
      </c>
      <c r="F51" s="2">
        <f t="shared" si="23"/>
        <v>0.2059472380094037</v>
      </c>
      <c r="G51" s="2">
        <f t="shared" si="23"/>
        <v>0.294474965678914</v>
      </c>
      <c r="H51" s="2">
        <f t="shared" si="23"/>
        <v>0.3086429192777583</v>
      </c>
      <c r="I51" s="2">
        <f t="shared" si="23"/>
        <v>0.32300092230835614</v>
      </c>
      <c r="J51" s="2">
        <f t="shared" si="23"/>
        <v>0.3260879381816118</v>
      </c>
      <c r="K51" s="2">
        <f t="shared" si="23"/>
        <v>0.329141925276513</v>
      </c>
      <c r="L51" s="2">
        <f t="shared" si="23"/>
        <v>0.3361641386983467</v>
      </c>
      <c r="M51" s="2">
        <f t="shared" si="23"/>
        <v>0.3391860705581823</v>
      </c>
      <c r="N51" s="2">
        <f t="shared" si="23"/>
        <v>0.3421724386303408</v>
      </c>
      <c r="O51" s="2">
        <f t="shared" si="23"/>
        <v>0.3451224280754223</v>
      </c>
      <c r="P51" s="2">
        <f t="shared" si="23"/>
        <v>0.3480354957877504</v>
      </c>
      <c r="Q51" s="2">
        <f t="shared" si="23"/>
        <v>0.35926611047762713</v>
      </c>
      <c r="R51" s="2">
        <f t="shared" si="23"/>
        <v>0.3621713680912025</v>
      </c>
      <c r="S51" s="2">
        <f t="shared" si="23"/>
        <v>0.36503751554396763</v>
      </c>
      <c r="T51" s="2">
        <f t="shared" si="23"/>
        <v>0.36786388174090967</v>
      </c>
      <c r="U51" s="2">
        <f t="shared" si="23"/>
        <v>0.3706501662282527</v>
      </c>
      <c r="V51" s="2">
        <f t="shared" si="23"/>
        <v>0.377737643182895</v>
      </c>
      <c r="W51" s="2">
        <f t="shared" si="23"/>
        <v>0.382060656415438</v>
      </c>
    </row>
    <row r="52" spans="1:23" ht="15">
      <c r="A52" t="s">
        <v>50</v>
      </c>
      <c r="B52" s="6"/>
      <c r="C52" s="2">
        <f>C50/Data!$B6</f>
        <v>0.8254198604484121</v>
      </c>
      <c r="D52" s="2">
        <f>D50/Data!$B6</f>
        <v>0.8609312873408241</v>
      </c>
      <c r="E52" s="2">
        <f>E50/Data!$B6</f>
        <v>0.8867592595880152</v>
      </c>
      <c r="F52" s="2">
        <f>F50/Data!$B6</f>
        <v>0.9133620534456929</v>
      </c>
      <c r="G52" s="2">
        <f>G50/Data!$B6</f>
        <v>0.9415382229213485</v>
      </c>
      <c r="H52" s="2">
        <f>H50/Data!$B6</f>
        <v>0.9602338316104868</v>
      </c>
      <c r="I52" s="2">
        <f>I50/Data!$B6</f>
        <v>0.9794902690636705</v>
      </c>
      <c r="J52" s="2">
        <f>J50/Data!$B6</f>
        <v>0.9993243155056181</v>
      </c>
      <c r="K52" s="2">
        <f>K50/Data!$B6</f>
        <v>1.0197534756554307</v>
      </c>
      <c r="L52" s="2">
        <f>L50/Data!$B6</f>
        <v>1.0407955892134833</v>
      </c>
      <c r="M52" s="2">
        <f>M50/Data!$B6</f>
        <v>1.062468858127341</v>
      </c>
      <c r="N52" s="2">
        <f>N50/Data!$B6</f>
        <v>1.0847922088389512</v>
      </c>
      <c r="O52" s="2">
        <f>O50/Data!$B6</f>
        <v>1.1077852650187265</v>
      </c>
      <c r="P52" s="2">
        <f>P50/Data!$B6</f>
        <v>1.1314684020973786</v>
      </c>
      <c r="Q52" s="2">
        <f>Q50/Data!$B6</f>
        <v>1.1558619409737827</v>
      </c>
      <c r="R52" s="2">
        <f>R50/Data!$B6</f>
        <v>1.1809873165543072</v>
      </c>
      <c r="S52" s="2">
        <f>S50/Data!$B6</f>
        <v>1.2068662987265917</v>
      </c>
      <c r="T52" s="2">
        <f>T50/Data!$B6</f>
        <v>1.23352174411985</v>
      </c>
      <c r="U52" s="2">
        <f>U50/Data!$B6</f>
        <v>1.2609768443445692</v>
      </c>
      <c r="V52" s="2">
        <f>V50/Data!$B6</f>
        <v>1.289255515505618</v>
      </c>
      <c r="W52" s="2">
        <f>W50/Data!$B6</f>
        <v>1.3279984402621725</v>
      </c>
    </row>
    <row r="53" spans="1:23" ht="15">
      <c r="A53" t="s">
        <v>51</v>
      </c>
      <c r="B53" s="6"/>
      <c r="C53" s="1">
        <f aca="true" t="shared" si="24" ref="C53:W53">IF(C52&lt;=1,0,C49-AsSamraCapacity)</f>
        <v>0</v>
      </c>
      <c r="D53" s="1">
        <f t="shared" si="24"/>
        <v>0</v>
      </c>
      <c r="E53" s="1">
        <f t="shared" si="24"/>
        <v>0</v>
      </c>
      <c r="F53" s="1">
        <f t="shared" si="24"/>
        <v>0</v>
      </c>
      <c r="G53" s="1">
        <f t="shared" si="24"/>
        <v>0</v>
      </c>
      <c r="H53" s="1">
        <f t="shared" si="24"/>
        <v>0</v>
      </c>
      <c r="I53" s="1">
        <f t="shared" si="24"/>
        <v>0</v>
      </c>
      <c r="J53" s="1">
        <f t="shared" si="24"/>
        <v>0</v>
      </c>
      <c r="K53" s="1">
        <f t="shared" si="24"/>
        <v>1925074.9699999988</v>
      </c>
      <c r="L53" s="1">
        <f t="shared" si="24"/>
        <v>3975734.1467999965</v>
      </c>
      <c r="M53" s="1">
        <f t="shared" si="24"/>
        <v>6087902.568800017</v>
      </c>
      <c r="N53" s="1">
        <f t="shared" si="24"/>
        <v>8263424.712400004</v>
      </c>
      <c r="O53" s="1">
        <f t="shared" si="24"/>
        <v>10504213.002399996</v>
      </c>
      <c r="P53" s="1">
        <f t="shared" si="24"/>
        <v>12812253.126400024</v>
      </c>
      <c r="Q53" s="1">
        <f t="shared" si="24"/>
        <v>15189525.457599998</v>
      </c>
      <c r="R53" s="1">
        <f t="shared" si="24"/>
        <v>17638118.934800014</v>
      </c>
      <c r="S53" s="1">
        <f t="shared" si="24"/>
        <v>20160155.142399997</v>
      </c>
      <c r="T53" s="1">
        <f t="shared" si="24"/>
        <v>22757861.573200002</v>
      </c>
      <c r="U53" s="1">
        <f t="shared" si="24"/>
        <v>25433498.365600005</v>
      </c>
      <c r="V53" s="1">
        <f t="shared" si="24"/>
        <v>28189396.263600007</v>
      </c>
      <c r="W53" s="1">
        <f t="shared" si="24"/>
        <v>31965087.99575001</v>
      </c>
    </row>
    <row r="54" spans="1:23" ht="17.25">
      <c r="A54" t="s">
        <v>69</v>
      </c>
      <c r="B54" s="6"/>
      <c r="C54" s="3">
        <f>C53/365</f>
        <v>0</v>
      </c>
      <c r="D54" s="3">
        <f aca="true" t="shared" si="25" ref="D54:W54">D53/365</f>
        <v>0</v>
      </c>
      <c r="E54" s="3">
        <f t="shared" si="25"/>
        <v>0</v>
      </c>
      <c r="F54" s="3">
        <f t="shared" si="25"/>
        <v>0</v>
      </c>
      <c r="G54" s="3">
        <f t="shared" si="25"/>
        <v>0</v>
      </c>
      <c r="H54" s="3">
        <f t="shared" si="25"/>
        <v>0</v>
      </c>
      <c r="I54" s="3">
        <f t="shared" si="25"/>
        <v>0</v>
      </c>
      <c r="J54" s="3">
        <f t="shared" si="25"/>
        <v>0</v>
      </c>
      <c r="K54" s="3">
        <f t="shared" si="25"/>
        <v>5274.177999999997</v>
      </c>
      <c r="L54" s="3">
        <f t="shared" si="25"/>
        <v>10892.42231999999</v>
      </c>
      <c r="M54" s="3">
        <f t="shared" si="25"/>
        <v>16679.185120000046</v>
      </c>
      <c r="N54" s="3">
        <f t="shared" si="25"/>
        <v>22639.51976000001</v>
      </c>
      <c r="O54" s="3">
        <f t="shared" si="25"/>
        <v>28778.66575999999</v>
      </c>
      <c r="P54" s="3">
        <f t="shared" si="25"/>
        <v>35102.063360000066</v>
      </c>
      <c r="Q54" s="3">
        <f t="shared" si="25"/>
        <v>41615.13823999999</v>
      </c>
      <c r="R54" s="3">
        <f t="shared" si="25"/>
        <v>48323.613520000035</v>
      </c>
      <c r="S54" s="3">
        <f t="shared" si="25"/>
        <v>55233.30175999999</v>
      </c>
      <c r="T54" s="3">
        <f t="shared" si="25"/>
        <v>62350.305680000005</v>
      </c>
      <c r="U54" s="3">
        <f t="shared" si="25"/>
        <v>69680.81744000001</v>
      </c>
      <c r="V54" s="3">
        <f t="shared" si="25"/>
        <v>77231.22264000002</v>
      </c>
      <c r="W54" s="3">
        <f t="shared" si="25"/>
        <v>87575.58355000002</v>
      </c>
    </row>
    <row r="55" spans="1:23" ht="15">
      <c r="A55" t="s">
        <v>53</v>
      </c>
      <c r="B55" s="6"/>
      <c r="C55" s="1"/>
      <c r="D55" s="1"/>
      <c r="E55" s="1"/>
      <c r="F55" s="1"/>
      <c r="G55" s="2">
        <f>G62/Data!$B55</f>
        <v>0.12306492578595013</v>
      </c>
      <c r="H55" s="2">
        <f>H62/Data!$B55</f>
        <v>0.14287896421064994</v>
      </c>
      <c r="I55" s="2">
        <f>I62/Data!$B55</f>
        <v>0.16328738192865014</v>
      </c>
      <c r="J55" s="2">
        <f>J62/Data!$B55</f>
        <v>0.18430796301015007</v>
      </c>
      <c r="K55" s="2">
        <f>K62/Data!$B55</f>
        <v>0.20595925936124998</v>
      </c>
      <c r="L55" s="2">
        <f>L62/Data!$B55</f>
        <v>0.22826017790894998</v>
      </c>
      <c r="M55" s="2">
        <f>M62/Data!$B55</f>
        <v>0.2512300094982002</v>
      </c>
      <c r="N55" s="2">
        <f>N62/Data!$B55</f>
        <v>0.27488881280985006</v>
      </c>
      <c r="O55" s="2">
        <f>O62/Data!$B55</f>
        <v>0.2992573854636</v>
      </c>
      <c r="P55" s="2">
        <f>P62/Data!$B55</f>
        <v>0.32435732181210025</v>
      </c>
      <c r="Q55" s="2">
        <f>Q62/Data!$B55</f>
        <v>0.35021015841389996</v>
      </c>
      <c r="R55" s="2">
        <f>R62/Data!$B55</f>
        <v>0.37683861247845013</v>
      </c>
      <c r="S55" s="2">
        <f>S62/Data!$B55</f>
        <v>0.40426575623609995</v>
      </c>
      <c r="T55" s="2">
        <f>T62/Data!$B55</f>
        <v>0.43251581367105</v>
      </c>
      <c r="U55" s="2">
        <f>U62/Data!$B55</f>
        <v>0.4616133637884</v>
      </c>
      <c r="V55" s="2">
        <f>V62/Data!$B55</f>
        <v>0.4915837534291501</v>
      </c>
      <c r="W55" s="2">
        <f>W62/Data!$B55</f>
        <v>0.5326444010162814</v>
      </c>
    </row>
    <row r="56" spans="2:23" ht="15">
      <c r="B56" s="6"/>
      <c r="C56" s="1"/>
      <c r="D56" s="1"/>
      <c r="E56" s="1"/>
      <c r="F56" s="1"/>
      <c r="G56" s="2"/>
      <c r="H56" s="2"/>
      <c r="I56" s="2"/>
      <c r="J56" s="2"/>
      <c r="K56" s="2"/>
      <c r="L56" s="2"/>
      <c r="M56" s="2"/>
      <c r="N56" s="2"/>
      <c r="O56" s="2"/>
      <c r="P56" s="2"/>
      <c r="Q56" s="2"/>
      <c r="R56" s="2"/>
      <c r="S56" s="2"/>
      <c r="T56" s="2"/>
      <c r="U56" s="2"/>
      <c r="V56" s="2"/>
      <c r="W56" s="2"/>
    </row>
    <row r="57" spans="2:23" ht="15">
      <c r="B57" s="20" t="s">
        <v>30</v>
      </c>
      <c r="C57" s="5">
        <v>0</v>
      </c>
      <c r="D57" s="5">
        <v>1</v>
      </c>
      <c r="E57" s="5">
        <v>2</v>
      </c>
      <c r="F57" s="5">
        <v>3</v>
      </c>
      <c r="G57" s="5">
        <v>4</v>
      </c>
      <c r="H57" s="5">
        <v>5</v>
      </c>
      <c r="I57" s="5">
        <v>6</v>
      </c>
      <c r="J57" s="5">
        <v>7</v>
      </c>
      <c r="K57" s="5">
        <v>8</v>
      </c>
      <c r="L57" s="5">
        <v>9</v>
      </c>
      <c r="M57" s="5">
        <v>10</v>
      </c>
      <c r="N57" s="5">
        <v>11</v>
      </c>
      <c r="O57" s="5">
        <v>12</v>
      </c>
      <c r="P57" s="5">
        <v>13</v>
      </c>
      <c r="Q57" s="5">
        <v>14</v>
      </c>
      <c r="R57" s="5">
        <v>15</v>
      </c>
      <c r="S57" s="5">
        <v>16</v>
      </c>
      <c r="T57" s="5">
        <v>17</v>
      </c>
      <c r="U57" s="5">
        <v>18</v>
      </c>
      <c r="V57" s="5">
        <v>19</v>
      </c>
      <c r="W57" s="5">
        <v>20</v>
      </c>
    </row>
    <row r="58" spans="2:23" ht="15">
      <c r="B58" s="20" t="s">
        <v>8</v>
      </c>
      <c r="C58" s="24">
        <v>2010</v>
      </c>
      <c r="D58" s="24">
        <v>2011</v>
      </c>
      <c r="E58" s="24">
        <v>2012</v>
      </c>
      <c r="F58" s="24">
        <v>2013</v>
      </c>
      <c r="G58" s="24">
        <v>2014</v>
      </c>
      <c r="H58" s="24">
        <v>2015</v>
      </c>
      <c r="I58" s="24">
        <v>2016</v>
      </c>
      <c r="J58" s="24">
        <v>2017</v>
      </c>
      <c r="K58" s="24">
        <v>2018</v>
      </c>
      <c r="L58" s="24">
        <v>2019</v>
      </c>
      <c r="M58" s="24">
        <v>2020</v>
      </c>
      <c r="N58" s="24">
        <v>2021</v>
      </c>
      <c r="O58" s="24">
        <v>2022</v>
      </c>
      <c r="P58" s="24">
        <v>2023</v>
      </c>
      <c r="Q58" s="24">
        <v>2024</v>
      </c>
      <c r="R58" s="24">
        <v>2025</v>
      </c>
      <c r="S58" s="24">
        <v>2026</v>
      </c>
      <c r="T58" s="24">
        <v>2027</v>
      </c>
      <c r="U58" s="24">
        <v>2028</v>
      </c>
      <c r="V58" s="24">
        <v>2029</v>
      </c>
      <c r="W58" s="24">
        <v>2030</v>
      </c>
    </row>
    <row r="59" spans="1:23" ht="15">
      <c r="A59" t="s">
        <v>55</v>
      </c>
      <c r="B59" s="6"/>
      <c r="C59" s="3"/>
      <c r="D59" s="3"/>
      <c r="E59" s="3"/>
      <c r="F59" s="3"/>
      <c r="G59" s="3">
        <v>0</v>
      </c>
      <c r="H59" s="3">
        <v>0</v>
      </c>
      <c r="I59" s="3">
        <v>0</v>
      </c>
      <c r="J59" s="3">
        <v>0</v>
      </c>
      <c r="K59" s="3">
        <v>0</v>
      </c>
      <c r="L59" s="3">
        <v>0</v>
      </c>
      <c r="M59" s="3">
        <v>0</v>
      </c>
      <c r="N59" s="3">
        <v>0</v>
      </c>
      <c r="O59" s="3">
        <v>0</v>
      </c>
      <c r="P59" s="3">
        <v>0</v>
      </c>
      <c r="Q59" s="3">
        <v>0</v>
      </c>
      <c r="R59" s="3">
        <v>0</v>
      </c>
      <c r="S59" s="3">
        <v>0</v>
      </c>
      <c r="T59" s="3">
        <v>0</v>
      </c>
      <c r="U59" s="3">
        <v>0</v>
      </c>
      <c r="V59" s="3">
        <v>0</v>
      </c>
      <c r="W59" s="3">
        <v>0</v>
      </c>
    </row>
    <row r="60" spans="1:23" ht="15">
      <c r="A60" s="13" t="s">
        <v>56</v>
      </c>
      <c r="B60" s="14"/>
      <c r="C60" s="15">
        <f>C59*2.3</f>
        <v>0</v>
      </c>
      <c r="D60" s="15">
        <f aca="true" t="shared" si="26" ref="D60:W60">D59*2.3</f>
        <v>0</v>
      </c>
      <c r="E60" s="15">
        <f t="shared" si="26"/>
        <v>0</v>
      </c>
      <c r="F60" s="15">
        <f t="shared" si="26"/>
        <v>0</v>
      </c>
      <c r="G60" s="15">
        <f t="shared" si="26"/>
        <v>0</v>
      </c>
      <c r="H60" s="15">
        <f t="shared" si="26"/>
        <v>0</v>
      </c>
      <c r="I60" s="15">
        <f t="shared" si="26"/>
        <v>0</v>
      </c>
      <c r="J60" s="15">
        <f t="shared" si="26"/>
        <v>0</v>
      </c>
      <c r="K60" s="15">
        <f t="shared" si="26"/>
        <v>0</v>
      </c>
      <c r="L60" s="15">
        <f t="shared" si="26"/>
        <v>0</v>
      </c>
      <c r="M60" s="15">
        <f t="shared" si="26"/>
        <v>0</v>
      </c>
      <c r="N60" s="15">
        <f t="shared" si="26"/>
        <v>0</v>
      </c>
      <c r="O60" s="15">
        <f t="shared" si="26"/>
        <v>0</v>
      </c>
      <c r="P60" s="15">
        <f t="shared" si="26"/>
        <v>0</v>
      </c>
      <c r="Q60" s="15">
        <f t="shared" si="26"/>
        <v>0</v>
      </c>
      <c r="R60" s="15">
        <f t="shared" si="26"/>
        <v>0</v>
      </c>
      <c r="S60" s="15">
        <f t="shared" si="26"/>
        <v>0</v>
      </c>
      <c r="T60" s="15">
        <f t="shared" si="26"/>
        <v>0</v>
      </c>
      <c r="U60" s="15">
        <f t="shared" si="26"/>
        <v>0</v>
      </c>
      <c r="V60" s="15">
        <f t="shared" si="26"/>
        <v>0</v>
      </c>
      <c r="W60" s="15">
        <f t="shared" si="26"/>
        <v>0</v>
      </c>
    </row>
    <row r="61" ht="5.25" customHeight="1"/>
    <row r="62" spans="1:25" ht="15">
      <c r="A62" t="s">
        <v>70</v>
      </c>
      <c r="B62" s="6"/>
      <c r="C62" s="1">
        <v>0</v>
      </c>
      <c r="D62" s="1">
        <f>(D49-$C49)*0.87</f>
        <v>3010866.513786006</v>
      </c>
      <c r="E62" s="1">
        <f>(E49-$C49)*0.87</f>
        <v>5200713.094540514</v>
      </c>
      <c r="F62" s="1">
        <f>(F49-$C49)*0.87</f>
        <v>7456253.5841385</v>
      </c>
      <c r="G62" s="1">
        <f aca="true" t="shared" si="27" ref="G62:W62">(G49-$C49)*0.87</f>
        <v>9845194.06287601</v>
      </c>
      <c r="H62" s="1">
        <f t="shared" si="27"/>
        <v>11430317.136851996</v>
      </c>
      <c r="I62" s="1">
        <f t="shared" si="27"/>
        <v>13062990.554292012</v>
      </c>
      <c r="J62" s="1">
        <f t="shared" si="27"/>
        <v>14744637.040812004</v>
      </c>
      <c r="K62" s="1">
        <f t="shared" si="27"/>
        <v>16476740.748899998</v>
      </c>
      <c r="L62" s="1">
        <f t="shared" si="27"/>
        <v>18260814.232715998</v>
      </c>
      <c r="M62" s="1">
        <f t="shared" si="27"/>
        <v>20098400.759856015</v>
      </c>
      <c r="N62" s="1">
        <f t="shared" si="27"/>
        <v>21991105.024788003</v>
      </c>
      <c r="O62" s="1">
        <f t="shared" si="27"/>
        <v>23940590.837087996</v>
      </c>
      <c r="P62" s="1">
        <f t="shared" si="27"/>
        <v>25948585.74496802</v>
      </c>
      <c r="Q62" s="1">
        <f t="shared" si="27"/>
        <v>28016812.673111998</v>
      </c>
      <c r="R62" s="1">
        <f t="shared" si="27"/>
        <v>30147088.99827601</v>
      </c>
      <c r="S62" s="1">
        <f t="shared" si="27"/>
        <v>32341260.498887997</v>
      </c>
      <c r="T62" s="1">
        <f t="shared" si="27"/>
        <v>34601265.093684</v>
      </c>
      <c r="U62" s="1">
        <f t="shared" si="27"/>
        <v>36929069.103072</v>
      </c>
      <c r="V62" s="1">
        <f t="shared" si="27"/>
        <v>39326700.27433201</v>
      </c>
      <c r="W62" s="1">
        <f t="shared" si="27"/>
        <v>42611552.08130251</v>
      </c>
      <c r="Y62" s="4"/>
    </row>
    <row r="63" spans="1:25" ht="15">
      <c r="A63" t="s">
        <v>116</v>
      </c>
      <c r="B63" s="6"/>
      <c r="C63" s="1"/>
      <c r="D63" s="1">
        <f>IF(D62&gt;D57*Agriculture!$B$12,D57*Agriculture!$B$12,'P3_Streams'!D62)</f>
        <v>1783030.27272727</v>
      </c>
      <c r="E63" s="1">
        <f>IF(E62&gt;E57*Agriculture!$B12,E57*Agriculture!$B12,'P3_Streams'!E62)</f>
        <v>3566060.54545454</v>
      </c>
      <c r="F63" s="1">
        <f>IF(F62&gt;F57*Agriculture!$B12,F57*Agriculture!$B12,'P3_Streams'!F62)</f>
        <v>5349090.81818181</v>
      </c>
      <c r="G63" s="1">
        <f>IF(G62&gt;G57*Agriculture!$B12,G57*Agriculture!$B12,'P3_Streams'!G62)</f>
        <v>7132121.09090908</v>
      </c>
      <c r="H63" s="1">
        <f>G63*0.66</f>
        <v>4707199.9199999925</v>
      </c>
      <c r="I63" s="1">
        <f>H63*0.66</f>
        <v>3106751.947199995</v>
      </c>
      <c r="J63" s="1">
        <f aca="true" t="shared" si="28" ref="J63:T63">I63*0.66</f>
        <v>2050456.2851519969</v>
      </c>
      <c r="K63" s="1">
        <f t="shared" si="28"/>
        <v>1353301.148200318</v>
      </c>
      <c r="L63" s="1">
        <v>0</v>
      </c>
      <c r="M63" s="1">
        <f t="shared" si="28"/>
        <v>0</v>
      </c>
      <c r="N63" s="1">
        <f t="shared" si="28"/>
        <v>0</v>
      </c>
      <c r="O63" s="1">
        <f t="shared" si="28"/>
        <v>0</v>
      </c>
      <c r="P63" s="1">
        <f t="shared" si="28"/>
        <v>0</v>
      </c>
      <c r="Q63" s="1">
        <f t="shared" si="28"/>
        <v>0</v>
      </c>
      <c r="R63" s="1">
        <f t="shared" si="28"/>
        <v>0</v>
      </c>
      <c r="S63" s="1">
        <f t="shared" si="28"/>
        <v>0</v>
      </c>
      <c r="T63" s="1">
        <f t="shared" si="28"/>
        <v>0</v>
      </c>
      <c r="U63" s="1">
        <f>T63*0.66</f>
        <v>0</v>
      </c>
      <c r="V63" s="1">
        <f>U63*0.66</f>
        <v>0</v>
      </c>
      <c r="W63" s="1">
        <f>V63*0.66</f>
        <v>0</v>
      </c>
      <c r="Y63" s="4"/>
    </row>
    <row r="64" spans="1:25" ht="15">
      <c r="A64" t="s">
        <v>117</v>
      </c>
      <c r="B64" s="6"/>
      <c r="C64" s="3">
        <f>C63/Agriculture!$B12*Agriculture!$B13</f>
        <v>0</v>
      </c>
      <c r="D64" s="3">
        <f>D63/Agriculture!$B$12*Agriculture!$B$13</f>
        <v>254.71861038960998</v>
      </c>
      <c r="E64" s="3">
        <f>E63/Agriculture!$B12*Agriculture!$B13</f>
        <v>509.43722077921996</v>
      </c>
      <c r="F64" s="3">
        <f>F63/Agriculture!$B12*Agriculture!$B13</f>
        <v>764.15583116883</v>
      </c>
      <c r="G64" s="3">
        <f>G63/Agriculture!$B12*Agriculture!$B13</f>
        <v>1018.8744415584399</v>
      </c>
      <c r="H64" s="3">
        <f>H63/Agriculture!$B12*Agriculture!$B13</f>
        <v>672.4571314285704</v>
      </c>
      <c r="I64" s="3">
        <f>I63/Agriculture!$B12*Agriculture!$B13</f>
        <v>443.8217067428564</v>
      </c>
      <c r="J64" s="3">
        <f>J63/Agriculture!$B12*Agriculture!$B13</f>
        <v>292.92232645028525</v>
      </c>
      <c r="K64" s="3">
        <f>K63/Agriculture!$B12*Agriculture!$B13</f>
        <v>193.32873545718826</v>
      </c>
      <c r="L64" s="3">
        <f>L63/Agriculture!$B12*Agriculture!$B13</f>
        <v>0</v>
      </c>
      <c r="M64" s="3">
        <f>M63/Agriculture!$B12*Agriculture!$B13</f>
        <v>0</v>
      </c>
      <c r="N64" s="3">
        <f>N63/Agriculture!$B12*Agriculture!$B13</f>
        <v>0</v>
      </c>
      <c r="O64" s="3">
        <f>O63/Agriculture!$B12*Agriculture!$B13</f>
        <v>0</v>
      </c>
      <c r="P64" s="3">
        <f>P63/Agriculture!$B12*Agriculture!$B13</f>
        <v>0</v>
      </c>
      <c r="Q64" s="3">
        <f>Q63/Agriculture!$B12*Agriculture!$B13</f>
        <v>0</v>
      </c>
      <c r="R64" s="3">
        <f>R63/Agriculture!$B12*Agriculture!$B13</f>
        <v>0</v>
      </c>
      <c r="S64" s="3">
        <f>S63/Agriculture!$B12*Agriculture!$B13</f>
        <v>0</v>
      </c>
      <c r="T64" s="3">
        <f>T63/Agriculture!$B12*Agriculture!$B13</f>
        <v>0</v>
      </c>
      <c r="U64" s="1"/>
      <c r="V64" s="1"/>
      <c r="W64" s="1"/>
      <c r="Y64" s="4"/>
    </row>
    <row r="65" spans="1:23" ht="15">
      <c r="A65" s="13" t="s">
        <v>118</v>
      </c>
      <c r="B65" s="15"/>
      <c r="C65" s="15"/>
      <c r="D65" s="15">
        <f aca="true" t="shared" si="29" ref="D65:W65">D64*VA_ha_citrus</f>
        <v>1630199.1064935038</v>
      </c>
      <c r="E65" s="15">
        <f t="shared" si="29"/>
        <v>3260398.2129870076</v>
      </c>
      <c r="F65" s="15">
        <f t="shared" si="29"/>
        <v>4890597.319480512</v>
      </c>
      <c r="G65" s="15">
        <f t="shared" si="29"/>
        <v>6520796.425974015</v>
      </c>
      <c r="H65" s="15">
        <f t="shared" si="29"/>
        <v>4303725.641142851</v>
      </c>
      <c r="I65" s="15">
        <f t="shared" si="29"/>
        <v>2840458.923154281</v>
      </c>
      <c r="J65" s="15">
        <f t="shared" si="29"/>
        <v>1874702.8892818256</v>
      </c>
      <c r="K65" s="15">
        <f t="shared" si="29"/>
        <v>1237303.906926005</v>
      </c>
      <c r="L65" s="15">
        <f t="shared" si="29"/>
        <v>0</v>
      </c>
      <c r="M65" s="15">
        <f t="shared" si="29"/>
        <v>0</v>
      </c>
      <c r="N65" s="15">
        <f t="shared" si="29"/>
        <v>0</v>
      </c>
      <c r="O65" s="15">
        <f t="shared" si="29"/>
        <v>0</v>
      </c>
      <c r="P65" s="15">
        <f t="shared" si="29"/>
        <v>0</v>
      </c>
      <c r="Q65" s="15">
        <f t="shared" si="29"/>
        <v>0</v>
      </c>
      <c r="R65" s="15">
        <f t="shared" si="29"/>
        <v>0</v>
      </c>
      <c r="S65" s="15">
        <f t="shared" si="29"/>
        <v>0</v>
      </c>
      <c r="T65" s="15">
        <f t="shared" si="29"/>
        <v>0</v>
      </c>
      <c r="U65" s="15">
        <f t="shared" si="29"/>
        <v>0</v>
      </c>
      <c r="V65" s="15">
        <f t="shared" si="29"/>
        <v>0</v>
      </c>
      <c r="W65" s="15">
        <f t="shared" si="29"/>
        <v>0</v>
      </c>
    </row>
    <row r="66" spans="1:25" ht="15">
      <c r="A66" t="s">
        <v>124</v>
      </c>
      <c r="B66" s="6"/>
      <c r="C66" s="1"/>
      <c r="D66" s="1"/>
      <c r="E66" s="1"/>
      <c r="F66" s="1"/>
      <c r="G66" s="1">
        <f>G62-G63</f>
        <v>2713072.9719669307</v>
      </c>
      <c r="H66" s="1">
        <f aca="true" t="shared" si="30" ref="H66:W66">H62-H63</f>
        <v>6723117.216852004</v>
      </c>
      <c r="I66" s="1">
        <f t="shared" si="30"/>
        <v>9956238.607092017</v>
      </c>
      <c r="J66" s="1">
        <f t="shared" si="30"/>
        <v>12694180.755660007</v>
      </c>
      <c r="K66" s="1">
        <f t="shared" si="30"/>
        <v>15123439.60069968</v>
      </c>
      <c r="L66" s="1">
        <f t="shared" si="30"/>
        <v>18260814.232715998</v>
      </c>
      <c r="M66" s="1">
        <f t="shared" si="30"/>
        <v>20098400.759856015</v>
      </c>
      <c r="N66" s="1">
        <f t="shared" si="30"/>
        <v>21991105.024788003</v>
      </c>
      <c r="O66" s="1">
        <f t="shared" si="30"/>
        <v>23940590.837087996</v>
      </c>
      <c r="P66" s="1">
        <f t="shared" si="30"/>
        <v>25948585.74496802</v>
      </c>
      <c r="Q66" s="1">
        <f t="shared" si="30"/>
        <v>28016812.673111998</v>
      </c>
      <c r="R66" s="1">
        <f t="shared" si="30"/>
        <v>30147088.99827601</v>
      </c>
      <c r="S66" s="1">
        <f t="shared" si="30"/>
        <v>32341260.498887997</v>
      </c>
      <c r="T66" s="1">
        <f t="shared" si="30"/>
        <v>34601265.093684</v>
      </c>
      <c r="U66" s="1">
        <f t="shared" si="30"/>
        <v>36929069.103072</v>
      </c>
      <c r="V66" s="1">
        <f t="shared" si="30"/>
        <v>39326700.27433201</v>
      </c>
      <c r="W66" s="1">
        <f t="shared" si="30"/>
        <v>42611552.08130251</v>
      </c>
      <c r="Y66" s="4"/>
    </row>
    <row r="67" spans="1:23" ht="15">
      <c r="A67" t="s">
        <v>71</v>
      </c>
      <c r="B67" s="6"/>
      <c r="C67" s="1"/>
      <c r="D67" s="1"/>
      <c r="E67" s="1"/>
      <c r="F67" s="1"/>
      <c r="G67" s="2">
        <f>G175</f>
        <v>0.1</v>
      </c>
      <c r="H67" s="2">
        <f aca="true" t="shared" si="31" ref="H67:W67">H175</f>
        <v>0.2</v>
      </c>
      <c r="I67" s="2">
        <f t="shared" si="31"/>
        <v>0.33</v>
      </c>
      <c r="J67" s="2">
        <f t="shared" si="31"/>
        <v>0.5</v>
      </c>
      <c r="K67" s="2">
        <f t="shared" si="31"/>
        <v>0.75</v>
      </c>
      <c r="L67" s="2">
        <f t="shared" si="31"/>
        <v>1</v>
      </c>
      <c r="M67" s="2">
        <f t="shared" si="31"/>
        <v>1</v>
      </c>
      <c r="N67" s="2">
        <f t="shared" si="31"/>
        <v>1</v>
      </c>
      <c r="O67" s="2">
        <f t="shared" si="31"/>
        <v>1</v>
      </c>
      <c r="P67" s="2">
        <f t="shared" si="31"/>
        <v>1</v>
      </c>
      <c r="Q67" s="2">
        <f t="shared" si="31"/>
        <v>1</v>
      </c>
      <c r="R67" s="2">
        <f t="shared" si="31"/>
        <v>1</v>
      </c>
      <c r="S67" s="2">
        <f t="shared" si="31"/>
        <v>1</v>
      </c>
      <c r="T67" s="2">
        <f t="shared" si="31"/>
        <v>1</v>
      </c>
      <c r="U67" s="2">
        <f t="shared" si="31"/>
        <v>1</v>
      </c>
      <c r="V67" s="2">
        <f t="shared" si="31"/>
        <v>1</v>
      </c>
      <c r="W67" s="2">
        <f t="shared" si="31"/>
        <v>1</v>
      </c>
    </row>
    <row r="68" spans="1:23" ht="15">
      <c r="A68" t="s">
        <v>72</v>
      </c>
      <c r="B68" s="6"/>
      <c r="C68" s="1"/>
      <c r="D68" s="1"/>
      <c r="E68" s="1"/>
      <c r="F68" s="1"/>
      <c r="G68" s="2">
        <f>1-G67</f>
        <v>0.9</v>
      </c>
      <c r="H68" s="2">
        <f aca="true" t="shared" si="32" ref="H68:W68">1-H67</f>
        <v>0.8</v>
      </c>
      <c r="I68" s="2">
        <f t="shared" si="32"/>
        <v>0.6699999999999999</v>
      </c>
      <c r="J68" s="2">
        <f t="shared" si="32"/>
        <v>0.5</v>
      </c>
      <c r="K68" s="2">
        <f t="shared" si="32"/>
        <v>0.25</v>
      </c>
      <c r="L68" s="2">
        <f t="shared" si="32"/>
        <v>0</v>
      </c>
      <c r="M68" s="2">
        <f t="shared" si="32"/>
        <v>0</v>
      </c>
      <c r="N68" s="2">
        <f t="shared" si="32"/>
        <v>0</v>
      </c>
      <c r="O68" s="2">
        <f t="shared" si="32"/>
        <v>0</v>
      </c>
      <c r="P68" s="2">
        <f t="shared" si="32"/>
        <v>0</v>
      </c>
      <c r="Q68" s="2">
        <f t="shared" si="32"/>
        <v>0</v>
      </c>
      <c r="R68" s="2">
        <f t="shared" si="32"/>
        <v>0</v>
      </c>
      <c r="S68" s="2">
        <f t="shared" si="32"/>
        <v>0</v>
      </c>
      <c r="T68" s="2">
        <f t="shared" si="32"/>
        <v>0</v>
      </c>
      <c r="U68" s="2">
        <f t="shared" si="32"/>
        <v>0</v>
      </c>
      <c r="V68" s="2">
        <f t="shared" si="32"/>
        <v>0</v>
      </c>
      <c r="W68" s="2">
        <f t="shared" si="32"/>
        <v>0</v>
      </c>
    </row>
    <row r="69" spans="1:23" ht="15">
      <c r="A69" s="13" t="s">
        <v>75</v>
      </c>
      <c r="B69" s="15"/>
      <c r="C69" s="15"/>
      <c r="D69" s="15"/>
      <c r="E69" s="15"/>
      <c r="F69" s="15"/>
      <c r="G69" s="15">
        <f>(G62-G63)*(G67*Agriculture!$B36+G68*Agriculture!$B33)*0.75</f>
        <v>618529.1128726912</v>
      </c>
      <c r="H69" s="15">
        <f>(H62-H63)*(H67*Agriculture!$B36+H68*Agriculture!$B33)*0.75</f>
        <v>1391509.4413957698</v>
      </c>
      <c r="I69" s="15">
        <f>(I62-I63)*(I67*Agriculture!$B36+I68*Agriculture!$B33)*0.75</f>
        <v>1788783.02178617</v>
      </c>
      <c r="J69" s="15">
        <f>(J62-J63)*(J67*Agriculture!$B36+J68*Agriculture!$B33)*0.75</f>
        <v>1827357.3558213874</v>
      </c>
      <c r="K69" s="15">
        <f>(K62-K63)*(K67*Agriculture!$B36+K68*Agriculture!$B33)*0.75</f>
        <v>1382803.6014104877</v>
      </c>
      <c r="L69" s="15">
        <f>(L62-L63)*(L67*Agriculture!$B36+L68*Agriculture!$B33)*0.75</f>
        <v>710648.1254948628</v>
      </c>
      <c r="M69" s="15">
        <f>(M62-M63)*(M67*Agriculture!$B36+M68*Agriculture!$B33)*0.75</f>
        <v>782160.6771425906</v>
      </c>
      <c r="N69" s="15">
        <f>(N62-N63)*(N67*Agriculture!$B36+N68*Agriculture!$B33)*0.75</f>
        <v>855818.2216994083</v>
      </c>
      <c r="O69" s="15">
        <f>(O62-O63)*(O67*Agriculture!$B36+O68*Agriculture!$B33)*0.75</f>
        <v>931685.5089153171</v>
      </c>
      <c r="P69" s="15">
        <f>(P62-P63)*(P67*Agriculture!$B36+P68*Agriculture!$B33)*0.75</f>
        <v>1009829.7690289544</v>
      </c>
      <c r="Q69" s="15">
        <f>(Q62-Q63)*(Q67*Agriculture!$B36+Q68*Agriculture!$B33)*0.75</f>
        <v>1090318.0523471353</v>
      </c>
      <c r="R69" s="15">
        <f>(R62-R63)*(R67*Agriculture!$B36+R68*Agriculture!$B33)*0.75</f>
        <v>1173221.0849266811</v>
      </c>
      <c r="S69" s="15">
        <f>(S62-S63)*(S67*Agriculture!$B36+S68*Agriculture!$B33)*0.75</f>
        <v>1258610.6981198625</v>
      </c>
      <c r="T69" s="15">
        <f>(T62-T63)*(T67*Agriculture!$B36+T68*Agriculture!$B33)*0.75</f>
        <v>1346562.3090630446</v>
      </c>
      <c r="U69" s="15">
        <f>(U62-U63)*(U67*Agriculture!$B36+U68*Agriculture!$B33)*0.75</f>
        <v>1437152.4401880447</v>
      </c>
      <c r="V69" s="15">
        <f>(V62-V63)*(V67*Agriculture!$B36+V68*Agriculture!$B33)*0.75</f>
        <v>1530460.0044494085</v>
      </c>
      <c r="W69" s="15">
        <f>(W62-W63)*(W67*Agriculture!$B36+W68*Agriculture!$B33)*0.75</f>
        <v>1658295.146376965</v>
      </c>
    </row>
    <row r="70" spans="1:23" ht="15">
      <c r="A70" t="s">
        <v>78</v>
      </c>
      <c r="B70" s="6"/>
      <c r="C70" s="3"/>
      <c r="D70" s="3"/>
      <c r="E70" s="3"/>
      <c r="F70" s="3"/>
      <c r="G70" s="3"/>
      <c r="H70" s="3"/>
      <c r="I70" s="3"/>
      <c r="J70" s="3"/>
      <c r="K70" s="3"/>
      <c r="L70" s="3"/>
      <c r="M70" s="3"/>
      <c r="N70" s="3"/>
      <c r="O70" s="3"/>
      <c r="P70" s="3"/>
      <c r="Q70" s="3"/>
      <c r="R70" s="3"/>
      <c r="S70" s="3"/>
      <c r="T70" s="3"/>
      <c r="U70" s="3"/>
      <c r="V70" s="3"/>
      <c r="W70" s="3"/>
    </row>
    <row r="71" spans="1:23" ht="15">
      <c r="A71" t="s">
        <v>71</v>
      </c>
      <c r="B71" s="6"/>
      <c r="C71" s="3"/>
      <c r="D71" s="3"/>
      <c r="E71" s="3"/>
      <c r="F71" s="3"/>
      <c r="G71" s="2">
        <f>G67</f>
        <v>0.1</v>
      </c>
      <c r="H71" s="2">
        <f aca="true" t="shared" si="33" ref="H71:W71">H67</f>
        <v>0.2</v>
      </c>
      <c r="I71" s="2">
        <f t="shared" si="33"/>
        <v>0.33</v>
      </c>
      <c r="J71" s="2">
        <f t="shared" si="33"/>
        <v>0.5</v>
      </c>
      <c r="K71" s="2">
        <f t="shared" si="33"/>
        <v>0.75</v>
      </c>
      <c r="L71" s="2">
        <f t="shared" si="33"/>
        <v>1</v>
      </c>
      <c r="M71" s="2">
        <f t="shared" si="33"/>
        <v>1</v>
      </c>
      <c r="N71" s="2">
        <f t="shared" si="33"/>
        <v>1</v>
      </c>
      <c r="O71" s="2">
        <f t="shared" si="33"/>
        <v>1</v>
      </c>
      <c r="P71" s="2">
        <f t="shared" si="33"/>
        <v>1</v>
      </c>
      <c r="Q71" s="2">
        <f t="shared" si="33"/>
        <v>1</v>
      </c>
      <c r="R71" s="2">
        <f t="shared" si="33"/>
        <v>1</v>
      </c>
      <c r="S71" s="2">
        <f t="shared" si="33"/>
        <v>1</v>
      </c>
      <c r="T71" s="2">
        <f t="shared" si="33"/>
        <v>1</v>
      </c>
      <c r="U71" s="2">
        <f t="shared" si="33"/>
        <v>1</v>
      </c>
      <c r="V71" s="2">
        <f t="shared" si="33"/>
        <v>1</v>
      </c>
      <c r="W71" s="2">
        <f t="shared" si="33"/>
        <v>1</v>
      </c>
    </row>
    <row r="72" spans="1:23" ht="15">
      <c r="A72" t="s">
        <v>72</v>
      </c>
      <c r="B72" s="6"/>
      <c r="C72" s="3"/>
      <c r="D72" s="3"/>
      <c r="E72" s="3"/>
      <c r="F72" s="3"/>
      <c r="G72" s="2">
        <f>1-G71</f>
        <v>0.9</v>
      </c>
      <c r="H72" s="2">
        <f aca="true" t="shared" si="34" ref="H72:W72">1-H71</f>
        <v>0.8</v>
      </c>
      <c r="I72" s="2">
        <f t="shared" si="34"/>
        <v>0.6699999999999999</v>
      </c>
      <c r="J72" s="2">
        <f t="shared" si="34"/>
        <v>0.5</v>
      </c>
      <c r="K72" s="2">
        <f t="shared" si="34"/>
        <v>0.25</v>
      </c>
      <c r="L72" s="2">
        <f t="shared" si="34"/>
        <v>0</v>
      </c>
      <c r="M72" s="2">
        <f t="shared" si="34"/>
        <v>0</v>
      </c>
      <c r="N72" s="2">
        <f t="shared" si="34"/>
        <v>0</v>
      </c>
      <c r="O72" s="2">
        <f t="shared" si="34"/>
        <v>0</v>
      </c>
      <c r="P72" s="2">
        <f t="shared" si="34"/>
        <v>0</v>
      </c>
      <c r="Q72" s="2">
        <f t="shared" si="34"/>
        <v>0</v>
      </c>
      <c r="R72" s="2">
        <f t="shared" si="34"/>
        <v>0</v>
      </c>
      <c r="S72" s="2">
        <f t="shared" si="34"/>
        <v>0</v>
      </c>
      <c r="T72" s="2">
        <f t="shared" si="34"/>
        <v>0</v>
      </c>
      <c r="U72" s="2">
        <f t="shared" si="34"/>
        <v>0</v>
      </c>
      <c r="V72" s="2">
        <f t="shared" si="34"/>
        <v>0</v>
      </c>
      <c r="W72" s="2">
        <f t="shared" si="34"/>
        <v>0</v>
      </c>
    </row>
    <row r="73" spans="1:23" ht="15">
      <c r="A73" s="13" t="s">
        <v>77</v>
      </c>
      <c r="B73" s="15"/>
      <c r="C73" s="15"/>
      <c r="D73" s="15"/>
      <c r="E73" s="15"/>
      <c r="F73" s="15"/>
      <c r="G73" s="15">
        <f aca="true" t="shared" si="35" ref="G73:W73">AgArea*(G71*Ag_VA_Low+G72*Ag_VA_High)</f>
        <v>33684650</v>
      </c>
      <c r="H73" s="15">
        <f t="shared" si="35"/>
        <v>30580800.000000004</v>
      </c>
      <c r="I73" s="15">
        <f t="shared" si="35"/>
        <v>26545795</v>
      </c>
      <c r="J73" s="15">
        <f t="shared" si="35"/>
        <v>21269250</v>
      </c>
      <c r="K73" s="15">
        <f t="shared" si="35"/>
        <v>13509625</v>
      </c>
      <c r="L73" s="15">
        <f t="shared" si="35"/>
        <v>5750000</v>
      </c>
      <c r="M73" s="15">
        <f t="shared" si="35"/>
        <v>5750000</v>
      </c>
      <c r="N73" s="15">
        <f t="shared" si="35"/>
        <v>5750000</v>
      </c>
      <c r="O73" s="15">
        <f t="shared" si="35"/>
        <v>5750000</v>
      </c>
      <c r="P73" s="15">
        <f t="shared" si="35"/>
        <v>5750000</v>
      </c>
      <c r="Q73" s="15">
        <f t="shared" si="35"/>
        <v>5750000</v>
      </c>
      <c r="R73" s="15">
        <f t="shared" si="35"/>
        <v>5750000</v>
      </c>
      <c r="S73" s="15">
        <f t="shared" si="35"/>
        <v>5750000</v>
      </c>
      <c r="T73" s="15">
        <f t="shared" si="35"/>
        <v>5750000</v>
      </c>
      <c r="U73" s="15">
        <f t="shared" si="35"/>
        <v>5750000</v>
      </c>
      <c r="V73" s="15">
        <f t="shared" si="35"/>
        <v>5750000</v>
      </c>
      <c r="W73" s="15">
        <f t="shared" si="35"/>
        <v>5750000</v>
      </c>
    </row>
    <row r="74" spans="2:23" ht="15">
      <c r="B74" s="6"/>
      <c r="C74" s="3"/>
      <c r="D74" s="3"/>
      <c r="E74" s="3"/>
      <c r="F74" s="3"/>
      <c r="G74" s="1"/>
      <c r="H74" s="1"/>
      <c r="I74" s="1"/>
      <c r="J74" s="1"/>
      <c r="K74" s="1"/>
      <c r="L74" s="1"/>
      <c r="M74" s="1"/>
      <c r="N74" s="1"/>
      <c r="O74" s="1"/>
      <c r="P74" s="1"/>
      <c r="Q74" s="1"/>
      <c r="R74" s="1"/>
      <c r="S74" s="1"/>
      <c r="T74" s="1"/>
      <c r="U74" s="1"/>
      <c r="V74" s="1"/>
      <c r="W74" s="1"/>
    </row>
    <row r="75" spans="1:23" ht="15">
      <c r="A75" s="13" t="s">
        <v>76</v>
      </c>
      <c r="B75" s="15"/>
      <c r="C75" s="15"/>
      <c r="D75" s="15">
        <f>D65+D60+D69+D73</f>
        <v>1630199.1064935038</v>
      </c>
      <c r="E75" s="15">
        <f>E65+E60+E69+E73</f>
        <v>3260398.2129870076</v>
      </c>
      <c r="F75" s="15">
        <f>F65+F60+F69+F73</f>
        <v>4890597.319480512</v>
      </c>
      <c r="G75" s="15">
        <f>G65+G60+G69+G73</f>
        <v>40823975.53884671</v>
      </c>
      <c r="H75" s="15">
        <f aca="true" t="shared" si="36" ref="H75:W75">H65+H60+H69+H73</f>
        <v>36276035.08253863</v>
      </c>
      <c r="I75" s="15">
        <f t="shared" si="36"/>
        <v>31175036.94494045</v>
      </c>
      <c r="J75" s="15">
        <f t="shared" si="36"/>
        <v>24971310.245103214</v>
      </c>
      <c r="K75" s="15">
        <f t="shared" si="36"/>
        <v>16129732.508336492</v>
      </c>
      <c r="L75" s="15">
        <f t="shared" si="36"/>
        <v>6460648.125494863</v>
      </c>
      <c r="M75" s="15">
        <f t="shared" si="36"/>
        <v>6532160.67714259</v>
      </c>
      <c r="N75" s="15">
        <f t="shared" si="36"/>
        <v>6605818.221699408</v>
      </c>
      <c r="O75" s="15">
        <f t="shared" si="36"/>
        <v>6681685.508915317</v>
      </c>
      <c r="P75" s="15">
        <f t="shared" si="36"/>
        <v>6759829.769028954</v>
      </c>
      <c r="Q75" s="15">
        <f t="shared" si="36"/>
        <v>6840318.052347135</v>
      </c>
      <c r="R75" s="15">
        <f t="shared" si="36"/>
        <v>6923221.084926682</v>
      </c>
      <c r="S75" s="15">
        <f t="shared" si="36"/>
        <v>7008610.698119862</v>
      </c>
      <c r="T75" s="15">
        <f t="shared" si="36"/>
        <v>7096562.309063044</v>
      </c>
      <c r="U75" s="15">
        <f t="shared" si="36"/>
        <v>7187152.440188045</v>
      </c>
      <c r="V75" s="15">
        <f t="shared" si="36"/>
        <v>7280460.0044494085</v>
      </c>
      <c r="W75" s="15">
        <f t="shared" si="36"/>
        <v>7408295.146376966</v>
      </c>
    </row>
    <row r="76" spans="2:23" ht="15">
      <c r="B76" s="6"/>
      <c r="C76" s="3"/>
      <c r="D76" s="1">
        <v>1120487.0858468674</v>
      </c>
      <c r="E76" s="1">
        <v>2266758.1168210343</v>
      </c>
      <c r="F76" s="1">
        <v>3439382.467693723</v>
      </c>
      <c r="G76" s="1">
        <v>38851972.56137873</v>
      </c>
      <c r="H76" s="1">
        <v>34671238.34330282</v>
      </c>
      <c r="I76" s="1">
        <v>29864735.90689279</v>
      </c>
      <c r="J76" s="1">
        <v>23935298.865592174</v>
      </c>
      <c r="K76" s="1">
        <v>15422129.844546637</v>
      </c>
      <c r="L76" s="1">
        <v>6245630.229806818</v>
      </c>
      <c r="M76" s="1">
        <v>6304723.398977273</v>
      </c>
      <c r="N76" s="1">
        <v>6365175.400386363</v>
      </c>
      <c r="O76" s="1">
        <v>6427019.071590909</v>
      </c>
      <c r="P76" s="1">
        <v>6490284.589727273</v>
      </c>
      <c r="Q76" s="1">
        <v>6555004.612420455</v>
      </c>
      <c r="R76" s="1">
        <v>6621212.992556818</v>
      </c>
      <c r="S76" s="1">
        <v>6688943.583022728</v>
      </c>
      <c r="T76" s="1">
        <v>6758232.537261363</v>
      </c>
      <c r="U76" s="1">
        <v>6829116.098681818</v>
      </c>
      <c r="V76" s="1">
        <v>6901629.1355</v>
      </c>
      <c r="W76" s="1">
        <v>7007535.591661932</v>
      </c>
    </row>
    <row r="77" spans="1:23" ht="15">
      <c r="A77" s="13" t="s">
        <v>84</v>
      </c>
      <c r="B77" s="15"/>
      <c r="C77" s="15"/>
      <c r="D77" s="15"/>
      <c r="E77" s="15"/>
      <c r="F77" s="15"/>
      <c r="G77" s="15">
        <f aca="true" t="shared" si="37" ref="G77:W77">G49*OM_current*1.25</f>
        <v>9175760.751480002</v>
      </c>
      <c r="H77" s="15">
        <f t="shared" si="37"/>
        <v>9357958.80596</v>
      </c>
      <c r="I77" s="15">
        <f t="shared" si="37"/>
        <v>9545622.41716</v>
      </c>
      <c r="J77" s="15">
        <f t="shared" si="37"/>
        <v>9738915.11676</v>
      </c>
      <c r="K77" s="15">
        <f t="shared" si="37"/>
        <v>9938007.497000001</v>
      </c>
      <c r="L77" s="15">
        <f t="shared" si="37"/>
        <v>10143073.41468</v>
      </c>
      <c r="M77" s="15">
        <f t="shared" si="37"/>
        <v>10354290.256880002</v>
      </c>
      <c r="N77" s="15">
        <f t="shared" si="37"/>
        <v>10571842.471239999</v>
      </c>
      <c r="O77" s="15">
        <f t="shared" si="37"/>
        <v>10795921.30024</v>
      </c>
      <c r="P77" s="15">
        <f t="shared" si="37"/>
        <v>11026725.312640004</v>
      </c>
      <c r="Q77" s="15">
        <f t="shared" si="37"/>
        <v>11264452.545759998</v>
      </c>
      <c r="R77" s="15">
        <f t="shared" si="37"/>
        <v>11509311.893480001</v>
      </c>
      <c r="S77" s="15">
        <f t="shared" si="37"/>
        <v>11761515.51424</v>
      </c>
      <c r="T77" s="15">
        <f t="shared" si="37"/>
        <v>12021286.15732</v>
      </c>
      <c r="U77" s="15">
        <f t="shared" si="37"/>
        <v>12288849.836560002</v>
      </c>
      <c r="V77" s="15">
        <f t="shared" si="37"/>
        <v>12564439.62636</v>
      </c>
      <c r="W77" s="15">
        <f t="shared" si="37"/>
        <v>12942008.799575001</v>
      </c>
    </row>
    <row r="78" spans="2:23" ht="15">
      <c r="B78" s="6"/>
      <c r="C78" s="6"/>
      <c r="D78" s="3"/>
      <c r="E78" s="3"/>
      <c r="F78" s="3"/>
      <c r="G78" s="3"/>
      <c r="H78" s="3"/>
      <c r="I78" s="3"/>
      <c r="J78" s="3"/>
      <c r="K78" s="3"/>
      <c r="L78" s="3"/>
      <c r="M78" s="3"/>
      <c r="N78" s="3"/>
      <c r="O78" s="3"/>
      <c r="P78" s="3"/>
      <c r="Q78" s="3"/>
      <c r="R78" s="3"/>
      <c r="S78" s="3"/>
      <c r="T78" s="3"/>
      <c r="U78" s="3"/>
      <c r="V78" s="3"/>
      <c r="W78" s="3"/>
    </row>
    <row r="79" spans="2:23" ht="15">
      <c r="B79" s="20" t="s">
        <v>30</v>
      </c>
      <c r="C79" s="5">
        <v>0</v>
      </c>
      <c r="D79" s="5">
        <v>1</v>
      </c>
      <c r="E79" s="5">
        <v>2</v>
      </c>
      <c r="F79" s="5">
        <v>3</v>
      </c>
      <c r="G79" s="5">
        <v>4</v>
      </c>
      <c r="H79" s="5">
        <v>5</v>
      </c>
      <c r="I79" s="5">
        <v>6</v>
      </c>
      <c r="J79" s="5">
        <v>7</v>
      </c>
      <c r="K79" s="5">
        <v>8</v>
      </c>
      <c r="L79" s="5">
        <v>9</v>
      </c>
      <c r="M79" s="5">
        <v>10</v>
      </c>
      <c r="N79" s="5">
        <v>11</v>
      </c>
      <c r="O79" s="5">
        <v>12</v>
      </c>
      <c r="P79" s="5">
        <v>13</v>
      </c>
      <c r="Q79" s="5">
        <v>14</v>
      </c>
      <c r="R79" s="5">
        <v>15</v>
      </c>
      <c r="S79" s="5">
        <v>16</v>
      </c>
      <c r="T79" s="5">
        <v>17</v>
      </c>
      <c r="U79" s="5">
        <v>18</v>
      </c>
      <c r="V79" s="5">
        <v>19</v>
      </c>
      <c r="W79" s="5">
        <v>20</v>
      </c>
    </row>
    <row r="80" spans="2:23" ht="15">
      <c r="B80" s="20" t="s">
        <v>8</v>
      </c>
      <c r="C80" s="24">
        <v>2010</v>
      </c>
      <c r="D80" s="24">
        <v>2011</v>
      </c>
      <c r="E80" s="24">
        <v>2012</v>
      </c>
      <c r="F80" s="24">
        <v>2013</v>
      </c>
      <c r="G80" s="24">
        <v>2014</v>
      </c>
      <c r="H80" s="24">
        <v>2015</v>
      </c>
      <c r="I80" s="24">
        <v>2016</v>
      </c>
      <c r="J80" s="24">
        <v>2017</v>
      </c>
      <c r="K80" s="24">
        <v>2018</v>
      </c>
      <c r="L80" s="24">
        <v>2019</v>
      </c>
      <c r="M80" s="24">
        <v>2020</v>
      </c>
      <c r="N80" s="24">
        <v>2021</v>
      </c>
      <c r="O80" s="24">
        <v>2022</v>
      </c>
      <c r="P80" s="24">
        <v>2023</v>
      </c>
      <c r="Q80" s="24">
        <v>2024</v>
      </c>
      <c r="R80" s="24">
        <v>2025</v>
      </c>
      <c r="S80" s="24">
        <v>2026</v>
      </c>
      <c r="T80" s="24">
        <v>2027</v>
      </c>
      <c r="U80" s="24">
        <v>2028</v>
      </c>
      <c r="V80" s="24">
        <v>2029</v>
      </c>
      <c r="W80" s="24">
        <v>2030</v>
      </c>
    </row>
    <row r="81" spans="1:23" ht="15">
      <c r="A81" s="7" t="s">
        <v>92</v>
      </c>
      <c r="B81" s="6"/>
      <c r="C81" s="1"/>
      <c r="D81" s="3"/>
      <c r="E81" s="3"/>
      <c r="F81" s="3"/>
      <c r="G81" s="3"/>
      <c r="H81" s="3"/>
      <c r="I81" s="3"/>
      <c r="J81" s="3"/>
      <c r="K81" s="3"/>
      <c r="L81" s="3"/>
      <c r="M81" s="3"/>
      <c r="N81" s="3"/>
      <c r="O81" s="3"/>
      <c r="P81" s="3"/>
      <c r="Q81" s="3"/>
      <c r="R81" s="3"/>
      <c r="S81" s="3"/>
      <c r="T81" s="3"/>
      <c r="U81" s="3"/>
      <c r="V81" s="3"/>
      <c r="W81" s="3"/>
    </row>
    <row r="82" spans="1:23" ht="15">
      <c r="A82" t="s">
        <v>94</v>
      </c>
      <c r="B82" s="6"/>
      <c r="C82" s="1">
        <f>C49+C45</f>
        <v>80441292.5</v>
      </c>
      <c r="D82" s="1">
        <f aca="true" t="shared" si="38" ref="D82:W82">D49+D45</f>
        <v>83902058.6078</v>
      </c>
      <c r="E82" s="1">
        <f t="shared" si="38"/>
        <v>86419123.64315002</v>
      </c>
      <c r="F82" s="1">
        <f t="shared" si="38"/>
        <v>89011698.91855</v>
      </c>
      <c r="G82" s="1">
        <f t="shared" si="38"/>
        <v>100527490.75850001</v>
      </c>
      <c r="H82" s="1">
        <f t="shared" si="38"/>
        <v>104595074.38312499</v>
      </c>
      <c r="I82" s="1">
        <f t="shared" si="38"/>
        <v>108816227.73910001</v>
      </c>
      <c r="J82" s="1">
        <f t="shared" si="38"/>
        <v>112080723.3531</v>
      </c>
      <c r="K82" s="1">
        <f t="shared" si="38"/>
        <v>115443143.57975</v>
      </c>
      <c r="L82" s="1">
        <f t="shared" si="38"/>
        <v>119312368.4088</v>
      </c>
      <c r="M82" s="1">
        <f t="shared" si="38"/>
        <v>122891755.5453</v>
      </c>
      <c r="N82" s="1">
        <f t="shared" si="38"/>
        <v>126578506.4244</v>
      </c>
      <c r="O82" s="1">
        <f t="shared" si="38"/>
        <v>130375858.56689999</v>
      </c>
      <c r="P82" s="1">
        <f t="shared" si="38"/>
        <v>134287141.51740003</v>
      </c>
      <c r="Q82" s="1">
        <f t="shared" si="38"/>
        <v>139256903.34535</v>
      </c>
      <c r="R82" s="1">
        <f t="shared" si="38"/>
        <v>143434609.91730002</v>
      </c>
      <c r="S82" s="1">
        <f t="shared" si="38"/>
        <v>147737648.8059</v>
      </c>
      <c r="T82" s="1">
        <f t="shared" si="38"/>
        <v>152169777.3467</v>
      </c>
      <c r="U82" s="1">
        <f t="shared" si="38"/>
        <v>156734881.55234998</v>
      </c>
      <c r="V82" s="1">
        <f t="shared" si="38"/>
        <v>161982442.38735002</v>
      </c>
      <c r="W82" s="1">
        <f t="shared" si="38"/>
        <v>168538023.19375002</v>
      </c>
    </row>
    <row r="83" spans="1:23" ht="17.25">
      <c r="A83" t="s">
        <v>95</v>
      </c>
      <c r="B83" s="6"/>
      <c r="C83" s="3">
        <f aca="true" t="shared" si="39" ref="C83:W83">C82/365</f>
        <v>220387.10273972602</v>
      </c>
      <c r="D83" s="3">
        <f t="shared" si="39"/>
        <v>229868.65372000003</v>
      </c>
      <c r="E83" s="3">
        <f t="shared" si="39"/>
        <v>236764.72231000004</v>
      </c>
      <c r="F83" s="3">
        <f t="shared" si="39"/>
        <v>243867.66827</v>
      </c>
      <c r="G83" s="3">
        <f t="shared" si="39"/>
        <v>275417.78290000005</v>
      </c>
      <c r="H83" s="3">
        <f t="shared" si="39"/>
        <v>286561.847625</v>
      </c>
      <c r="I83" s="3">
        <f t="shared" si="39"/>
        <v>298126.65134000004</v>
      </c>
      <c r="J83" s="3">
        <f t="shared" si="39"/>
        <v>307070.47494</v>
      </c>
      <c r="K83" s="3">
        <f t="shared" si="39"/>
        <v>316282.58515</v>
      </c>
      <c r="L83" s="3">
        <f t="shared" si="39"/>
        <v>326883.20112000004</v>
      </c>
      <c r="M83" s="3">
        <f t="shared" si="39"/>
        <v>336689.74122</v>
      </c>
      <c r="N83" s="3">
        <f t="shared" si="39"/>
        <v>346790.42856000003</v>
      </c>
      <c r="O83" s="3">
        <f t="shared" si="39"/>
        <v>357194.13305999996</v>
      </c>
      <c r="P83" s="3">
        <f t="shared" si="39"/>
        <v>367909.97676000005</v>
      </c>
      <c r="Q83" s="3">
        <f t="shared" si="39"/>
        <v>381525.76259</v>
      </c>
      <c r="R83" s="3">
        <f t="shared" si="39"/>
        <v>392971.53402</v>
      </c>
      <c r="S83" s="3">
        <f t="shared" si="39"/>
        <v>404760.68166</v>
      </c>
      <c r="T83" s="3">
        <f t="shared" si="39"/>
        <v>416903.49958000006</v>
      </c>
      <c r="U83" s="3">
        <f t="shared" si="39"/>
        <v>429410.63438999996</v>
      </c>
      <c r="V83" s="3">
        <f t="shared" si="39"/>
        <v>443787.51339000004</v>
      </c>
      <c r="W83" s="3">
        <f t="shared" si="39"/>
        <v>461748.00875000004</v>
      </c>
    </row>
    <row r="84" spans="1:23" ht="15">
      <c r="A84" t="s">
        <v>70</v>
      </c>
      <c r="B84" s="6"/>
      <c r="C84" s="3">
        <v>0</v>
      </c>
      <c r="D84" s="1">
        <f>(D82-$C82)*0.95</f>
        <v>3287727.8024100065</v>
      </c>
      <c r="E84" s="1">
        <f aca="true" t="shared" si="40" ref="E84:W84">(E82-$C82)*0.95</f>
        <v>5678939.585992516</v>
      </c>
      <c r="F84" s="1">
        <f t="shared" si="40"/>
        <v>8141886.097622499</v>
      </c>
      <c r="G84" s="1">
        <f t="shared" si="40"/>
        <v>19081888.34557501</v>
      </c>
      <c r="H84" s="1">
        <f t="shared" si="40"/>
        <v>22946092.788968742</v>
      </c>
      <c r="I84" s="1">
        <f t="shared" si="40"/>
        <v>26956188.47714501</v>
      </c>
      <c r="J84" s="1">
        <f t="shared" si="40"/>
        <v>30057459.310445</v>
      </c>
      <c r="K84" s="1">
        <f t="shared" si="40"/>
        <v>33251758.5257625</v>
      </c>
      <c r="L84" s="1">
        <f t="shared" si="40"/>
        <v>36927522.11336</v>
      </c>
      <c r="M84" s="1">
        <f t="shared" si="40"/>
        <v>40327939.893035</v>
      </c>
      <c r="N84" s="1">
        <f t="shared" si="40"/>
        <v>43830353.22818</v>
      </c>
      <c r="O84" s="1">
        <f t="shared" si="40"/>
        <v>47437837.76355498</v>
      </c>
      <c r="P84" s="1">
        <f t="shared" si="40"/>
        <v>51153556.56653002</v>
      </c>
      <c r="Q84" s="1">
        <f t="shared" si="40"/>
        <v>55874830.303082496</v>
      </c>
      <c r="R84" s="1">
        <f t="shared" si="40"/>
        <v>59843651.54643501</v>
      </c>
      <c r="S84" s="1">
        <f t="shared" si="40"/>
        <v>63931538.490605004</v>
      </c>
      <c r="T84" s="1">
        <f t="shared" si="40"/>
        <v>68142060.604365</v>
      </c>
      <c r="U84" s="1">
        <f t="shared" si="40"/>
        <v>72478909.59973249</v>
      </c>
      <c r="V84" s="1">
        <f t="shared" si="40"/>
        <v>77464092.39298251</v>
      </c>
      <c r="W84" s="1">
        <f t="shared" si="40"/>
        <v>83691894.15906252</v>
      </c>
    </row>
    <row r="85" spans="1:23" ht="15">
      <c r="A85" t="s">
        <v>116</v>
      </c>
      <c r="B85" s="6"/>
      <c r="C85" s="3"/>
      <c r="D85" s="1">
        <f>IF(D84&gt;D79*Agriculture!$B$12,D79*Agriculture!$B$12,'P3_Streams'!D84)</f>
        <v>1783030.27272727</v>
      </c>
      <c r="E85" s="1">
        <f>IF(E84&gt;E79*Agriculture!$B$12,E79*Agriculture!$B$12,'P3_Streams'!E84)</f>
        <v>3566060.54545454</v>
      </c>
      <c r="F85" s="1">
        <f>IF(F84&gt;F79*Agriculture!$B$12,F79*Agriculture!$B$12,'P3_Streams'!F84)</f>
        <v>5349090.81818181</v>
      </c>
      <c r="G85" s="1">
        <f>IF(G84&gt;G79*Agriculture!$B$12,G79*Agriculture!$B$12,'P3_Streams'!G84)</f>
        <v>7132121.09090908</v>
      </c>
      <c r="H85" s="1">
        <f>G85</f>
        <v>7132121.09090908</v>
      </c>
      <c r="I85" s="1">
        <f aca="true" t="shared" si="41" ref="I85:W85">H85</f>
        <v>7132121.09090908</v>
      </c>
      <c r="J85" s="1">
        <f t="shared" si="41"/>
        <v>7132121.09090908</v>
      </c>
      <c r="K85" s="1">
        <f t="shared" si="41"/>
        <v>7132121.09090908</v>
      </c>
      <c r="L85" s="1">
        <f t="shared" si="41"/>
        <v>7132121.09090908</v>
      </c>
      <c r="M85" s="1">
        <f t="shared" si="41"/>
        <v>7132121.09090908</v>
      </c>
      <c r="N85" s="1">
        <f t="shared" si="41"/>
        <v>7132121.09090908</v>
      </c>
      <c r="O85" s="1">
        <f t="shared" si="41"/>
        <v>7132121.09090908</v>
      </c>
      <c r="P85" s="1">
        <f t="shared" si="41"/>
        <v>7132121.09090908</v>
      </c>
      <c r="Q85" s="1">
        <f t="shared" si="41"/>
        <v>7132121.09090908</v>
      </c>
      <c r="R85" s="1">
        <f t="shared" si="41"/>
        <v>7132121.09090908</v>
      </c>
      <c r="S85" s="1">
        <f t="shared" si="41"/>
        <v>7132121.09090908</v>
      </c>
      <c r="T85" s="1">
        <f t="shared" si="41"/>
        <v>7132121.09090908</v>
      </c>
      <c r="U85" s="1">
        <f t="shared" si="41"/>
        <v>7132121.09090908</v>
      </c>
      <c r="V85" s="1">
        <f t="shared" si="41"/>
        <v>7132121.09090908</v>
      </c>
      <c r="W85" s="1">
        <f t="shared" si="41"/>
        <v>7132121.09090908</v>
      </c>
    </row>
    <row r="86" spans="1:23" ht="15">
      <c r="A86" t="s">
        <v>117</v>
      </c>
      <c r="B86" s="6"/>
      <c r="C86" s="3"/>
      <c r="D86" s="3">
        <f>D85/Agriculture!$B$12*Agriculture!$B$13</f>
        <v>254.71861038960998</v>
      </c>
      <c r="E86" s="3">
        <f>E85/Agriculture!$B$12*Agriculture!$B$13</f>
        <v>509.43722077921996</v>
      </c>
      <c r="F86" s="3">
        <f>F85/Agriculture!$B$12*Agriculture!$B$13</f>
        <v>764.15583116883</v>
      </c>
      <c r="G86" s="3">
        <f>G85/Agriculture!$B$12*Agriculture!$B$13</f>
        <v>1018.8744415584399</v>
      </c>
      <c r="H86" s="3">
        <f>H85/Agriculture!$B$12*Agriculture!$B$13</f>
        <v>1018.8744415584399</v>
      </c>
      <c r="I86" s="3">
        <f>I85/Agriculture!$B$12*Agriculture!$B$13</f>
        <v>1018.8744415584399</v>
      </c>
      <c r="J86" s="3">
        <f>J85/Agriculture!$B$12*Agriculture!$B$13</f>
        <v>1018.8744415584399</v>
      </c>
      <c r="K86" s="3">
        <f>K85/Agriculture!$B$12*Agriculture!$B$13</f>
        <v>1018.8744415584399</v>
      </c>
      <c r="L86" s="3">
        <f>L85/Agriculture!$B$12*Agriculture!$B$13</f>
        <v>1018.8744415584399</v>
      </c>
      <c r="M86" s="3">
        <f>M85/Agriculture!$B$12*Agriculture!$B$13</f>
        <v>1018.8744415584399</v>
      </c>
      <c r="N86" s="3">
        <f>N85/Agriculture!$B$12*Agriculture!$B$13</f>
        <v>1018.8744415584399</v>
      </c>
      <c r="O86" s="3">
        <f>O85/Agriculture!$B$12*Agriculture!$B$13</f>
        <v>1018.8744415584399</v>
      </c>
      <c r="P86" s="3">
        <f>P85/Agriculture!$B$12*Agriculture!$B$13</f>
        <v>1018.8744415584399</v>
      </c>
      <c r="Q86" s="3">
        <f>Q85/Agriculture!$B$12*Agriculture!$B$13</f>
        <v>1018.8744415584399</v>
      </c>
      <c r="R86" s="3">
        <f>R85/Agriculture!$B$12*Agriculture!$B$13</f>
        <v>1018.8744415584399</v>
      </c>
      <c r="S86" s="3">
        <f>S85/Agriculture!$B$12*Agriculture!$B$13</f>
        <v>1018.8744415584399</v>
      </c>
      <c r="T86" s="3">
        <f>T85/Agriculture!$B$12*Agriculture!$B$13</f>
        <v>1018.8744415584399</v>
      </c>
      <c r="U86" s="3">
        <f>U85/Agriculture!$B$12*Agriculture!$B$13</f>
        <v>1018.8744415584399</v>
      </c>
      <c r="V86" s="3">
        <f>V85/Agriculture!$B$12*Agriculture!$B$13</f>
        <v>1018.8744415584399</v>
      </c>
      <c r="W86" s="3">
        <f>W85/Agriculture!$B$12*Agriculture!$B$13</f>
        <v>1018.8744415584399</v>
      </c>
    </row>
    <row r="87" spans="1:23" ht="15">
      <c r="A87" t="s">
        <v>118</v>
      </c>
      <c r="B87" s="6"/>
      <c r="C87" s="3"/>
      <c r="D87" s="1">
        <f aca="true" t="shared" si="42" ref="D87:W87">D86*VA_ha_citrus</f>
        <v>1630199.1064935038</v>
      </c>
      <c r="E87" s="1">
        <f t="shared" si="42"/>
        <v>3260398.2129870076</v>
      </c>
      <c r="F87" s="1">
        <f t="shared" si="42"/>
        <v>4890597.319480512</v>
      </c>
      <c r="G87" s="1">
        <f t="shared" si="42"/>
        <v>6520796.425974015</v>
      </c>
      <c r="H87" s="1">
        <f t="shared" si="42"/>
        <v>6520796.425974015</v>
      </c>
      <c r="I87" s="1">
        <f t="shared" si="42"/>
        <v>6520796.425974015</v>
      </c>
      <c r="J87" s="1">
        <f t="shared" si="42"/>
        <v>6520796.425974015</v>
      </c>
      <c r="K87" s="1">
        <f t="shared" si="42"/>
        <v>6520796.425974015</v>
      </c>
      <c r="L87" s="1">
        <f t="shared" si="42"/>
        <v>6520796.425974015</v>
      </c>
      <c r="M87" s="1">
        <f t="shared" si="42"/>
        <v>6520796.425974015</v>
      </c>
      <c r="N87" s="1">
        <f t="shared" si="42"/>
        <v>6520796.425974015</v>
      </c>
      <c r="O87" s="1">
        <f t="shared" si="42"/>
        <v>6520796.425974015</v>
      </c>
      <c r="P87" s="1">
        <f t="shared" si="42"/>
        <v>6520796.425974015</v>
      </c>
      <c r="Q87" s="1">
        <f t="shared" si="42"/>
        <v>6520796.425974015</v>
      </c>
      <c r="R87" s="1">
        <f t="shared" si="42"/>
        <v>6520796.425974015</v>
      </c>
      <c r="S87" s="1">
        <f t="shared" si="42"/>
        <v>6520796.425974015</v>
      </c>
      <c r="T87" s="1">
        <f t="shared" si="42"/>
        <v>6520796.425974015</v>
      </c>
      <c r="U87" s="1">
        <f t="shared" si="42"/>
        <v>6520796.425974015</v>
      </c>
      <c r="V87" s="1">
        <f t="shared" si="42"/>
        <v>6520796.425974015</v>
      </c>
      <c r="W87" s="1">
        <f t="shared" si="42"/>
        <v>6520796.425974015</v>
      </c>
    </row>
    <row r="88" spans="2:23" ht="15">
      <c r="B88" s="6"/>
      <c r="C88" s="3"/>
      <c r="D88" s="1"/>
      <c r="E88" s="1"/>
      <c r="F88" s="1"/>
      <c r="G88" s="1"/>
      <c r="H88" s="1"/>
      <c r="I88" s="1"/>
      <c r="J88" s="1"/>
      <c r="K88" s="1"/>
      <c r="L88" s="1"/>
      <c r="M88" s="1"/>
      <c r="N88" s="1"/>
      <c r="O88" s="1"/>
      <c r="P88" s="1"/>
      <c r="Q88" s="1"/>
      <c r="R88" s="1"/>
      <c r="S88" s="1"/>
      <c r="T88" s="1"/>
      <c r="U88" s="1"/>
      <c r="V88" s="1"/>
      <c r="W88" s="1"/>
    </row>
    <row r="89" spans="1:23" ht="15">
      <c r="A89" t="s">
        <v>93</v>
      </c>
      <c r="B89" s="6"/>
      <c r="C89" s="3"/>
      <c r="D89" s="3"/>
      <c r="E89" s="3"/>
      <c r="F89" s="1"/>
      <c r="G89" s="1">
        <f>G172</f>
        <v>5000000</v>
      </c>
      <c r="H89" s="1">
        <f aca="true" t="shared" si="43" ref="H89:W89">H172</f>
        <v>6000000</v>
      </c>
      <c r="I89" s="1">
        <f t="shared" si="43"/>
        <v>7000000</v>
      </c>
      <c r="J89" s="1">
        <f t="shared" si="43"/>
        <v>8000000</v>
      </c>
      <c r="K89" s="1">
        <f t="shared" si="43"/>
        <v>9000000</v>
      </c>
      <c r="L89" s="1">
        <f t="shared" si="43"/>
        <v>10000000</v>
      </c>
      <c r="M89" s="1">
        <f t="shared" si="43"/>
        <v>10000000</v>
      </c>
      <c r="N89" s="1">
        <f t="shared" si="43"/>
        <v>10000000</v>
      </c>
      <c r="O89" s="1">
        <f t="shared" si="43"/>
        <v>10000000</v>
      </c>
      <c r="P89" s="1">
        <f t="shared" si="43"/>
        <v>10000000</v>
      </c>
      <c r="Q89" s="1">
        <f t="shared" si="43"/>
        <v>10000000</v>
      </c>
      <c r="R89" s="1">
        <f t="shared" si="43"/>
        <v>10000000</v>
      </c>
      <c r="S89" s="1">
        <f t="shared" si="43"/>
        <v>10000000</v>
      </c>
      <c r="T89" s="1">
        <f t="shared" si="43"/>
        <v>10000000</v>
      </c>
      <c r="U89" s="1">
        <f t="shared" si="43"/>
        <v>10000000</v>
      </c>
      <c r="V89" s="1">
        <f t="shared" si="43"/>
        <v>10000000</v>
      </c>
      <c r="W89" s="1">
        <f t="shared" si="43"/>
        <v>10000000</v>
      </c>
    </row>
    <row r="90" spans="1:23" ht="15">
      <c r="A90" s="13" t="s">
        <v>96</v>
      </c>
      <c r="B90" s="14"/>
      <c r="C90" s="15">
        <f aca="true" t="shared" si="44" ref="C90:W90">C89*(Water_Sub_Value-0.6)</f>
        <v>0</v>
      </c>
      <c r="D90" s="15">
        <f t="shared" si="44"/>
        <v>0</v>
      </c>
      <c r="E90" s="15">
        <f t="shared" si="44"/>
        <v>0</v>
      </c>
      <c r="F90" s="15">
        <f t="shared" si="44"/>
        <v>0</v>
      </c>
      <c r="G90" s="15">
        <f t="shared" si="44"/>
        <v>8750000</v>
      </c>
      <c r="H90" s="15">
        <f t="shared" si="44"/>
        <v>10500000</v>
      </c>
      <c r="I90" s="15">
        <f t="shared" si="44"/>
        <v>12250000</v>
      </c>
      <c r="J90" s="15">
        <f t="shared" si="44"/>
        <v>14000000</v>
      </c>
      <c r="K90" s="15">
        <f t="shared" si="44"/>
        <v>15750000</v>
      </c>
      <c r="L90" s="15">
        <f t="shared" si="44"/>
        <v>17500000</v>
      </c>
      <c r="M90" s="15">
        <f t="shared" si="44"/>
        <v>17500000</v>
      </c>
      <c r="N90" s="15">
        <f t="shared" si="44"/>
        <v>17500000</v>
      </c>
      <c r="O90" s="15">
        <f t="shared" si="44"/>
        <v>17500000</v>
      </c>
      <c r="P90" s="15">
        <f t="shared" si="44"/>
        <v>17500000</v>
      </c>
      <c r="Q90" s="15">
        <f t="shared" si="44"/>
        <v>17500000</v>
      </c>
      <c r="R90" s="15">
        <f t="shared" si="44"/>
        <v>17500000</v>
      </c>
      <c r="S90" s="15">
        <f t="shared" si="44"/>
        <v>17500000</v>
      </c>
      <c r="T90" s="15">
        <f t="shared" si="44"/>
        <v>17500000</v>
      </c>
      <c r="U90" s="15">
        <f t="shared" si="44"/>
        <v>17500000</v>
      </c>
      <c r="V90" s="15">
        <f t="shared" si="44"/>
        <v>17500000</v>
      </c>
      <c r="W90" s="15">
        <f t="shared" si="44"/>
        <v>17500000</v>
      </c>
    </row>
    <row r="92" spans="1:23" ht="15">
      <c r="A92" t="s">
        <v>124</v>
      </c>
      <c r="G92" s="1">
        <f>IF(G84-G85-G89&lt;Agriculture!$B$26,G84-G85-G89,Agriculture!$B$26)</f>
        <v>6949767.25466593</v>
      </c>
      <c r="H92" s="1">
        <f>IF(H84-H85-H89&lt;Agriculture!$B$26,H84-H85-H89,Agriculture!$B$26)</f>
        <v>9813971.698059663</v>
      </c>
      <c r="I92" s="1">
        <f>IF(I84-I85-I89&lt;Agriculture!$B$26,I84-I85-I89,Agriculture!$B$26)</f>
        <v>12824067.38623593</v>
      </c>
      <c r="J92" s="1">
        <f>IF(J84-J85-J89&lt;Agriculture!$B$26,J84-J85-J89,Agriculture!$B$26)</f>
        <v>14925338.21953592</v>
      </c>
      <c r="K92" s="1">
        <f>IF(K84-K85-K89&lt;Agriculture!$B$26,K84-K85-K89,Agriculture!$B$26)</f>
        <v>17119637.43485342</v>
      </c>
      <c r="L92" s="1">
        <f>IF(L84-L85-L89&lt;Agriculture!$B$26,L84-L85-L89,Agriculture!$B$26)</f>
        <v>19795401.022450924</v>
      </c>
      <c r="M92" s="1">
        <f>IF(M84-M85-M89&lt;Agriculture!$B$26,M84-M85-M89,Agriculture!$B$26)</f>
        <v>23195818.802125923</v>
      </c>
      <c r="N92" s="1">
        <f>IF(N84-N85-N89&lt;Agriculture!$B$26,N84-N85-N89,Agriculture!$B$26)</f>
        <v>26698232.13727092</v>
      </c>
      <c r="O92" s="1">
        <f>IF(O84-O85-O89&lt;Agriculture!$B$26,O84-O85-O89,Agriculture!$B$26)</f>
        <v>28543000</v>
      </c>
      <c r="P92" s="1">
        <f>IF(P84-P85-P89&lt;Agriculture!$B$26,P84-P85-P89,Agriculture!$B$26)</f>
        <v>28543000</v>
      </c>
      <c r="Q92" s="1">
        <f>IF(Q84-Q85-Q89&lt;Agriculture!$B$26,Q84-Q85-Q89,Agriculture!$B$26)</f>
        <v>28543000</v>
      </c>
      <c r="R92" s="1">
        <f>IF(R84-R85-R89&lt;Agriculture!$B$26,R84-R85-R89,Agriculture!$B$26)</f>
        <v>28543000</v>
      </c>
      <c r="S92" s="1">
        <f>IF(S84-S85-S89&lt;Agriculture!$B$26,S84-S85-S89,Agriculture!$B$26)</f>
        <v>28543000</v>
      </c>
      <c r="T92" s="1">
        <f>IF(T84-T85-T89&lt;Agriculture!$B$26,T84-T85-T89,Agriculture!$B$26)</f>
        <v>28543000</v>
      </c>
      <c r="U92" s="1">
        <f>IF(U84-U85-U89&lt;Agriculture!$B$26,U84-U85-U89,Agriculture!$B$26)</f>
        <v>28543000</v>
      </c>
      <c r="V92" s="1">
        <f>IF(V84-V85-V89&lt;Agriculture!$B$26,V84-V85-V89,Agriculture!$B$26)</f>
        <v>28543000</v>
      </c>
      <c r="W92" s="1">
        <f>IF(W84-W85-W89&lt;Agriculture!$B$26,W84-W85-W89,Agriculture!$B$26)</f>
        <v>28543000</v>
      </c>
    </row>
    <row r="93" spans="1:23" ht="15">
      <c r="A93" s="13" t="s">
        <v>75</v>
      </c>
      <c r="B93" s="14"/>
      <c r="C93" s="15"/>
      <c r="D93" s="15"/>
      <c r="E93" s="15"/>
      <c r="F93" s="15"/>
      <c r="G93" s="15">
        <f>G92*Agriculture!$B33*0.75</f>
        <v>1730409.8262512693</v>
      </c>
      <c r="H93" s="15">
        <f>H92*Agriculture!$B33*0.75</f>
        <v>2443562.847298635</v>
      </c>
      <c r="I93" s="15">
        <f>I92*Agriculture!$B33*0.75</f>
        <v>3193041.062310768</v>
      </c>
      <c r="J93" s="15">
        <f>J92*Agriculture!$B33*0.75</f>
        <v>3716232.6404339513</v>
      </c>
      <c r="K93" s="15">
        <f>K92*Agriculture!$B33*0.75</f>
        <v>4262587.185094652</v>
      </c>
      <c r="L93" s="15">
        <f>L92*Agriculture!$B33*0.75</f>
        <v>4928820.662423763</v>
      </c>
      <c r="M93" s="15">
        <f>M92*Agriculture!$B33*0.75</f>
        <v>5775484.460460837</v>
      </c>
      <c r="N93" s="15">
        <f>N92*Agriculture!$B33*0.75</f>
        <v>6647543.945137739</v>
      </c>
      <c r="O93" s="15">
        <f>O92*Agriculture!$B33*0.75</f>
        <v>7106869.318181818</v>
      </c>
      <c r="P93" s="15">
        <f>P92*Agriculture!$B33*0.75</f>
        <v>7106869.318181818</v>
      </c>
      <c r="Q93" s="15">
        <f>Q92*Agriculture!$B33*0.75</f>
        <v>7106869.318181818</v>
      </c>
      <c r="R93" s="15">
        <f>R92*Agriculture!$B33*0.75</f>
        <v>7106869.318181818</v>
      </c>
      <c r="S93" s="15">
        <f>S92*Agriculture!$B33*0.75</f>
        <v>7106869.318181818</v>
      </c>
      <c r="T93" s="15">
        <f>T92*Agriculture!$B33*0.75</f>
        <v>7106869.318181818</v>
      </c>
      <c r="U93" s="15">
        <f>U92*Agriculture!$B33*0.75</f>
        <v>7106869.318181818</v>
      </c>
      <c r="V93" s="15">
        <f>V92*Agriculture!$B33*0.75</f>
        <v>7106869.318181818</v>
      </c>
      <c r="W93" s="15">
        <f>W92*Agriculture!$B33*0.75</f>
        <v>7106869.318181818</v>
      </c>
    </row>
    <row r="95" spans="1:23" ht="15">
      <c r="A95" s="13" t="s">
        <v>77</v>
      </c>
      <c r="B95" s="14"/>
      <c r="C95" s="15"/>
      <c r="D95" s="15"/>
      <c r="E95" s="15"/>
      <c r="F95" s="15"/>
      <c r="G95" s="15">
        <f aca="true" t="shared" si="45" ref="G95:W95">AgArea*Ag_VA_High</f>
        <v>36788500</v>
      </c>
      <c r="H95" s="15">
        <f t="shared" si="45"/>
        <v>36788500</v>
      </c>
      <c r="I95" s="15">
        <f t="shared" si="45"/>
        <v>36788500</v>
      </c>
      <c r="J95" s="15">
        <f t="shared" si="45"/>
        <v>36788500</v>
      </c>
      <c r="K95" s="15">
        <f t="shared" si="45"/>
        <v>36788500</v>
      </c>
      <c r="L95" s="15">
        <f t="shared" si="45"/>
        <v>36788500</v>
      </c>
      <c r="M95" s="15">
        <f t="shared" si="45"/>
        <v>36788500</v>
      </c>
      <c r="N95" s="15">
        <f t="shared" si="45"/>
        <v>36788500</v>
      </c>
      <c r="O95" s="15">
        <f t="shared" si="45"/>
        <v>36788500</v>
      </c>
      <c r="P95" s="15">
        <f t="shared" si="45"/>
        <v>36788500</v>
      </c>
      <c r="Q95" s="15">
        <f t="shared" si="45"/>
        <v>36788500</v>
      </c>
      <c r="R95" s="15">
        <f t="shared" si="45"/>
        <v>36788500</v>
      </c>
      <c r="S95" s="15">
        <f t="shared" si="45"/>
        <v>36788500</v>
      </c>
      <c r="T95" s="15">
        <f t="shared" si="45"/>
        <v>36788500</v>
      </c>
      <c r="U95" s="15">
        <f t="shared" si="45"/>
        <v>36788500</v>
      </c>
      <c r="V95" s="15">
        <f t="shared" si="45"/>
        <v>36788500</v>
      </c>
      <c r="W95" s="15">
        <f t="shared" si="45"/>
        <v>36788500</v>
      </c>
    </row>
    <row r="96" spans="1:23" ht="15">
      <c r="A96" s="2"/>
      <c r="B96" s="2"/>
      <c r="C96" s="2"/>
      <c r="D96" s="2"/>
      <c r="E96" s="2"/>
      <c r="F96" s="2"/>
      <c r="G96" s="2"/>
      <c r="H96" s="2"/>
      <c r="I96" s="2"/>
      <c r="J96" s="2"/>
      <c r="K96" s="2"/>
      <c r="L96" s="2"/>
      <c r="M96" s="2"/>
      <c r="N96" s="2"/>
      <c r="O96" s="2"/>
      <c r="P96" s="2"/>
      <c r="Q96" s="2"/>
      <c r="R96" s="2"/>
      <c r="S96" s="2"/>
      <c r="T96" s="2"/>
      <c r="U96" s="2"/>
      <c r="V96" s="2"/>
      <c r="W96" s="2"/>
    </row>
    <row r="97" spans="1:23" ht="15">
      <c r="A97" s="13" t="s">
        <v>154</v>
      </c>
      <c r="B97" s="14"/>
      <c r="C97" s="15">
        <f aca="true" t="shared" si="46" ref="C97:W97">C87+C90+C93+C95</f>
        <v>0</v>
      </c>
      <c r="D97" s="15">
        <f>D87+D90+D93+D95</f>
        <v>1630199.1064935038</v>
      </c>
      <c r="E97" s="15">
        <f t="shared" si="46"/>
        <v>3260398.2129870076</v>
      </c>
      <c r="F97" s="15">
        <f t="shared" si="46"/>
        <v>4890597.319480512</v>
      </c>
      <c r="G97" s="15">
        <f t="shared" si="46"/>
        <v>53789706.25222528</v>
      </c>
      <c r="H97" s="15">
        <f t="shared" si="46"/>
        <v>56252859.27327265</v>
      </c>
      <c r="I97" s="15">
        <f t="shared" si="46"/>
        <v>58752337.48828478</v>
      </c>
      <c r="J97" s="15">
        <f t="shared" si="46"/>
        <v>61025529.06640796</v>
      </c>
      <c r="K97" s="15">
        <f t="shared" si="46"/>
        <v>63321883.611068666</v>
      </c>
      <c r="L97" s="15">
        <f t="shared" si="46"/>
        <v>65738117.08839778</v>
      </c>
      <c r="M97" s="15">
        <f t="shared" si="46"/>
        <v>66584780.88643485</v>
      </c>
      <c r="N97" s="15">
        <f t="shared" si="46"/>
        <v>67456840.37111175</v>
      </c>
      <c r="O97" s="15">
        <f t="shared" si="46"/>
        <v>67916165.74415582</v>
      </c>
      <c r="P97" s="15">
        <f t="shared" si="46"/>
        <v>67916165.74415582</v>
      </c>
      <c r="Q97" s="15">
        <f t="shared" si="46"/>
        <v>67916165.74415582</v>
      </c>
      <c r="R97" s="15">
        <f t="shared" si="46"/>
        <v>67916165.74415582</v>
      </c>
      <c r="S97" s="15">
        <f t="shared" si="46"/>
        <v>67916165.74415582</v>
      </c>
      <c r="T97" s="15">
        <f t="shared" si="46"/>
        <v>67916165.74415582</v>
      </c>
      <c r="U97" s="15">
        <f t="shared" si="46"/>
        <v>67916165.74415582</v>
      </c>
      <c r="V97" s="15">
        <f t="shared" si="46"/>
        <v>67916165.74415582</v>
      </c>
      <c r="W97" s="15">
        <f t="shared" si="46"/>
        <v>67916165.74415582</v>
      </c>
    </row>
    <row r="98" spans="1:23" ht="15">
      <c r="A98" s="2"/>
      <c r="B98" s="2"/>
      <c r="C98" s="2"/>
      <c r="D98" s="2"/>
      <c r="E98" s="2"/>
      <c r="F98" s="2"/>
      <c r="G98" s="2"/>
      <c r="H98" s="2"/>
      <c r="I98" s="2"/>
      <c r="J98" s="2"/>
      <c r="K98" s="2"/>
      <c r="L98" s="2"/>
      <c r="M98" s="2"/>
      <c r="N98" s="2"/>
      <c r="O98" s="2"/>
      <c r="P98" s="2"/>
      <c r="Q98" s="2"/>
      <c r="R98" s="2"/>
      <c r="S98" s="2"/>
      <c r="T98" s="2"/>
      <c r="U98" s="2"/>
      <c r="V98" s="2"/>
      <c r="W98" s="2"/>
    </row>
    <row r="99" spans="1:23" ht="15">
      <c r="A99" s="13" t="s">
        <v>86</v>
      </c>
      <c r="B99" s="15"/>
      <c r="C99" s="15"/>
      <c r="D99" s="15"/>
      <c r="E99" s="15"/>
      <c r="F99" s="15"/>
      <c r="G99" s="15">
        <f aca="true" t="shared" si="47" ref="G99:W99">G82*OM_expansion</f>
        <v>8042199.260680001</v>
      </c>
      <c r="H99" s="15">
        <f t="shared" si="47"/>
        <v>8367605.95065</v>
      </c>
      <c r="I99" s="15">
        <f t="shared" si="47"/>
        <v>8705298.219128001</v>
      </c>
      <c r="J99" s="15">
        <f t="shared" si="47"/>
        <v>8966457.868248</v>
      </c>
      <c r="K99" s="15">
        <f t="shared" si="47"/>
        <v>9235451.48638</v>
      </c>
      <c r="L99" s="15">
        <f t="shared" si="47"/>
        <v>9544989.472704</v>
      </c>
      <c r="M99" s="15">
        <f t="shared" si="47"/>
        <v>9831340.443624001</v>
      </c>
      <c r="N99" s="15">
        <f t="shared" si="47"/>
        <v>10126280.513952</v>
      </c>
      <c r="O99" s="15">
        <f t="shared" si="47"/>
        <v>10430068.685352</v>
      </c>
      <c r="P99" s="15">
        <f t="shared" si="47"/>
        <v>10742971.321392002</v>
      </c>
      <c r="Q99" s="15">
        <f t="shared" si="47"/>
        <v>11140552.267628</v>
      </c>
      <c r="R99" s="15">
        <f t="shared" si="47"/>
        <v>11474768.793384</v>
      </c>
      <c r="S99" s="15">
        <f t="shared" si="47"/>
        <v>11819011.904472</v>
      </c>
      <c r="T99" s="15">
        <f t="shared" si="47"/>
        <v>12173582.187736</v>
      </c>
      <c r="U99" s="15">
        <f t="shared" si="47"/>
        <v>12538790.524187999</v>
      </c>
      <c r="V99" s="15">
        <f t="shared" si="47"/>
        <v>12958595.390988002</v>
      </c>
      <c r="W99" s="15">
        <f t="shared" si="47"/>
        <v>13483041.855500001</v>
      </c>
    </row>
    <row r="100" spans="1:23" ht="15">
      <c r="A100" s="2"/>
      <c r="B100" s="2"/>
      <c r="C100" s="2"/>
      <c r="D100" s="2"/>
      <c r="E100" s="2"/>
      <c r="F100" s="2"/>
      <c r="G100" s="2"/>
      <c r="H100" s="2"/>
      <c r="I100" s="2"/>
      <c r="J100" s="2"/>
      <c r="K100" s="2"/>
      <c r="L100" s="2"/>
      <c r="M100" s="2"/>
      <c r="N100" s="2"/>
      <c r="O100" s="2"/>
      <c r="P100" s="2"/>
      <c r="Q100" s="2"/>
      <c r="R100" s="2"/>
      <c r="S100" s="2"/>
      <c r="T100" s="2"/>
      <c r="U100" s="2"/>
      <c r="V100" s="2"/>
      <c r="W100" s="2"/>
    </row>
    <row r="101" spans="1:23" ht="15">
      <c r="A101" s="38" t="s">
        <v>219</v>
      </c>
      <c r="B101" s="150"/>
      <c r="C101" s="2"/>
      <c r="D101" s="1"/>
      <c r="E101" s="1"/>
      <c r="F101" s="1"/>
      <c r="G101" s="1"/>
      <c r="H101" s="1"/>
      <c r="I101" s="1"/>
      <c r="J101" s="1"/>
      <c r="K101" s="1"/>
      <c r="L101" s="1"/>
      <c r="M101" s="1"/>
      <c r="N101" s="1"/>
      <c r="O101" s="1"/>
      <c r="P101" s="1"/>
      <c r="Q101" s="1"/>
      <c r="R101" s="1"/>
      <c r="S101" s="1"/>
      <c r="T101" s="1"/>
      <c r="U101" s="1"/>
      <c r="V101" s="1"/>
      <c r="W101" s="1"/>
    </row>
    <row r="102" spans="1:23" ht="15">
      <c r="A102" s="2" t="s">
        <v>216</v>
      </c>
      <c r="B102" s="2"/>
      <c r="C102" s="2"/>
      <c r="D102" s="1">
        <f>D87-D65</f>
        <v>0</v>
      </c>
      <c r="E102" s="1">
        <f aca="true" t="shared" si="48" ref="E102:W102">E87-E65</f>
        <v>0</v>
      </c>
      <c r="F102" s="1">
        <f t="shared" si="48"/>
        <v>0</v>
      </c>
      <c r="G102" s="1">
        <f t="shared" si="48"/>
        <v>0</v>
      </c>
      <c r="H102" s="1">
        <f t="shared" si="48"/>
        <v>2217070.7848311644</v>
      </c>
      <c r="I102" s="1">
        <f t="shared" si="48"/>
        <v>3680337.502819734</v>
      </c>
      <c r="J102" s="1">
        <f t="shared" si="48"/>
        <v>4646093.536692189</v>
      </c>
      <c r="K102" s="1">
        <f t="shared" si="48"/>
        <v>5283492.51904801</v>
      </c>
      <c r="L102" s="1">
        <f t="shared" si="48"/>
        <v>6520796.425974015</v>
      </c>
      <c r="M102" s="1">
        <f t="shared" si="48"/>
        <v>6520796.425974015</v>
      </c>
      <c r="N102" s="1">
        <f t="shared" si="48"/>
        <v>6520796.425974015</v>
      </c>
      <c r="O102" s="1">
        <f t="shared" si="48"/>
        <v>6520796.425974015</v>
      </c>
      <c r="P102" s="1">
        <f t="shared" si="48"/>
        <v>6520796.425974015</v>
      </c>
      <c r="Q102" s="1">
        <f t="shared" si="48"/>
        <v>6520796.425974015</v>
      </c>
      <c r="R102" s="1">
        <f t="shared" si="48"/>
        <v>6520796.425974015</v>
      </c>
      <c r="S102" s="1">
        <f t="shared" si="48"/>
        <v>6520796.425974015</v>
      </c>
      <c r="T102" s="1">
        <f t="shared" si="48"/>
        <v>6520796.425974015</v>
      </c>
      <c r="U102" s="1">
        <f t="shared" si="48"/>
        <v>6520796.425974015</v>
      </c>
      <c r="V102" s="1">
        <f t="shared" si="48"/>
        <v>6520796.425974015</v>
      </c>
      <c r="W102" s="1">
        <f t="shared" si="48"/>
        <v>6520796.425974015</v>
      </c>
    </row>
    <row r="103" spans="1:23" ht="15">
      <c r="A103" s="2" t="s">
        <v>218</v>
      </c>
      <c r="B103" s="2"/>
      <c r="C103" s="2"/>
      <c r="D103" s="181">
        <f>D95-D73</f>
        <v>0</v>
      </c>
      <c r="E103" s="181">
        <f aca="true" t="shared" si="49" ref="E103:W103">E95-E73</f>
        <v>0</v>
      </c>
      <c r="F103" s="181">
        <f t="shared" si="49"/>
        <v>0</v>
      </c>
      <c r="G103" s="181">
        <f t="shared" si="49"/>
        <v>3103850</v>
      </c>
      <c r="H103" s="181">
        <f t="shared" si="49"/>
        <v>6207699.999999996</v>
      </c>
      <c r="I103" s="181">
        <f>I95-I73</f>
        <v>10242705</v>
      </c>
      <c r="J103" s="181">
        <f t="shared" si="49"/>
        <v>15519250</v>
      </c>
      <c r="K103" s="181">
        <f t="shared" si="49"/>
        <v>23278875</v>
      </c>
      <c r="L103" s="181">
        <f t="shared" si="49"/>
        <v>31038500</v>
      </c>
      <c r="M103" s="181">
        <f t="shared" si="49"/>
        <v>31038500</v>
      </c>
      <c r="N103" s="181">
        <f t="shared" si="49"/>
        <v>31038500</v>
      </c>
      <c r="O103" s="181">
        <f t="shared" si="49"/>
        <v>31038500</v>
      </c>
      <c r="P103" s="181">
        <f t="shared" si="49"/>
        <v>31038500</v>
      </c>
      <c r="Q103" s="181">
        <f t="shared" si="49"/>
        <v>31038500</v>
      </c>
      <c r="R103" s="181">
        <f t="shared" si="49"/>
        <v>31038500</v>
      </c>
      <c r="S103" s="181">
        <f t="shared" si="49"/>
        <v>31038500</v>
      </c>
      <c r="T103" s="181">
        <f t="shared" si="49"/>
        <v>31038500</v>
      </c>
      <c r="U103" s="181">
        <f t="shared" si="49"/>
        <v>31038500</v>
      </c>
      <c r="V103" s="181">
        <f t="shared" si="49"/>
        <v>31038500</v>
      </c>
      <c r="W103" s="181">
        <f t="shared" si="49"/>
        <v>31038500</v>
      </c>
    </row>
    <row r="104" spans="1:23" ht="15">
      <c r="A104" s="2" t="s">
        <v>217</v>
      </c>
      <c r="B104" s="2"/>
      <c r="C104" s="2"/>
      <c r="D104" s="25">
        <f>D93-D69</f>
        <v>0</v>
      </c>
      <c r="E104" s="25">
        <f aca="true" t="shared" si="50" ref="E104:W104">E93-E69</f>
        <v>0</v>
      </c>
      <c r="F104" s="25">
        <f>F93-F69</f>
        <v>0</v>
      </c>
      <c r="G104" s="25">
        <f>G93-G69</f>
        <v>1111880.713378578</v>
      </c>
      <c r="H104" s="25">
        <f t="shared" si="50"/>
        <v>1052053.4059028653</v>
      </c>
      <c r="I104" s="25">
        <f t="shared" si="50"/>
        <v>1404258.0405245977</v>
      </c>
      <c r="J104" s="25">
        <f t="shared" si="50"/>
        <v>1888875.284612564</v>
      </c>
      <c r="K104" s="25">
        <f t="shared" si="50"/>
        <v>2879783.583684164</v>
      </c>
      <c r="L104" s="25">
        <f t="shared" si="50"/>
        <v>4218172.5369289005</v>
      </c>
      <c r="M104" s="25">
        <f t="shared" si="50"/>
        <v>4993323.783318247</v>
      </c>
      <c r="N104" s="25">
        <f t="shared" si="50"/>
        <v>5791725.723438331</v>
      </c>
      <c r="O104" s="25">
        <f t="shared" si="50"/>
        <v>6175183.809266501</v>
      </c>
      <c r="P104" s="25">
        <f t="shared" si="50"/>
        <v>6097039.549152864</v>
      </c>
      <c r="Q104" s="25">
        <f t="shared" si="50"/>
        <v>6016551.265834684</v>
      </c>
      <c r="R104" s="25">
        <f t="shared" si="50"/>
        <v>5933648.233255137</v>
      </c>
      <c r="S104" s="25">
        <f t="shared" si="50"/>
        <v>5848258.620061956</v>
      </c>
      <c r="T104" s="25">
        <f t="shared" si="50"/>
        <v>5760307.009118774</v>
      </c>
      <c r="U104" s="25">
        <f t="shared" si="50"/>
        <v>5669716.877993774</v>
      </c>
      <c r="V104" s="25">
        <f t="shared" si="50"/>
        <v>5576409.31373241</v>
      </c>
      <c r="W104" s="25">
        <f t="shared" si="50"/>
        <v>5448574.171804853</v>
      </c>
    </row>
    <row r="105" spans="1:23" ht="15">
      <c r="A105" s="38" t="s">
        <v>220</v>
      </c>
      <c r="B105" s="2"/>
      <c r="C105" s="2"/>
      <c r="D105" s="1">
        <f>SUM(D102:D104)</f>
        <v>0</v>
      </c>
      <c r="E105" s="1">
        <f aca="true" t="shared" si="51" ref="E105:W105">SUM(E102:E104)</f>
        <v>0</v>
      </c>
      <c r="F105" s="1">
        <f t="shared" si="51"/>
        <v>0</v>
      </c>
      <c r="G105" s="1">
        <f t="shared" si="51"/>
        <v>4215730.713378578</v>
      </c>
      <c r="H105" s="1">
        <f t="shared" si="51"/>
        <v>9476824.190734025</v>
      </c>
      <c r="I105" s="1">
        <f t="shared" si="51"/>
        <v>15327300.543344332</v>
      </c>
      <c r="J105" s="1">
        <f t="shared" si="51"/>
        <v>22054218.82130475</v>
      </c>
      <c r="K105" s="1">
        <f t="shared" si="51"/>
        <v>31442151.102732174</v>
      </c>
      <c r="L105" s="1">
        <f t="shared" si="51"/>
        <v>41777468.96290291</v>
      </c>
      <c r="M105" s="1">
        <f t="shared" si="51"/>
        <v>42552620.209292255</v>
      </c>
      <c r="N105" s="1">
        <f t="shared" si="51"/>
        <v>43351022.14941234</v>
      </c>
      <c r="O105" s="1">
        <f t="shared" si="51"/>
        <v>43734480.23524051</v>
      </c>
      <c r="P105" s="1">
        <f t="shared" si="51"/>
        <v>43656335.97512688</v>
      </c>
      <c r="Q105" s="1">
        <f t="shared" si="51"/>
        <v>43575847.69180869</v>
      </c>
      <c r="R105" s="1">
        <f t="shared" si="51"/>
        <v>43492944.659229144</v>
      </c>
      <c r="S105" s="1">
        <f t="shared" si="51"/>
        <v>43407555.04603597</v>
      </c>
      <c r="T105" s="1">
        <f t="shared" si="51"/>
        <v>43319603.435092784</v>
      </c>
      <c r="U105" s="1">
        <f t="shared" si="51"/>
        <v>43229013.30396779</v>
      </c>
      <c r="V105" s="1">
        <f t="shared" si="51"/>
        <v>43135705.73970642</v>
      </c>
      <c r="W105" s="1">
        <f t="shared" si="51"/>
        <v>43007870.597778864</v>
      </c>
    </row>
    <row r="106" spans="1:23" ht="15">
      <c r="A106" s="2" t="s">
        <v>346</v>
      </c>
      <c r="B106" s="2"/>
      <c r="C106" s="2"/>
      <c r="D106" s="2"/>
      <c r="E106" s="2"/>
      <c r="F106" s="2"/>
      <c r="G106" s="2">
        <f>G103/G105</f>
        <v>0.7362543319358524</v>
      </c>
      <c r="H106" s="2">
        <f aca="true" t="shared" si="52" ref="H106:W106">H103/H105</f>
        <v>0.6550401141839881</v>
      </c>
      <c r="I106" s="2">
        <f t="shared" si="52"/>
        <v>0.6682654242366085</v>
      </c>
      <c r="J106" s="2">
        <f t="shared" si="52"/>
        <v>0.7036862255582655</v>
      </c>
      <c r="K106" s="2">
        <f t="shared" si="52"/>
        <v>0.7403715771207898</v>
      </c>
      <c r="L106" s="2">
        <f t="shared" si="52"/>
        <v>0.7429483109079973</v>
      </c>
      <c r="M106" s="2">
        <f t="shared" si="52"/>
        <v>0.729414542449776</v>
      </c>
      <c r="N106" s="2">
        <f t="shared" si="52"/>
        <v>0.7159808110873056</v>
      </c>
      <c r="O106" s="2">
        <f t="shared" si="52"/>
        <v>0.7097031868916484</v>
      </c>
      <c r="P106" s="2">
        <f t="shared" si="52"/>
        <v>0.7109735461465234</v>
      </c>
      <c r="Q106" s="2">
        <f t="shared" si="52"/>
        <v>0.712286774534384</v>
      </c>
      <c r="R106" s="2">
        <f t="shared" si="52"/>
        <v>0.7136444828739291</v>
      </c>
      <c r="S106" s="2">
        <f t="shared" si="52"/>
        <v>0.7150483358733764</v>
      </c>
      <c r="T106" s="2">
        <f t="shared" si="52"/>
        <v>0.7165000955400256</v>
      </c>
      <c r="U106" s="2">
        <f t="shared" si="52"/>
        <v>0.718001583375282</v>
      </c>
      <c r="V106" s="2">
        <f t="shared" si="52"/>
        <v>0.7195547045710917</v>
      </c>
      <c r="W106" s="2">
        <f t="shared" si="52"/>
        <v>0.7216934846712215</v>
      </c>
    </row>
    <row r="107" spans="1:23" ht="15">
      <c r="A107" s="190" t="s">
        <v>155</v>
      </c>
      <c r="B107" s="191"/>
      <c r="C107" s="181">
        <f>C97-C75</f>
        <v>0</v>
      </c>
      <c r="D107" s="181">
        <f>D105+D90</f>
        <v>0</v>
      </c>
      <c r="E107" s="181">
        <f aca="true" t="shared" si="53" ref="E107:W107">E105+E90</f>
        <v>0</v>
      </c>
      <c r="F107" s="181">
        <f t="shared" si="53"/>
        <v>0</v>
      </c>
      <c r="G107" s="181">
        <f t="shared" si="53"/>
        <v>12965730.713378578</v>
      </c>
      <c r="H107" s="181">
        <f>H105+H90</f>
        <v>19976824.190734025</v>
      </c>
      <c r="I107" s="181">
        <f t="shared" si="53"/>
        <v>27577300.543344334</v>
      </c>
      <c r="J107" s="181">
        <f>J105+J90</f>
        <v>36054218.82130475</v>
      </c>
      <c r="K107" s="181">
        <f t="shared" si="53"/>
        <v>47192151.102732174</v>
      </c>
      <c r="L107" s="181">
        <f t="shared" si="53"/>
        <v>59277468.96290291</v>
      </c>
      <c r="M107" s="181">
        <f t="shared" si="53"/>
        <v>60052620.209292255</v>
      </c>
      <c r="N107" s="181">
        <f t="shared" si="53"/>
        <v>60851022.14941234</v>
      </c>
      <c r="O107" s="181">
        <f t="shared" si="53"/>
        <v>61234480.23524051</v>
      </c>
      <c r="P107" s="181">
        <f t="shared" si="53"/>
        <v>61156335.97512688</v>
      </c>
      <c r="Q107" s="181">
        <f t="shared" si="53"/>
        <v>61075847.69180869</v>
      </c>
      <c r="R107" s="181">
        <f t="shared" si="53"/>
        <v>60992944.659229144</v>
      </c>
      <c r="S107" s="181">
        <f t="shared" si="53"/>
        <v>60907555.04603597</v>
      </c>
      <c r="T107" s="181">
        <f t="shared" si="53"/>
        <v>60819603.435092784</v>
      </c>
      <c r="U107" s="181">
        <f t="shared" si="53"/>
        <v>60729013.30396779</v>
      </c>
      <c r="V107" s="181">
        <f t="shared" si="53"/>
        <v>60635705.73970642</v>
      </c>
      <c r="W107" s="181">
        <f t="shared" si="53"/>
        <v>60507870.597778864</v>
      </c>
    </row>
    <row r="108" spans="1:23" ht="15">
      <c r="A108" s="2"/>
      <c r="B108" s="2"/>
      <c r="C108" s="1">
        <f>NPV(0.1,D107:W107)</f>
        <v>269993385.68906075</v>
      </c>
      <c r="D108" s="2"/>
      <c r="E108" s="2"/>
      <c r="F108" s="2"/>
      <c r="G108" s="2"/>
      <c r="H108" s="1"/>
      <c r="I108" s="1"/>
      <c r="J108" s="1"/>
      <c r="K108" s="1"/>
      <c r="L108" s="2"/>
      <c r="M108" s="2"/>
      <c r="N108" s="2"/>
      <c r="O108" s="2"/>
      <c r="P108" s="2"/>
      <c r="Q108" s="2"/>
      <c r="R108" s="2"/>
      <c r="S108" s="2"/>
      <c r="T108" s="2"/>
      <c r="U108" s="2"/>
      <c r="V108" s="2"/>
      <c r="W108" s="2"/>
    </row>
    <row r="109" spans="1:27" ht="15">
      <c r="A109" s="7" t="s">
        <v>156</v>
      </c>
      <c r="B109" s="6" t="s">
        <v>338</v>
      </c>
      <c r="C109" s="2"/>
      <c r="D109" s="189">
        <v>0.22</v>
      </c>
      <c r="E109" s="189">
        <v>0.22</v>
      </c>
      <c r="F109" s="189">
        <v>0.47</v>
      </c>
      <c r="G109" s="189">
        <v>0.09</v>
      </c>
      <c r="H109" s="189">
        <v>0</v>
      </c>
      <c r="I109" s="2"/>
      <c r="J109" s="2"/>
      <c r="K109" s="2"/>
      <c r="L109" s="2"/>
      <c r="M109" s="2"/>
      <c r="N109" s="2"/>
      <c r="O109" s="2"/>
      <c r="P109" s="2"/>
      <c r="Q109" s="2"/>
      <c r="R109" s="2"/>
      <c r="S109" s="2"/>
      <c r="T109" s="2"/>
      <c r="U109" s="2"/>
      <c r="V109" s="2"/>
      <c r="W109" s="2"/>
      <c r="AA109" s="1"/>
    </row>
    <row r="110" spans="1:27" ht="15">
      <c r="A110" s="7" t="s">
        <v>318</v>
      </c>
      <c r="C110" s="2"/>
      <c r="D110" s="2"/>
      <c r="E110" s="2"/>
      <c r="F110" s="2"/>
      <c r="G110" s="2"/>
      <c r="H110" s="2"/>
      <c r="I110" s="2"/>
      <c r="J110" s="2"/>
      <c r="K110" s="2"/>
      <c r="L110" s="2"/>
      <c r="M110" s="2"/>
      <c r="N110" s="2"/>
      <c r="O110" s="2"/>
      <c r="P110" s="2"/>
      <c r="Q110" s="2"/>
      <c r="R110" s="2"/>
      <c r="S110" s="2"/>
      <c r="T110" s="2"/>
      <c r="U110" s="2"/>
      <c r="V110" s="2"/>
      <c r="W110" s="2"/>
      <c r="AA110" s="1"/>
    </row>
    <row r="111" spans="1:28" ht="15">
      <c r="A111" s="13" t="s">
        <v>319</v>
      </c>
      <c r="B111" s="13"/>
      <c r="C111" s="15">
        <v>0</v>
      </c>
      <c r="D111" s="15">
        <f>D109*investcost</f>
        <v>30422857.142857153</v>
      </c>
      <c r="E111" s="15">
        <f>E109*investcost</f>
        <v>30422857.142857153</v>
      </c>
      <c r="F111" s="15">
        <f>F109*investcost</f>
        <v>64994285.71428573</v>
      </c>
      <c r="G111" s="15">
        <f>G109*investcost</f>
        <v>12445714.28571429</v>
      </c>
      <c r="H111" s="15">
        <f>H109*investcost</f>
        <v>0</v>
      </c>
      <c r="I111" s="13"/>
      <c r="J111" s="13"/>
      <c r="K111" s="13"/>
      <c r="L111" s="13"/>
      <c r="M111" s="13"/>
      <c r="N111" s="15"/>
      <c r="O111" s="13"/>
      <c r="P111" s="13"/>
      <c r="Q111" s="13"/>
      <c r="R111" s="15">
        <f>Future_Facility_Invest</f>
        <v>235714285.71428573</v>
      </c>
      <c r="S111" s="13"/>
      <c r="T111" s="13"/>
      <c r="U111" s="13"/>
      <c r="V111" s="13"/>
      <c r="W111" s="13"/>
      <c r="AB111" s="1"/>
    </row>
    <row r="112" spans="1:28" ht="15">
      <c r="A112" s="13" t="s">
        <v>317</v>
      </c>
      <c r="B112" s="13"/>
      <c r="C112" s="29"/>
      <c r="D112" s="29">
        <f>$B149/exrate*D109</f>
        <v>942857.142857143</v>
      </c>
      <c r="E112" s="29">
        <f>$B149/exrate*E109</f>
        <v>942857.142857143</v>
      </c>
      <c r="F112" s="29">
        <f>$B149/exrate*F109</f>
        <v>2014285.7142857146</v>
      </c>
      <c r="G112" s="29">
        <f>$B149/exrate*G109</f>
        <v>385714.28571428574</v>
      </c>
      <c r="H112" s="29">
        <f>$B149/exrate*H109</f>
        <v>0</v>
      </c>
      <c r="I112" s="28"/>
      <c r="J112" s="28"/>
      <c r="K112" s="28"/>
      <c r="L112" s="28"/>
      <c r="M112" s="28"/>
      <c r="N112" s="29"/>
      <c r="O112" s="28"/>
      <c r="P112" s="28"/>
      <c r="Q112" s="28"/>
      <c r="R112" s="29">
        <v>10000000</v>
      </c>
      <c r="S112" s="28"/>
      <c r="T112" s="28"/>
      <c r="U112" s="28"/>
      <c r="V112" s="28"/>
      <c r="W112" s="28"/>
      <c r="AB112" s="1"/>
    </row>
    <row r="113" spans="1:28" ht="15">
      <c r="A113" s="13" t="s">
        <v>173</v>
      </c>
      <c r="B113" s="13"/>
      <c r="C113" s="15">
        <f aca="true" t="shared" si="54" ref="C113:H113">(C111+C112)*(1+capital_costs_Samra_var)</f>
        <v>0</v>
      </c>
      <c r="D113" s="15">
        <f t="shared" si="54"/>
        <v>31365714.285714295</v>
      </c>
      <c r="E113" s="15">
        <f t="shared" si="54"/>
        <v>31365714.285714295</v>
      </c>
      <c r="F113" s="15">
        <f t="shared" si="54"/>
        <v>67008571.42857145</v>
      </c>
      <c r="G113" s="15">
        <f t="shared" si="54"/>
        <v>12831428.571428575</v>
      </c>
      <c r="H113" s="15">
        <f t="shared" si="54"/>
        <v>0</v>
      </c>
      <c r="I113" s="15">
        <f>(I111+I112)</f>
        <v>0</v>
      </c>
      <c r="J113" s="15">
        <f aca="true" t="shared" si="55" ref="J113:W113">(J111+J112)</f>
        <v>0</v>
      </c>
      <c r="K113" s="15">
        <f t="shared" si="55"/>
        <v>0</v>
      </c>
      <c r="L113" s="15">
        <f t="shared" si="55"/>
        <v>0</v>
      </c>
      <c r="M113" s="15">
        <f t="shared" si="55"/>
        <v>0</v>
      </c>
      <c r="N113" s="15">
        <f t="shared" si="55"/>
        <v>0</v>
      </c>
      <c r="O113" s="15">
        <f t="shared" si="55"/>
        <v>0</v>
      </c>
      <c r="P113" s="15">
        <f t="shared" si="55"/>
        <v>0</v>
      </c>
      <c r="Q113" s="15">
        <f t="shared" si="55"/>
        <v>0</v>
      </c>
      <c r="R113" s="15">
        <f t="shared" si="55"/>
        <v>245714285.71428573</v>
      </c>
      <c r="S113" s="15">
        <f t="shared" si="55"/>
        <v>0</v>
      </c>
      <c r="T113" s="15">
        <f t="shared" si="55"/>
        <v>0</v>
      </c>
      <c r="U113" s="15">
        <f t="shared" si="55"/>
        <v>0</v>
      </c>
      <c r="V113" s="15">
        <f t="shared" si="55"/>
        <v>0</v>
      </c>
      <c r="W113" s="15">
        <f t="shared" si="55"/>
        <v>0</v>
      </c>
      <c r="AB113" s="1"/>
    </row>
    <row r="114" spans="1:28" ht="15">
      <c r="A114" s="27" t="s">
        <v>147</v>
      </c>
      <c r="B114" s="13"/>
      <c r="C114" s="15"/>
      <c r="D114" s="15"/>
      <c r="E114" s="15"/>
      <c r="F114" s="15"/>
      <c r="G114" s="13"/>
      <c r="H114" s="13"/>
      <c r="I114" s="13"/>
      <c r="J114" s="13"/>
      <c r="K114" s="13"/>
      <c r="L114" s="13"/>
      <c r="M114" s="13"/>
      <c r="N114" s="15"/>
      <c r="O114" s="13"/>
      <c r="P114" s="13"/>
      <c r="Q114" s="13"/>
      <c r="R114" s="13"/>
      <c r="S114" s="13"/>
      <c r="T114" s="13"/>
      <c r="U114" s="13"/>
      <c r="V114" s="13"/>
      <c r="W114" s="13"/>
      <c r="AB114" s="1"/>
    </row>
    <row r="115" spans="1:28" ht="15">
      <c r="A115" s="13" t="s">
        <v>171</v>
      </c>
      <c r="B115" s="13"/>
      <c r="C115" s="15"/>
      <c r="D115" s="15"/>
      <c r="E115" s="15">
        <v>0</v>
      </c>
      <c r="F115" s="15">
        <v>0</v>
      </c>
      <c r="G115" s="15">
        <f aca="true" t="shared" si="56" ref="G115:W115">G99-G77</f>
        <v>-1133561.4908000007</v>
      </c>
      <c r="H115" s="15">
        <f t="shared" si="56"/>
        <v>-990352.8553099995</v>
      </c>
      <c r="I115" s="15">
        <f t="shared" si="56"/>
        <v>-840324.1980319992</v>
      </c>
      <c r="J115" s="15">
        <f t="shared" si="56"/>
        <v>-772457.2485119998</v>
      </c>
      <c r="K115" s="15">
        <f t="shared" si="56"/>
        <v>-702556.0106200017</v>
      </c>
      <c r="L115" s="15">
        <f t="shared" si="56"/>
        <v>-598083.9419759996</v>
      </c>
      <c r="M115" s="15">
        <f t="shared" si="56"/>
        <v>-522949.8132560011</v>
      </c>
      <c r="N115" s="15">
        <f t="shared" si="56"/>
        <v>-445561.95728799887</v>
      </c>
      <c r="O115" s="15">
        <f t="shared" si="56"/>
        <v>-365852.61488800123</v>
      </c>
      <c r="P115" s="15">
        <f t="shared" si="56"/>
        <v>-283753.9912480023</v>
      </c>
      <c r="Q115" s="15">
        <f t="shared" si="56"/>
        <v>-123900.27813199908</v>
      </c>
      <c r="R115" s="15">
        <f t="shared" si="56"/>
        <v>-34543.10009600036</v>
      </c>
      <c r="S115" s="15">
        <f t="shared" si="56"/>
        <v>57496.3902320005</v>
      </c>
      <c r="T115" s="15">
        <f t="shared" si="56"/>
        <v>152296.03041600063</v>
      </c>
      <c r="U115" s="15">
        <f t="shared" si="56"/>
        <v>249940.68762799725</v>
      </c>
      <c r="V115" s="15">
        <f t="shared" si="56"/>
        <v>394155.7646280024</v>
      </c>
      <c r="W115" s="15">
        <f t="shared" si="56"/>
        <v>541033.0559250005</v>
      </c>
      <c r="Z115" s="17"/>
      <c r="AA115" s="1"/>
      <c r="AB115" s="1"/>
    </row>
    <row r="116" spans="1:28" ht="15">
      <c r="A116" s="13" t="s">
        <v>172</v>
      </c>
      <c r="B116" s="13"/>
      <c r="C116" s="28"/>
      <c r="D116" s="28"/>
      <c r="E116" s="29"/>
      <c r="F116" s="29"/>
      <c r="G116" s="29">
        <f aca="true" t="shared" si="57" ref="G116:W116">Sludge_removal</f>
        <v>7857142.857142857</v>
      </c>
      <c r="H116" s="29">
        <f t="shared" si="57"/>
        <v>7857142.857142857</v>
      </c>
      <c r="I116" s="29">
        <f t="shared" si="57"/>
        <v>7857142.857142857</v>
      </c>
      <c r="J116" s="29">
        <f t="shared" si="57"/>
        <v>7857142.857142857</v>
      </c>
      <c r="K116" s="29">
        <f t="shared" si="57"/>
        <v>7857142.857142857</v>
      </c>
      <c r="L116" s="29">
        <f t="shared" si="57"/>
        <v>7857142.857142857</v>
      </c>
      <c r="M116" s="29">
        <f t="shared" si="57"/>
        <v>7857142.857142857</v>
      </c>
      <c r="N116" s="29">
        <f t="shared" si="57"/>
        <v>7857142.857142857</v>
      </c>
      <c r="O116" s="29">
        <f t="shared" si="57"/>
        <v>7857142.857142857</v>
      </c>
      <c r="P116" s="29">
        <f t="shared" si="57"/>
        <v>7857142.857142857</v>
      </c>
      <c r="Q116" s="29">
        <f t="shared" si="57"/>
        <v>7857142.857142857</v>
      </c>
      <c r="R116" s="29">
        <f t="shared" si="57"/>
        <v>7857142.857142857</v>
      </c>
      <c r="S116" s="29">
        <f t="shared" si="57"/>
        <v>7857142.857142857</v>
      </c>
      <c r="T116" s="29">
        <f t="shared" si="57"/>
        <v>7857142.857142857</v>
      </c>
      <c r="U116" s="29">
        <f t="shared" si="57"/>
        <v>7857142.857142857</v>
      </c>
      <c r="V116" s="29">
        <f t="shared" si="57"/>
        <v>7857142.857142857</v>
      </c>
      <c r="W116" s="29">
        <f t="shared" si="57"/>
        <v>7857142.857142857</v>
      </c>
      <c r="Z116" s="17"/>
      <c r="AA116" s="1"/>
      <c r="AB116" s="1"/>
    </row>
    <row r="117" spans="1:28" ht="15">
      <c r="A117" s="13" t="s">
        <v>170</v>
      </c>
      <c r="B117" s="13"/>
      <c r="C117" s="30">
        <f>C115+C116</f>
        <v>0</v>
      </c>
      <c r="D117" s="30">
        <f aca="true" t="shared" si="58" ref="D117:W117">D115+D116</f>
        <v>0</v>
      </c>
      <c r="E117" s="30">
        <f t="shared" si="58"/>
        <v>0</v>
      </c>
      <c r="F117" s="30">
        <f t="shared" si="58"/>
        <v>0</v>
      </c>
      <c r="G117" s="30">
        <f t="shared" si="58"/>
        <v>6723581.366342857</v>
      </c>
      <c r="H117" s="30">
        <f t="shared" si="58"/>
        <v>6866790.001832858</v>
      </c>
      <c r="I117" s="30">
        <f t="shared" si="58"/>
        <v>7016818.659110858</v>
      </c>
      <c r="J117" s="30">
        <f t="shared" si="58"/>
        <v>7084685.608630857</v>
      </c>
      <c r="K117" s="30">
        <f t="shared" si="58"/>
        <v>7154586.846522856</v>
      </c>
      <c r="L117" s="30">
        <f t="shared" si="58"/>
        <v>7259058.915166858</v>
      </c>
      <c r="M117" s="30">
        <f t="shared" si="58"/>
        <v>7334193.043886856</v>
      </c>
      <c r="N117" s="30">
        <f t="shared" si="58"/>
        <v>7411580.899854858</v>
      </c>
      <c r="O117" s="30">
        <f t="shared" si="58"/>
        <v>7491290.242254856</v>
      </c>
      <c r="P117" s="30">
        <f t="shared" si="58"/>
        <v>7573388.865894855</v>
      </c>
      <c r="Q117" s="30">
        <f t="shared" si="58"/>
        <v>7733242.579010858</v>
      </c>
      <c r="R117" s="30">
        <f t="shared" si="58"/>
        <v>7822599.757046857</v>
      </c>
      <c r="S117" s="30">
        <f t="shared" si="58"/>
        <v>7914639.247374858</v>
      </c>
      <c r="T117" s="30">
        <f t="shared" si="58"/>
        <v>8009438.887558858</v>
      </c>
      <c r="U117" s="30">
        <f t="shared" si="58"/>
        <v>8107083.5447708545</v>
      </c>
      <c r="V117" s="30">
        <f t="shared" si="58"/>
        <v>8251298.62177086</v>
      </c>
      <c r="W117" s="30">
        <f t="shared" si="58"/>
        <v>8398175.913067859</v>
      </c>
      <c r="Z117" s="17"/>
      <c r="AA117" s="1"/>
      <c r="AB117" s="1"/>
    </row>
    <row r="118" spans="1:23" ht="15">
      <c r="A118" s="18" t="s">
        <v>158</v>
      </c>
      <c r="B118" s="10"/>
      <c r="C118" s="11">
        <f>C113+C117</f>
        <v>0</v>
      </c>
      <c r="D118" s="11">
        <f aca="true" t="shared" si="59" ref="D118:W118">D113+D117</f>
        <v>31365714.285714295</v>
      </c>
      <c r="E118" s="11">
        <f t="shared" si="59"/>
        <v>31365714.285714295</v>
      </c>
      <c r="F118" s="11">
        <f t="shared" si="59"/>
        <v>67008571.42857145</v>
      </c>
      <c r="G118" s="11">
        <f t="shared" si="59"/>
        <v>19555009.937771432</v>
      </c>
      <c r="H118" s="11">
        <f t="shared" si="59"/>
        <v>6866790.001832858</v>
      </c>
      <c r="I118" s="11">
        <f t="shared" si="59"/>
        <v>7016818.659110858</v>
      </c>
      <c r="J118" s="11">
        <f t="shared" si="59"/>
        <v>7084685.608630857</v>
      </c>
      <c r="K118" s="11">
        <f t="shared" si="59"/>
        <v>7154586.846522856</v>
      </c>
      <c r="L118" s="11">
        <f t="shared" si="59"/>
        <v>7259058.915166858</v>
      </c>
      <c r="M118" s="11">
        <f t="shared" si="59"/>
        <v>7334193.043886856</v>
      </c>
      <c r="N118" s="11">
        <f t="shared" si="59"/>
        <v>7411580.899854858</v>
      </c>
      <c r="O118" s="11">
        <f t="shared" si="59"/>
        <v>7491290.242254856</v>
      </c>
      <c r="P118" s="11">
        <f t="shared" si="59"/>
        <v>7573388.865894855</v>
      </c>
      <c r="Q118" s="11">
        <f t="shared" si="59"/>
        <v>7733242.579010858</v>
      </c>
      <c r="R118" s="11">
        <f t="shared" si="59"/>
        <v>253536885.47133258</v>
      </c>
      <c r="S118" s="11">
        <f t="shared" si="59"/>
        <v>7914639.247374858</v>
      </c>
      <c r="T118" s="11">
        <f t="shared" si="59"/>
        <v>8009438.887558858</v>
      </c>
      <c r="U118" s="11">
        <f t="shared" si="59"/>
        <v>8107083.5447708545</v>
      </c>
      <c r="V118" s="11">
        <f t="shared" si="59"/>
        <v>8251298.62177086</v>
      </c>
      <c r="W118" s="11">
        <f t="shared" si="59"/>
        <v>8398175.913067859</v>
      </c>
    </row>
    <row r="120" spans="1:23" ht="15">
      <c r="A120" s="18" t="s">
        <v>159</v>
      </c>
      <c r="B120" s="10"/>
      <c r="C120" s="10"/>
      <c r="D120" s="11">
        <f aca="true" t="shared" si="60" ref="D120:W120">D107-D118</f>
        <v>-31365714.285714295</v>
      </c>
      <c r="E120" s="11">
        <f t="shared" si="60"/>
        <v>-31365714.285714295</v>
      </c>
      <c r="F120" s="11">
        <f t="shared" si="60"/>
        <v>-67008571.42857145</v>
      </c>
      <c r="G120" s="11">
        <f t="shared" si="60"/>
        <v>-6589279.224392854</v>
      </c>
      <c r="H120" s="11">
        <f t="shared" si="60"/>
        <v>13110034.188901167</v>
      </c>
      <c r="I120" s="11">
        <f t="shared" si="60"/>
        <v>20560481.884233475</v>
      </c>
      <c r="J120" s="11">
        <f t="shared" si="60"/>
        <v>28969533.212673895</v>
      </c>
      <c r="K120" s="11">
        <f t="shared" si="60"/>
        <v>40037564.25620932</v>
      </c>
      <c r="L120" s="11">
        <f t="shared" si="60"/>
        <v>52018410.047736056</v>
      </c>
      <c r="M120" s="11">
        <f t="shared" si="60"/>
        <v>52718427.1654054</v>
      </c>
      <c r="N120" s="11">
        <f t="shared" si="60"/>
        <v>53439441.24955748</v>
      </c>
      <c r="O120" s="11">
        <f t="shared" si="60"/>
        <v>53743189.99298566</v>
      </c>
      <c r="P120" s="11">
        <f t="shared" si="60"/>
        <v>53582947.10923202</v>
      </c>
      <c r="Q120" s="11">
        <f t="shared" si="60"/>
        <v>53342605.112797834</v>
      </c>
      <c r="R120" s="11">
        <f t="shared" si="60"/>
        <v>-192543940.81210345</v>
      </c>
      <c r="S120" s="11">
        <f t="shared" si="60"/>
        <v>52992915.79866111</v>
      </c>
      <c r="T120" s="11">
        <f t="shared" si="60"/>
        <v>52810164.54753393</v>
      </c>
      <c r="U120" s="11">
        <f t="shared" si="60"/>
        <v>52621929.75919694</v>
      </c>
      <c r="V120" s="11">
        <f t="shared" si="60"/>
        <v>52384407.11793556</v>
      </c>
      <c r="W120" s="11">
        <f t="shared" si="60"/>
        <v>52109694.68471101</v>
      </c>
    </row>
    <row r="121" spans="1:3" ht="15">
      <c r="A121" t="s">
        <v>327</v>
      </c>
      <c r="C121" s="146">
        <f>IRR(D120:W120,0.1)</f>
        <v>0.15624240029332825</v>
      </c>
    </row>
    <row r="122" spans="3:5" ht="15">
      <c r="C122" s="8"/>
      <c r="E122" s="1"/>
    </row>
    <row r="123" spans="2:23" ht="15">
      <c r="B123" s="20" t="s">
        <v>30</v>
      </c>
      <c r="C123" s="5">
        <v>0</v>
      </c>
      <c r="D123" s="5">
        <v>1</v>
      </c>
      <c r="E123" s="5">
        <v>2</v>
      </c>
      <c r="F123" s="5">
        <v>3</v>
      </c>
      <c r="G123" s="5">
        <v>4</v>
      </c>
      <c r="H123" s="5">
        <v>5</v>
      </c>
      <c r="I123" s="5">
        <v>6</v>
      </c>
      <c r="J123" s="5">
        <v>7</v>
      </c>
      <c r="K123" s="5">
        <v>8</v>
      </c>
      <c r="L123" s="5">
        <v>9</v>
      </c>
      <c r="M123" s="5">
        <v>10</v>
      </c>
      <c r="N123" s="5">
        <v>11</v>
      </c>
      <c r="O123" s="5">
        <v>12</v>
      </c>
      <c r="P123" s="5">
        <v>13</v>
      </c>
      <c r="Q123" s="5">
        <v>14</v>
      </c>
      <c r="R123" s="5">
        <v>15</v>
      </c>
      <c r="S123" s="5">
        <v>16</v>
      </c>
      <c r="T123" s="5">
        <v>17</v>
      </c>
      <c r="U123" s="5">
        <v>18</v>
      </c>
      <c r="V123" s="5">
        <v>19</v>
      </c>
      <c r="W123" s="5">
        <v>20</v>
      </c>
    </row>
    <row r="124" spans="1:23" ht="15">
      <c r="A124" s="7" t="s">
        <v>175</v>
      </c>
      <c r="B124" s="20" t="s">
        <v>8</v>
      </c>
      <c r="C124" s="24">
        <v>2010</v>
      </c>
      <c r="D124" s="24">
        <v>2011</v>
      </c>
      <c r="E124" s="24">
        <v>2012</v>
      </c>
      <c r="F124" s="24">
        <v>2013</v>
      </c>
      <c r="G124" s="24">
        <v>2014</v>
      </c>
      <c r="H124" s="24">
        <v>2015</v>
      </c>
      <c r="I124" s="24">
        <v>2016</v>
      </c>
      <c r="J124" s="24">
        <v>2017</v>
      </c>
      <c r="K124" s="24">
        <v>2018</v>
      </c>
      <c r="L124" s="24">
        <v>2019</v>
      </c>
      <c r="M124" s="24">
        <v>2020</v>
      </c>
      <c r="N124" s="24">
        <v>2021</v>
      </c>
      <c r="O124" s="24">
        <v>2022</v>
      </c>
      <c r="P124" s="24">
        <v>2023</v>
      </c>
      <c r="Q124" s="24">
        <v>2024</v>
      </c>
      <c r="R124" s="24">
        <v>2025</v>
      </c>
      <c r="S124" s="24">
        <v>2026</v>
      </c>
      <c r="T124" s="24">
        <v>2027</v>
      </c>
      <c r="U124" s="24">
        <v>2028</v>
      </c>
      <c r="V124" s="24">
        <v>2029</v>
      </c>
      <c r="W124" s="24">
        <v>2030</v>
      </c>
    </row>
    <row r="125" spans="1:23" ht="15">
      <c r="A125" t="s">
        <v>160</v>
      </c>
      <c r="C125" s="8"/>
      <c r="D125" s="1">
        <f>'P2_Streams'!D28*(1+capital_cost_var)</f>
        <v>6380744.255744257</v>
      </c>
      <c r="E125" s="1">
        <f>'P2_Streams'!E28*(1+capital_cost_var)</f>
        <v>12761488.511488514</v>
      </c>
      <c r="F125" s="1">
        <f>'P2_Streams'!F28*(1+capital_cost_var)</f>
        <v>15496093.192521768</v>
      </c>
      <c r="G125" s="1">
        <f>'P2_Streams'!G28*(1+capital_cost_var)</f>
        <v>8659581.489938635</v>
      </c>
      <c r="H125" s="1">
        <f>'P2_Streams'!H28*(1+capital_cost_var)</f>
        <v>2278837.2341943774</v>
      </c>
      <c r="I125" s="1">
        <f>'P2_Streams'!I28</f>
        <v>0</v>
      </c>
      <c r="J125" s="1">
        <f>'P2_Streams'!J28</f>
        <v>0</v>
      </c>
      <c r="K125" s="1">
        <f>'P2_Streams'!K28</f>
        <v>0</v>
      </c>
      <c r="L125" s="1">
        <f>'P2_Streams'!L28</f>
        <v>0</v>
      </c>
      <c r="M125" s="1">
        <f>'P2_Streams'!M28</f>
        <v>0</v>
      </c>
      <c r="N125" s="1">
        <f>'P2_Streams'!N28</f>
        <v>0</v>
      </c>
      <c r="O125" s="1">
        <f>'P2_Streams'!O28</f>
        <v>0</v>
      </c>
      <c r="P125" s="1">
        <f>'P2_Streams'!P28</f>
        <v>0</v>
      </c>
      <c r="Q125" s="1">
        <f>'P2_Streams'!Q28</f>
        <v>0</v>
      </c>
      <c r="R125" s="1">
        <f>'P2_Streams'!R28</f>
        <v>0</v>
      </c>
      <c r="S125" s="1">
        <f>'P2_Streams'!S28</f>
        <v>0</v>
      </c>
      <c r="T125" s="1">
        <f>'P2_Streams'!T28</f>
        <v>0</v>
      </c>
      <c r="U125" s="1">
        <f>'P2_Streams'!U28</f>
        <v>0</v>
      </c>
      <c r="V125" s="1">
        <f>'P2_Streams'!V28</f>
        <v>0</v>
      </c>
      <c r="W125" s="1">
        <f>'P2_Streams'!W28</f>
        <v>0</v>
      </c>
    </row>
    <row r="126" spans="1:23" ht="15">
      <c r="A126" t="s">
        <v>161</v>
      </c>
      <c r="B126" s="5"/>
      <c r="C126" s="26"/>
      <c r="D126" s="25">
        <f>'P2_Streams'!D32</f>
        <v>0</v>
      </c>
      <c r="E126" s="25">
        <f>'P2_Streams'!E32</f>
        <v>0</v>
      </c>
      <c r="F126" s="25">
        <f>'P2_Streams'!F32</f>
        <v>0</v>
      </c>
      <c r="G126" s="25">
        <f>'P2_Streams'!G32</f>
        <v>-824602.335126</v>
      </c>
      <c r="H126" s="25">
        <f>'P2_Streams'!H32</f>
        <v>-779690.2735295</v>
      </c>
      <c r="I126" s="25">
        <f>'P2_Streams'!I32</f>
        <v>-732799.9286499999</v>
      </c>
      <c r="J126" s="25">
        <f>'P2_Streams'!J32</f>
        <v>-706168.5562900001</v>
      </c>
      <c r="K126" s="25">
        <f>'P2_Streams'!K32</f>
        <v>-678738.627805</v>
      </c>
      <c r="L126" s="25">
        <f>'P2_Streams'!L32</f>
        <v>-642367.3147599997</v>
      </c>
      <c r="M126" s="25">
        <f>'P2_Streams'!M32</f>
        <v>-613022.94047</v>
      </c>
      <c r="N126" s="25">
        <f>'P2_Streams'!N32</f>
        <v>-582798.3657600001</v>
      </c>
      <c r="O126" s="25">
        <f>'P2_Streams'!O32</f>
        <v>-551667.0887100003</v>
      </c>
      <c r="P126" s="25">
        <f>'P2_Streams'!P32</f>
        <v>-519602.2321799998</v>
      </c>
      <c r="Q126" s="25">
        <f>'P2_Streams'!Q32</f>
        <v>-467752.44224500004</v>
      </c>
      <c r="R126" s="25">
        <f>'P2_Streams'!R32</f>
        <v>-433170.18035000004</v>
      </c>
      <c r="S126" s="25">
        <f>'P2_Streams'!S32</f>
        <v>-397550.1267299999</v>
      </c>
      <c r="T126" s="25">
        <f>'P2_Streams'!T32</f>
        <v>-360861.68452999997</v>
      </c>
      <c r="U126" s="25">
        <f>'P2_Streams'!U32</f>
        <v>-323072.33626500005</v>
      </c>
      <c r="V126" s="25">
        <f>'P2_Streams'!V32</f>
        <v>-273239.07752499986</v>
      </c>
      <c r="W126" s="25">
        <f>'P2_Streams'!W32</f>
        <v>-217641.29603999993</v>
      </c>
    </row>
    <row r="127" spans="1:23" ht="15">
      <c r="A127" s="18" t="s">
        <v>164</v>
      </c>
      <c r="B127" s="10"/>
      <c r="C127" s="11"/>
      <c r="D127" s="11">
        <f>D125+D126</f>
        <v>6380744.255744257</v>
      </c>
      <c r="E127" s="11">
        <f aca="true" t="shared" si="61" ref="E127:W127">E125+E126</f>
        <v>12761488.511488514</v>
      </c>
      <c r="F127" s="11">
        <f t="shared" si="61"/>
        <v>15496093.192521768</v>
      </c>
      <c r="G127" s="11">
        <f t="shared" si="61"/>
        <v>7834979.154812636</v>
      </c>
      <c r="H127" s="11">
        <f t="shared" si="61"/>
        <v>1499146.9606648774</v>
      </c>
      <c r="I127" s="11">
        <f t="shared" si="61"/>
        <v>-732799.9286499999</v>
      </c>
      <c r="J127" s="11">
        <f t="shared" si="61"/>
        <v>-706168.5562900001</v>
      </c>
      <c r="K127" s="11">
        <f t="shared" si="61"/>
        <v>-678738.627805</v>
      </c>
      <c r="L127" s="11">
        <f t="shared" si="61"/>
        <v>-642367.3147599997</v>
      </c>
      <c r="M127" s="11">
        <f t="shared" si="61"/>
        <v>-613022.94047</v>
      </c>
      <c r="N127" s="11">
        <f t="shared" si="61"/>
        <v>-582798.3657600001</v>
      </c>
      <c r="O127" s="11">
        <f t="shared" si="61"/>
        <v>-551667.0887100003</v>
      </c>
      <c r="P127" s="11">
        <f t="shared" si="61"/>
        <v>-519602.2321799998</v>
      </c>
      <c r="Q127" s="11">
        <f t="shared" si="61"/>
        <v>-467752.44224500004</v>
      </c>
      <c r="R127" s="11">
        <f t="shared" si="61"/>
        <v>-433170.18035000004</v>
      </c>
      <c r="S127" s="11">
        <f t="shared" si="61"/>
        <v>-397550.1267299999</v>
      </c>
      <c r="T127" s="11">
        <f t="shared" si="61"/>
        <v>-360861.68452999997</v>
      </c>
      <c r="U127" s="11">
        <f t="shared" si="61"/>
        <v>-323072.33626500005</v>
      </c>
      <c r="V127" s="11">
        <f t="shared" si="61"/>
        <v>-273239.07752499986</v>
      </c>
      <c r="W127" s="11">
        <f t="shared" si="61"/>
        <v>-217641.29603999993</v>
      </c>
    </row>
    <row r="128" spans="1:23" ht="15.75" thickBot="1">
      <c r="A128" t="s">
        <v>162</v>
      </c>
      <c r="C128" s="8"/>
      <c r="D128" s="23">
        <f>'P2_Streams'!D38+'P2_Streams'!D54</f>
        <v>0</v>
      </c>
      <c r="E128" s="23">
        <f>'P2_Streams'!E38+'P2_Streams'!E54</f>
        <v>0</v>
      </c>
      <c r="F128" s="23">
        <f>'P2_Streams'!F38+'P2_Streams'!F54</f>
        <v>0</v>
      </c>
      <c r="G128" s="23">
        <f>'P2_Streams'!G38+'P2_Streams'!G54</f>
        <v>1403181.3189919996</v>
      </c>
      <c r="H128" s="23">
        <f>'P2_Streams'!H38+'P2_Streams'!H54</f>
        <v>4377417.271764033</v>
      </c>
      <c r="I128" s="23">
        <f>'P2_Streams'!I38+'P2_Streams'!I54</f>
        <v>5326514.037466614</v>
      </c>
      <c r="J128" s="23">
        <f>'P2_Streams'!J38+'P2_Streams'!J54</f>
        <v>3370477.923013364</v>
      </c>
      <c r="K128" s="23">
        <f>'P2_Streams'!K38+'P2_Streams'!K54</f>
        <v>3620629.1242266693</v>
      </c>
      <c r="L128" s="23">
        <f>'P2_Streams'!L38+'P2_Streams'!L54</f>
        <v>3942853.668586635</v>
      </c>
      <c r="M128" s="23">
        <f>'P2_Streams'!M38+'P2_Streams'!M54</f>
        <v>4210217.149573298</v>
      </c>
      <c r="N128" s="23">
        <f>'P2_Streams'!N38+'P2_Streams'!N54</f>
        <v>4485160.860586758</v>
      </c>
      <c r="O128" s="23">
        <f>'P2_Streams'!O38+'P2_Streams'!O54</f>
        <v>4769176.443653303</v>
      </c>
      <c r="P128" s="23">
        <f>'P2_Streams'!P38+'P2_Streams'!P54</f>
        <v>5061048.102559976</v>
      </c>
      <c r="Q128" s="23">
        <f>'P2_Streams'!Q38+'P2_Streams'!Q54</f>
        <v>5512079.8553733425</v>
      </c>
      <c r="R128" s="23">
        <f>'P2_Streams'!R38+'P2_Streams'!R54</f>
        <v>5826662.757199977</v>
      </c>
      <c r="S128" s="23">
        <f>'P2_Streams'!S38+'P2_Streams'!S54</f>
        <v>6150329.559493348</v>
      </c>
      <c r="T128" s="23">
        <f>'P2_Streams'!T38+'P2_Streams'!T54</f>
        <v>6483773.897093315</v>
      </c>
      <c r="U128" s="23">
        <f>'P2_Streams'!U38+'P2_Streams'!U54</f>
        <v>6827182.3298800625</v>
      </c>
      <c r="V128" s="23">
        <f>'P2_Streams'!V38+'P2_Streams'!V54</f>
        <v>7267709.313133267</v>
      </c>
      <c r="W128" s="23">
        <f>'P2_Streams'!W38+'P2_Streams'!W54</f>
        <v>7756303.171680003</v>
      </c>
    </row>
    <row r="129" spans="1:23" ht="15.75" thickTop="1">
      <c r="A129" s="18" t="s">
        <v>163</v>
      </c>
      <c r="B129" s="10"/>
      <c r="C129" s="11"/>
      <c r="D129" s="11">
        <f aca="true" t="shared" si="62" ref="D129:W129">D128-D127</f>
        <v>-6380744.255744257</v>
      </c>
      <c r="E129" s="11">
        <f t="shared" si="62"/>
        <v>-12761488.511488514</v>
      </c>
      <c r="F129" s="11">
        <f t="shared" si="62"/>
        <v>-15496093.192521768</v>
      </c>
      <c r="G129" s="11">
        <f>G128-G127</f>
        <v>-6431797.835820636</v>
      </c>
      <c r="H129" s="11">
        <f t="shared" si="62"/>
        <v>2878270.311099155</v>
      </c>
      <c r="I129" s="11">
        <f t="shared" si="62"/>
        <v>6059313.966116614</v>
      </c>
      <c r="J129" s="11">
        <f t="shared" si="62"/>
        <v>4076646.479303364</v>
      </c>
      <c r="K129" s="11">
        <f t="shared" si="62"/>
        <v>4299367.752031669</v>
      </c>
      <c r="L129" s="11">
        <f t="shared" si="62"/>
        <v>4585220.983346635</v>
      </c>
      <c r="M129" s="11">
        <f t="shared" si="62"/>
        <v>4823240.090043298</v>
      </c>
      <c r="N129" s="11">
        <f t="shared" si="62"/>
        <v>5067959.226346758</v>
      </c>
      <c r="O129" s="11">
        <f t="shared" si="62"/>
        <v>5320843.532363303</v>
      </c>
      <c r="P129" s="11">
        <f t="shared" si="62"/>
        <v>5580650.334739976</v>
      </c>
      <c r="Q129" s="11">
        <f t="shared" si="62"/>
        <v>5979832.297618343</v>
      </c>
      <c r="R129" s="11">
        <f t="shared" si="62"/>
        <v>6259832.937549977</v>
      </c>
      <c r="S129" s="11">
        <f t="shared" si="62"/>
        <v>6547879.686223348</v>
      </c>
      <c r="T129" s="11">
        <f t="shared" si="62"/>
        <v>6844635.581623315</v>
      </c>
      <c r="U129" s="11">
        <f t="shared" si="62"/>
        <v>7150254.666145062</v>
      </c>
      <c r="V129" s="11">
        <f t="shared" si="62"/>
        <v>7540948.390658267</v>
      </c>
      <c r="W129" s="11">
        <f t="shared" si="62"/>
        <v>7973944.467720004</v>
      </c>
    </row>
    <row r="130" spans="3:5" ht="15">
      <c r="C130" s="1">
        <f>NPV(0.1,D128:W128)</f>
        <v>26991562.353021454</v>
      </c>
      <c r="E130" s="1"/>
    </row>
    <row r="131" spans="2:23" ht="15">
      <c r="B131" s="20" t="s">
        <v>30</v>
      </c>
      <c r="C131" s="5">
        <v>0</v>
      </c>
      <c r="D131" s="5">
        <v>1</v>
      </c>
      <c r="E131" s="5">
        <v>2</v>
      </c>
      <c r="F131" s="5">
        <v>3</v>
      </c>
      <c r="G131" s="5">
        <v>4</v>
      </c>
      <c r="H131" s="5">
        <v>5</v>
      </c>
      <c r="I131" s="5">
        <v>6</v>
      </c>
      <c r="J131" s="5">
        <v>7</v>
      </c>
      <c r="K131" s="5">
        <v>8</v>
      </c>
      <c r="L131" s="5">
        <v>9</v>
      </c>
      <c r="M131" s="5">
        <v>10</v>
      </c>
      <c r="N131" s="5">
        <v>11</v>
      </c>
      <c r="O131" s="5">
        <v>12</v>
      </c>
      <c r="P131" s="5">
        <v>13</v>
      </c>
      <c r="Q131" s="5">
        <v>14</v>
      </c>
      <c r="R131" s="5">
        <v>15</v>
      </c>
      <c r="S131" s="5">
        <v>16</v>
      </c>
      <c r="T131" s="5">
        <v>17</v>
      </c>
      <c r="U131" s="5">
        <v>18</v>
      </c>
      <c r="V131" s="5">
        <v>19</v>
      </c>
      <c r="W131" s="5">
        <v>20</v>
      </c>
    </row>
    <row r="132" spans="1:23" ht="15">
      <c r="A132" s="7" t="s">
        <v>165</v>
      </c>
      <c r="B132" s="20" t="s">
        <v>8</v>
      </c>
      <c r="C132" s="24">
        <v>2010</v>
      </c>
      <c r="D132" s="24">
        <v>2011</v>
      </c>
      <c r="E132" s="24">
        <v>2012</v>
      </c>
      <c r="F132" s="24">
        <v>2013</v>
      </c>
      <c r="G132" s="24">
        <v>2014</v>
      </c>
      <c r="H132" s="24">
        <v>2015</v>
      </c>
      <c r="I132" s="24">
        <v>2016</v>
      </c>
      <c r="J132" s="24">
        <v>2017</v>
      </c>
      <c r="K132" s="24">
        <v>2018</v>
      </c>
      <c r="L132" s="24">
        <v>2019</v>
      </c>
      <c r="M132" s="24">
        <v>2020</v>
      </c>
      <c r="N132" s="24">
        <v>2021</v>
      </c>
      <c r="O132" s="24">
        <v>2022</v>
      </c>
      <c r="P132" s="24">
        <v>2023</v>
      </c>
      <c r="Q132" s="24">
        <v>2024</v>
      </c>
      <c r="R132" s="24">
        <v>2025</v>
      </c>
      <c r="S132" s="24">
        <v>2026</v>
      </c>
      <c r="T132" s="24">
        <v>2027</v>
      </c>
      <c r="U132" s="24">
        <v>2028</v>
      </c>
      <c r="V132" s="24">
        <v>2029</v>
      </c>
      <c r="W132" s="24">
        <v>2030</v>
      </c>
    </row>
    <row r="133" spans="1:23" ht="15">
      <c r="A133" t="s">
        <v>166</v>
      </c>
      <c r="D133" s="1">
        <f>D113+D125</f>
        <v>37746458.541458555</v>
      </c>
      <c r="E133" s="1">
        <f aca="true" t="shared" si="63" ref="E133:W133">E113+E125</f>
        <v>44127202.79720281</v>
      </c>
      <c r="F133" s="1">
        <f t="shared" si="63"/>
        <v>82504664.62109321</v>
      </c>
      <c r="G133" s="1">
        <f t="shared" si="63"/>
        <v>21491010.06136721</v>
      </c>
      <c r="H133" s="1">
        <f t="shared" si="63"/>
        <v>2278837.2341943774</v>
      </c>
      <c r="I133" s="1">
        <f t="shared" si="63"/>
        <v>0</v>
      </c>
      <c r="J133" s="1">
        <f t="shared" si="63"/>
        <v>0</v>
      </c>
      <c r="K133" s="1">
        <f t="shared" si="63"/>
        <v>0</v>
      </c>
      <c r="L133" s="1">
        <f t="shared" si="63"/>
        <v>0</v>
      </c>
      <c r="M133" s="1">
        <f t="shared" si="63"/>
        <v>0</v>
      </c>
      <c r="N133" s="1">
        <f t="shared" si="63"/>
        <v>0</v>
      </c>
      <c r="O133" s="1">
        <f t="shared" si="63"/>
        <v>0</v>
      </c>
      <c r="P133" s="1">
        <f t="shared" si="63"/>
        <v>0</v>
      </c>
      <c r="Q133" s="1">
        <f t="shared" si="63"/>
        <v>0</v>
      </c>
      <c r="R133" s="1">
        <f t="shared" si="63"/>
        <v>245714285.71428573</v>
      </c>
      <c r="S133" s="1">
        <f t="shared" si="63"/>
        <v>0</v>
      </c>
      <c r="T133" s="1">
        <f t="shared" si="63"/>
        <v>0</v>
      </c>
      <c r="U133" s="1">
        <f t="shared" si="63"/>
        <v>0</v>
      </c>
      <c r="V133" s="1">
        <f t="shared" si="63"/>
        <v>0</v>
      </c>
      <c r="W133" s="1">
        <f t="shared" si="63"/>
        <v>0</v>
      </c>
    </row>
    <row r="134" spans="1:23" ht="15">
      <c r="A134" t="s">
        <v>167</v>
      </c>
      <c r="D134" s="25">
        <f aca="true" t="shared" si="64" ref="D134:W134">D117+D126</f>
        <v>0</v>
      </c>
      <c r="E134" s="25">
        <f t="shared" si="64"/>
        <v>0</v>
      </c>
      <c r="F134" s="25">
        <f t="shared" si="64"/>
        <v>0</v>
      </c>
      <c r="G134" s="25">
        <f t="shared" si="64"/>
        <v>5898979.031216856</v>
      </c>
      <c r="H134" s="25">
        <f t="shared" si="64"/>
        <v>6087099.728303358</v>
      </c>
      <c r="I134" s="25">
        <f t="shared" si="64"/>
        <v>6284018.730460858</v>
      </c>
      <c r="J134" s="25">
        <f t="shared" si="64"/>
        <v>6378517.052340858</v>
      </c>
      <c r="K134" s="25">
        <f t="shared" si="64"/>
        <v>6475848.218717855</v>
      </c>
      <c r="L134" s="25">
        <f t="shared" si="64"/>
        <v>6616691.600406858</v>
      </c>
      <c r="M134" s="25">
        <f t="shared" si="64"/>
        <v>6721170.103416856</v>
      </c>
      <c r="N134" s="25">
        <f t="shared" si="64"/>
        <v>6828782.534094858</v>
      </c>
      <c r="O134" s="25">
        <f t="shared" si="64"/>
        <v>6939623.153544856</v>
      </c>
      <c r="P134" s="25">
        <f t="shared" si="64"/>
        <v>7053786.633714855</v>
      </c>
      <c r="Q134" s="25">
        <f t="shared" si="64"/>
        <v>7265490.136765858</v>
      </c>
      <c r="R134" s="25">
        <f t="shared" si="64"/>
        <v>7389429.576696857</v>
      </c>
      <c r="S134" s="25">
        <f t="shared" si="64"/>
        <v>7517089.120644858</v>
      </c>
      <c r="T134" s="25">
        <f t="shared" si="64"/>
        <v>7648577.203028858</v>
      </c>
      <c r="U134" s="25">
        <f t="shared" si="64"/>
        <v>7784011.208505854</v>
      </c>
      <c r="V134" s="25">
        <f t="shared" si="64"/>
        <v>7978059.54424586</v>
      </c>
      <c r="W134" s="25">
        <f t="shared" si="64"/>
        <v>8180534.617027858</v>
      </c>
    </row>
    <row r="135" spans="1:23" ht="15">
      <c r="A135" s="18" t="s">
        <v>174</v>
      </c>
      <c r="B135" s="10"/>
      <c r="C135" s="11"/>
      <c r="D135" s="11">
        <f>D133+D134</f>
        <v>37746458.541458555</v>
      </c>
      <c r="E135" s="11">
        <f aca="true" t="shared" si="65" ref="E135:W135">E133+E134</f>
        <v>44127202.79720281</v>
      </c>
      <c r="F135" s="11">
        <f t="shared" si="65"/>
        <v>82504664.62109321</v>
      </c>
      <c r="G135" s="11">
        <f t="shared" si="65"/>
        <v>27389989.092584066</v>
      </c>
      <c r="H135" s="11">
        <f t="shared" si="65"/>
        <v>8365936.962497735</v>
      </c>
      <c r="I135" s="11">
        <f t="shared" si="65"/>
        <v>6284018.730460858</v>
      </c>
      <c r="J135" s="11">
        <f t="shared" si="65"/>
        <v>6378517.052340858</v>
      </c>
      <c r="K135" s="11">
        <f t="shared" si="65"/>
        <v>6475848.218717855</v>
      </c>
      <c r="L135" s="11">
        <f t="shared" si="65"/>
        <v>6616691.600406858</v>
      </c>
      <c r="M135" s="11">
        <f t="shared" si="65"/>
        <v>6721170.103416856</v>
      </c>
      <c r="N135" s="11">
        <f t="shared" si="65"/>
        <v>6828782.534094858</v>
      </c>
      <c r="O135" s="11">
        <f t="shared" si="65"/>
        <v>6939623.153544856</v>
      </c>
      <c r="P135" s="11">
        <f t="shared" si="65"/>
        <v>7053786.633714855</v>
      </c>
      <c r="Q135" s="11">
        <f t="shared" si="65"/>
        <v>7265490.136765858</v>
      </c>
      <c r="R135" s="11">
        <f t="shared" si="65"/>
        <v>253103715.29098257</v>
      </c>
      <c r="S135" s="11">
        <f t="shared" si="65"/>
        <v>7517089.120644858</v>
      </c>
      <c r="T135" s="11">
        <f t="shared" si="65"/>
        <v>7648577.203028858</v>
      </c>
      <c r="U135" s="11">
        <f t="shared" si="65"/>
        <v>7784011.208505854</v>
      </c>
      <c r="V135" s="11">
        <f t="shared" si="65"/>
        <v>7978059.54424586</v>
      </c>
      <c r="W135" s="11">
        <f t="shared" si="65"/>
        <v>8180534.617027858</v>
      </c>
    </row>
    <row r="136" spans="1:23" ht="15.75" thickBot="1">
      <c r="A136" t="s">
        <v>335</v>
      </c>
      <c r="D136" s="23">
        <f aca="true" t="shared" si="66" ref="D136:W136">(D107+D128)*(1+benefits_var)</f>
        <v>0</v>
      </c>
      <c r="E136" s="23">
        <f t="shared" si="66"/>
        <v>0</v>
      </c>
      <c r="F136" s="23">
        <f t="shared" si="66"/>
        <v>0</v>
      </c>
      <c r="G136" s="23">
        <f t="shared" si="66"/>
        <v>14368912.032370578</v>
      </c>
      <c r="H136" s="23">
        <f t="shared" si="66"/>
        <v>24354241.462498058</v>
      </c>
      <c r="I136" s="23">
        <f t="shared" si="66"/>
        <v>32903814.58081095</v>
      </c>
      <c r="J136" s="23">
        <f t="shared" si="66"/>
        <v>39424696.74431812</v>
      </c>
      <c r="K136" s="23">
        <f t="shared" si="66"/>
        <v>50812780.22695884</v>
      </c>
      <c r="L136" s="23">
        <f t="shared" si="66"/>
        <v>63220322.631489545</v>
      </c>
      <c r="M136" s="23">
        <f t="shared" si="66"/>
        <v>64262837.35886555</v>
      </c>
      <c r="N136" s="23">
        <f t="shared" si="66"/>
        <v>65336183.0099991</v>
      </c>
      <c r="O136" s="23">
        <f t="shared" si="66"/>
        <v>66003656.67889381</v>
      </c>
      <c r="P136" s="23">
        <f t="shared" si="66"/>
        <v>66217384.07768685</v>
      </c>
      <c r="Q136" s="23">
        <f t="shared" si="66"/>
        <v>66587927.54718204</v>
      </c>
      <c r="R136" s="23">
        <f t="shared" si="66"/>
        <v>66819607.41642912</v>
      </c>
      <c r="S136" s="23">
        <f t="shared" si="66"/>
        <v>67057884.605529316</v>
      </c>
      <c r="T136" s="23">
        <f t="shared" si="66"/>
        <v>67303377.3321861</v>
      </c>
      <c r="U136" s="23">
        <f t="shared" si="66"/>
        <v>67556195.63384785</v>
      </c>
      <c r="V136" s="23">
        <f t="shared" si="66"/>
        <v>67903415.05283968</v>
      </c>
      <c r="W136" s="23">
        <f t="shared" si="66"/>
        <v>68264173.76945886</v>
      </c>
    </row>
    <row r="137" spans="1:23" ht="15.75" thickTop="1">
      <c r="A137" s="18" t="s">
        <v>169</v>
      </c>
      <c r="B137" s="10"/>
      <c r="C137" s="11"/>
      <c r="D137" s="11">
        <f>D136-D135</f>
        <v>-37746458.541458555</v>
      </c>
      <c r="E137" s="11">
        <f aca="true" t="shared" si="67" ref="E137:W137">E136-E135</f>
        <v>-44127202.79720281</v>
      </c>
      <c r="F137" s="11">
        <f t="shared" si="67"/>
        <v>-82504664.62109321</v>
      </c>
      <c r="G137" s="11">
        <f t="shared" si="67"/>
        <v>-13021077.060213488</v>
      </c>
      <c r="H137" s="11">
        <f t="shared" si="67"/>
        <v>15988304.500000322</v>
      </c>
      <c r="I137" s="11">
        <f t="shared" si="67"/>
        <v>26619795.85035009</v>
      </c>
      <c r="J137" s="11">
        <f t="shared" si="67"/>
        <v>33046179.691977262</v>
      </c>
      <c r="K137" s="11">
        <f t="shared" si="67"/>
        <v>44336932.00824098</v>
      </c>
      <c r="L137" s="11">
        <f t="shared" si="67"/>
        <v>56603631.03108269</v>
      </c>
      <c r="M137" s="11">
        <f t="shared" si="67"/>
        <v>57541667.2554487</v>
      </c>
      <c r="N137" s="11">
        <f t="shared" si="67"/>
        <v>58507400.47590424</v>
      </c>
      <c r="O137" s="11">
        <f t="shared" si="67"/>
        <v>59064033.525348954</v>
      </c>
      <c r="P137" s="11">
        <f t="shared" si="67"/>
        <v>59163597.443972</v>
      </c>
      <c r="Q137" s="11">
        <f t="shared" si="67"/>
        <v>59322437.41041618</v>
      </c>
      <c r="R137" s="11">
        <f t="shared" si="67"/>
        <v>-186284107.87455344</v>
      </c>
      <c r="S137" s="11">
        <f t="shared" si="67"/>
        <v>59540795.484884456</v>
      </c>
      <c r="T137" s="11">
        <f t="shared" si="67"/>
        <v>59654800.129157245</v>
      </c>
      <c r="U137" s="11">
        <f t="shared" si="67"/>
        <v>59772184.42534199</v>
      </c>
      <c r="V137" s="11">
        <f t="shared" si="67"/>
        <v>59925355.50859382</v>
      </c>
      <c r="W137" s="11">
        <f t="shared" si="67"/>
        <v>60083639.152431004</v>
      </c>
    </row>
    <row r="138" spans="1:3" ht="15">
      <c r="A138" s="19"/>
      <c r="B138" s="179" t="s">
        <v>89</v>
      </c>
      <c r="C138" s="180">
        <f>IRR(D137:W137,0.1)</f>
        <v>0.1407075831906015</v>
      </c>
    </row>
    <row r="139" spans="2:3" ht="15">
      <c r="B139" s="6"/>
      <c r="C139" s="8"/>
    </row>
    <row r="140" spans="1:8" ht="15">
      <c r="A140" s="7" t="s">
        <v>176</v>
      </c>
      <c r="D140" s="1">
        <f>($B152+$B153*0.9+$B155*0.9)/exrate*0.2</f>
        <v>1477857.142857143</v>
      </c>
      <c r="E140" s="1">
        <f>($B152+$B153*0.9+$B155*0.9)/exrate*0.2</f>
        <v>1477857.142857143</v>
      </c>
      <c r="F140" s="1">
        <f>($B152+$B153*0.9+$B155*0.9)/exrate*0.2</f>
        <v>1477857.142857143</v>
      </c>
      <c r="G140" s="1">
        <f>($B152+$B153*0.9+$B155*0.9)/exrate*0.2</f>
        <v>1477857.142857143</v>
      </c>
      <c r="H140" s="1">
        <f>($B152+$B153*0.9+$B155*0.9)/exrate*0.2</f>
        <v>1477857.142857143</v>
      </c>
    </row>
    <row r="141" spans="1:8" ht="15">
      <c r="A141" s="140" t="s">
        <v>320</v>
      </c>
      <c r="D141" s="1"/>
      <c r="E141" s="1"/>
      <c r="F141" s="1"/>
      <c r="G141" s="1"/>
      <c r="H141" s="1"/>
    </row>
    <row r="142" spans="4:8" ht="15">
      <c r="D142" s="1"/>
      <c r="E142" s="1"/>
      <c r="F142" s="1"/>
      <c r="G142" s="1"/>
      <c r="H142" s="1"/>
    </row>
    <row r="143" spans="1:8" ht="15">
      <c r="A143" s="139" t="s">
        <v>309</v>
      </c>
      <c r="C143">
        <f>investcost</f>
        <v>138285714.28571433</v>
      </c>
      <c r="D143" s="1"/>
      <c r="E143" s="1"/>
      <c r="F143" s="1"/>
      <c r="G143" s="1"/>
      <c r="H143" s="1"/>
    </row>
    <row r="144" spans="1:8" ht="15">
      <c r="A144" s="37" t="s">
        <v>304</v>
      </c>
      <c r="D144" s="1"/>
      <c r="E144" s="1"/>
      <c r="F144" s="1"/>
      <c r="G144" s="1"/>
      <c r="H144" s="1"/>
    </row>
    <row r="145" spans="1:8" ht="15">
      <c r="A145" s="37" t="s">
        <v>313</v>
      </c>
      <c r="B145" s="181">
        <v>50000000</v>
      </c>
      <c r="D145" s="1"/>
      <c r="E145" s="1"/>
      <c r="F145" s="1"/>
      <c r="G145" s="1"/>
      <c r="H145" s="1"/>
    </row>
    <row r="146" spans="1:8" ht="15">
      <c r="A146" s="37" t="s">
        <v>314</v>
      </c>
      <c r="B146" s="181">
        <v>88000000</v>
      </c>
      <c r="D146" s="1"/>
      <c r="E146" s="1"/>
      <c r="F146" s="1"/>
      <c r="G146" s="1"/>
      <c r="H146" s="1"/>
    </row>
    <row r="147" spans="1:8" ht="15">
      <c r="A147" s="37" t="s">
        <v>315</v>
      </c>
      <c r="B147" s="181">
        <f>B146+B145</f>
        <v>138000000</v>
      </c>
      <c r="D147" s="1"/>
      <c r="E147" s="1"/>
      <c r="F147" s="1"/>
      <c r="G147" s="1"/>
      <c r="H147" s="1"/>
    </row>
    <row r="148" spans="1:8" ht="15">
      <c r="A148" s="37" t="s">
        <v>305</v>
      </c>
      <c r="B148" s="181">
        <f>88000000+67000000*(1.25/1.4)</f>
        <v>147821428.57142857</v>
      </c>
      <c r="D148" s="1"/>
      <c r="E148" s="1"/>
      <c r="F148" s="1"/>
      <c r="G148" s="1"/>
      <c r="H148" s="1"/>
    </row>
    <row r="149" spans="1:8" ht="15">
      <c r="A149" s="37" t="s">
        <v>310</v>
      </c>
      <c r="B149" s="181">
        <v>6000000</v>
      </c>
      <c r="D149" s="1"/>
      <c r="E149" s="1"/>
      <c r="F149" s="1"/>
      <c r="G149" s="1"/>
      <c r="H149" s="1"/>
    </row>
    <row r="150" spans="1:8" ht="15">
      <c r="A150" s="37" t="s">
        <v>311</v>
      </c>
      <c r="B150" s="181">
        <v>3986013.98601399</v>
      </c>
      <c r="D150" s="1"/>
      <c r="E150" s="1"/>
      <c r="F150" s="1"/>
      <c r="G150" s="1"/>
      <c r="H150" s="1"/>
    </row>
    <row r="151" spans="1:8" ht="15">
      <c r="A151" s="37" t="s">
        <v>312</v>
      </c>
      <c r="B151" s="181">
        <f>B147+B149+B150</f>
        <v>147986013.98601398</v>
      </c>
      <c r="D151" s="1"/>
      <c r="E151" s="1"/>
      <c r="F151" s="1"/>
      <c r="G151" s="1"/>
      <c r="H151" s="1"/>
    </row>
    <row r="152" spans="1:8" ht="15">
      <c r="A152" s="37" t="s">
        <v>302</v>
      </c>
      <c r="B152" s="181">
        <v>1300000</v>
      </c>
      <c r="D152" s="1"/>
      <c r="E152" s="1"/>
      <c r="F152" s="1"/>
      <c r="G152" s="1"/>
      <c r="H152" s="1"/>
    </row>
    <row r="153" spans="1:8" ht="15">
      <c r="A153" s="37" t="s">
        <v>303</v>
      </c>
      <c r="B153" s="181">
        <v>9200000</v>
      </c>
      <c r="D153" s="1"/>
      <c r="E153" s="1"/>
      <c r="F153" s="1"/>
      <c r="G153" s="1"/>
      <c r="H153" s="1"/>
    </row>
    <row r="154" spans="1:8" ht="15">
      <c r="A154" s="37" t="s">
        <v>306</v>
      </c>
      <c r="B154" s="181">
        <f>SUM(B151:B153)</f>
        <v>158486013.98601398</v>
      </c>
      <c r="C154" s="1"/>
      <c r="D154" s="1"/>
      <c r="E154" s="1"/>
      <c r="F154" s="1"/>
      <c r="G154" s="1"/>
      <c r="H154" s="1"/>
    </row>
    <row r="155" spans="1:2" ht="15">
      <c r="A155" s="139" t="s">
        <v>307</v>
      </c>
      <c r="B155" s="1">
        <v>850000</v>
      </c>
    </row>
    <row r="156" spans="1:2" ht="15">
      <c r="A156" s="139" t="s">
        <v>316</v>
      </c>
      <c r="B156" s="1">
        <v>17000000</v>
      </c>
    </row>
    <row r="157" ht="15">
      <c r="A157" s="139"/>
    </row>
    <row r="158" spans="1:23" ht="15">
      <c r="A158" s="18" t="s">
        <v>179</v>
      </c>
      <c r="B158" s="10"/>
      <c r="C158" s="11"/>
      <c r="D158" s="11">
        <f aca="true" t="shared" si="68" ref="D158:W158">D137-D140</f>
        <v>-39224315.6843157</v>
      </c>
      <c r="E158" s="11">
        <f t="shared" si="68"/>
        <v>-45605059.94005995</v>
      </c>
      <c r="F158" s="11">
        <f t="shared" si="68"/>
        <v>-83982521.76395036</v>
      </c>
      <c r="G158" s="11">
        <f t="shared" si="68"/>
        <v>-14498934.203070631</v>
      </c>
      <c r="H158" s="11">
        <f t="shared" si="68"/>
        <v>14510447.357143179</v>
      </c>
      <c r="I158" s="11">
        <f t="shared" si="68"/>
        <v>26619795.85035009</v>
      </c>
      <c r="J158" s="11">
        <f t="shared" si="68"/>
        <v>33046179.691977262</v>
      </c>
      <c r="K158" s="11">
        <f t="shared" si="68"/>
        <v>44336932.00824098</v>
      </c>
      <c r="L158" s="11">
        <f t="shared" si="68"/>
        <v>56603631.03108269</v>
      </c>
      <c r="M158" s="11">
        <f t="shared" si="68"/>
        <v>57541667.2554487</v>
      </c>
      <c r="N158" s="11">
        <f t="shared" si="68"/>
        <v>58507400.47590424</v>
      </c>
      <c r="O158" s="11">
        <f t="shared" si="68"/>
        <v>59064033.525348954</v>
      </c>
      <c r="P158" s="11">
        <f t="shared" si="68"/>
        <v>59163597.443972</v>
      </c>
      <c r="Q158" s="11">
        <f t="shared" si="68"/>
        <v>59322437.41041618</v>
      </c>
      <c r="R158" s="11">
        <f t="shared" si="68"/>
        <v>-186284107.87455344</v>
      </c>
      <c r="S158" s="11">
        <f t="shared" si="68"/>
        <v>59540795.484884456</v>
      </c>
      <c r="T158" s="11">
        <f t="shared" si="68"/>
        <v>59654800.129157245</v>
      </c>
      <c r="U158" s="11">
        <f t="shared" si="68"/>
        <v>59772184.42534199</v>
      </c>
      <c r="V158" s="11">
        <f t="shared" si="68"/>
        <v>59925355.50859382</v>
      </c>
      <c r="W158" s="11">
        <f t="shared" si="68"/>
        <v>60083639.152431004</v>
      </c>
    </row>
    <row r="159" spans="1:3" ht="15">
      <c r="A159" s="182"/>
      <c r="B159" s="183" t="s">
        <v>90</v>
      </c>
      <c r="C159" s="184">
        <f>IRR(D158:W158,0.1)</f>
        <v>0.1352067512835755</v>
      </c>
    </row>
    <row r="161" spans="1:23" ht="15">
      <c r="A161" s="39" t="s">
        <v>226</v>
      </c>
      <c r="D161" s="1">
        <f aca="true" t="shared" si="69" ref="D161:W161">D135/PPP_Conversion</f>
        <v>76564824.62770498</v>
      </c>
      <c r="E161" s="1">
        <f t="shared" si="69"/>
        <v>89507510.74483329</v>
      </c>
      <c r="F161" s="1">
        <f t="shared" si="69"/>
        <v>167352260.8947124</v>
      </c>
      <c r="G161" s="1">
        <f t="shared" si="69"/>
        <v>55557787.20605287</v>
      </c>
      <c r="H161" s="1">
        <f t="shared" si="69"/>
        <v>16969446.171395</v>
      </c>
      <c r="I161" s="1">
        <f t="shared" si="69"/>
        <v>12746488.297080848</v>
      </c>
      <c r="J161" s="1">
        <f t="shared" si="69"/>
        <v>12938168.46316604</v>
      </c>
      <c r="K161" s="1">
        <f t="shared" si="69"/>
        <v>13135594.764133582</v>
      </c>
      <c r="L161" s="1">
        <f t="shared" si="69"/>
        <v>13421281.136727907</v>
      </c>
      <c r="M161" s="1">
        <f t="shared" si="69"/>
        <v>13633205.077924658</v>
      </c>
      <c r="N161" s="1">
        <f t="shared" si="69"/>
        <v>13851485.870374966</v>
      </c>
      <c r="O161" s="1">
        <f t="shared" si="69"/>
        <v>14076314.71307273</v>
      </c>
      <c r="P161" s="1">
        <f t="shared" si="69"/>
        <v>14307883.638366846</v>
      </c>
      <c r="Q161" s="1">
        <f t="shared" si="69"/>
        <v>14737302.508652857</v>
      </c>
      <c r="R161" s="1">
        <f t="shared" si="69"/>
        <v>513394960.02227706</v>
      </c>
      <c r="S161" s="1">
        <f t="shared" si="69"/>
        <v>15247645.275141701</v>
      </c>
      <c r="T161" s="1">
        <f t="shared" si="69"/>
        <v>15514355.381397277</v>
      </c>
      <c r="U161" s="1">
        <f t="shared" si="69"/>
        <v>15789069.388450008</v>
      </c>
      <c r="V161" s="1">
        <f t="shared" si="69"/>
        <v>16182676.56033643</v>
      </c>
      <c r="W161" s="1">
        <f t="shared" si="69"/>
        <v>16593376.505127503</v>
      </c>
    </row>
    <row r="162" spans="1:3" ht="15">
      <c r="A162" s="39" t="s">
        <v>227</v>
      </c>
      <c r="C162" s="1">
        <f>NPV(0.1,D161:W161)</f>
        <v>503313556.74958754</v>
      </c>
    </row>
    <row r="163" spans="1:23" ht="15">
      <c r="A163" s="39" t="s">
        <v>228</v>
      </c>
      <c r="D163" s="1">
        <f aca="true" t="shared" si="70" ref="D163:W163">D136/PPP_Conversion</f>
        <v>0</v>
      </c>
      <c r="E163" s="1">
        <f t="shared" si="70"/>
        <v>0</v>
      </c>
      <c r="F163" s="1">
        <f t="shared" si="70"/>
        <v>0</v>
      </c>
      <c r="G163" s="1">
        <f t="shared" si="70"/>
        <v>29145866.19142105</v>
      </c>
      <c r="H163" s="1">
        <f t="shared" si="70"/>
        <v>49400084.102430135</v>
      </c>
      <c r="I163" s="1">
        <f t="shared" si="70"/>
        <v>66742017.40529604</v>
      </c>
      <c r="J163" s="1">
        <f t="shared" si="70"/>
        <v>79968958.91342418</v>
      </c>
      <c r="K163" s="1">
        <f t="shared" si="70"/>
        <v>103068519.73013964</v>
      </c>
      <c r="L163" s="1">
        <f t="shared" si="70"/>
        <v>128235948.54257515</v>
      </c>
      <c r="M163" s="1">
        <f t="shared" si="70"/>
        <v>130350582.87802343</v>
      </c>
      <c r="N163" s="1">
        <f t="shared" si="70"/>
        <v>132527754.58417667</v>
      </c>
      <c r="O163" s="1">
        <f t="shared" si="70"/>
        <v>133881656.54948035</v>
      </c>
      <c r="P163" s="1">
        <f t="shared" si="70"/>
        <v>134315180.6849632</v>
      </c>
      <c r="Q163" s="1">
        <f t="shared" si="70"/>
        <v>135066790.15655586</v>
      </c>
      <c r="R163" s="1">
        <f t="shared" si="70"/>
        <v>135536729.03940997</v>
      </c>
      <c r="S163" s="1">
        <f t="shared" si="70"/>
        <v>136020049.90979576</v>
      </c>
      <c r="T163" s="1">
        <f t="shared" si="70"/>
        <v>136518006.7589982</v>
      </c>
      <c r="U163" s="1">
        <f t="shared" si="70"/>
        <v>137030822.78670964</v>
      </c>
      <c r="V163" s="1">
        <f t="shared" si="70"/>
        <v>137735121.81103384</v>
      </c>
      <c r="W163" s="1">
        <f t="shared" si="70"/>
        <v>138466883.91370967</v>
      </c>
    </row>
    <row r="164" spans="1:3" ht="15">
      <c r="A164" s="39" t="s">
        <v>229</v>
      </c>
      <c r="C164" s="1">
        <f>NPV(0.1,D163:W163)</f>
        <v>602403545.7243043</v>
      </c>
    </row>
    <row r="167" ht="15">
      <c r="A167" s="39" t="s">
        <v>333</v>
      </c>
    </row>
    <row r="168" spans="1:2" ht="15">
      <c r="A168" s="39" t="s">
        <v>336</v>
      </c>
      <c r="B168">
        <v>0</v>
      </c>
    </row>
    <row r="169" spans="1:2" ht="15">
      <c r="A169" s="39" t="s">
        <v>337</v>
      </c>
      <c r="B169">
        <v>0</v>
      </c>
    </row>
    <row r="170" spans="1:2" ht="15">
      <c r="A170" s="39" t="s">
        <v>334</v>
      </c>
      <c r="B170">
        <v>0</v>
      </c>
    </row>
    <row r="172" spans="1:24" ht="15">
      <c r="A172" s="39" t="s">
        <v>340</v>
      </c>
      <c r="F172" t="s">
        <v>342</v>
      </c>
      <c r="G172" s="1">
        <f>G173</f>
        <v>5000000</v>
      </c>
      <c r="H172" s="1">
        <f aca="true" t="shared" si="71" ref="H172:W172">H173</f>
        <v>6000000</v>
      </c>
      <c r="I172" s="1">
        <f t="shared" si="71"/>
        <v>7000000</v>
      </c>
      <c r="J172" s="1">
        <f t="shared" si="71"/>
        <v>8000000</v>
      </c>
      <c r="K172" s="1">
        <f t="shared" si="71"/>
        <v>9000000</v>
      </c>
      <c r="L172" s="1">
        <f t="shared" si="71"/>
        <v>10000000</v>
      </c>
      <c r="M172" s="1">
        <f t="shared" si="71"/>
        <v>10000000</v>
      </c>
      <c r="N172" s="1">
        <f t="shared" si="71"/>
        <v>10000000</v>
      </c>
      <c r="O172" s="1">
        <f t="shared" si="71"/>
        <v>10000000</v>
      </c>
      <c r="P172" s="1">
        <f t="shared" si="71"/>
        <v>10000000</v>
      </c>
      <c r="Q172" s="1">
        <f t="shared" si="71"/>
        <v>10000000</v>
      </c>
      <c r="R172" s="1">
        <f t="shared" si="71"/>
        <v>10000000</v>
      </c>
      <c r="S172" s="1">
        <f t="shared" si="71"/>
        <v>10000000</v>
      </c>
      <c r="T172" s="1">
        <f t="shared" si="71"/>
        <v>10000000</v>
      </c>
      <c r="U172" s="1">
        <f t="shared" si="71"/>
        <v>10000000</v>
      </c>
      <c r="V172" s="1">
        <f t="shared" si="71"/>
        <v>10000000</v>
      </c>
      <c r="W172" s="1">
        <f t="shared" si="71"/>
        <v>10000000</v>
      </c>
      <c r="X172" s="1"/>
    </row>
    <row r="173" spans="6:23" ht="15">
      <c r="F173" t="s">
        <v>341</v>
      </c>
      <c r="G173" s="1">
        <v>5000000</v>
      </c>
      <c r="H173" s="1">
        <v>6000000</v>
      </c>
      <c r="I173" s="1">
        <v>7000000</v>
      </c>
      <c r="J173" s="1">
        <v>8000000</v>
      </c>
      <c r="K173" s="1">
        <v>9000000</v>
      </c>
      <c r="L173" s="1">
        <v>10000000</v>
      </c>
      <c r="M173" s="1">
        <v>10000000</v>
      </c>
      <c r="N173" s="1">
        <v>10000000</v>
      </c>
      <c r="O173" s="1">
        <v>10000000</v>
      </c>
      <c r="P173" s="1">
        <v>10000000</v>
      </c>
      <c r="Q173" s="1">
        <v>10000000</v>
      </c>
      <c r="R173" s="1">
        <v>10000000</v>
      </c>
      <c r="S173" s="1">
        <v>10000000</v>
      </c>
      <c r="T173" s="1">
        <v>10000000</v>
      </c>
      <c r="U173" s="1">
        <v>10000000</v>
      </c>
      <c r="V173" s="1">
        <v>10000000</v>
      </c>
      <c r="W173" s="1">
        <v>10000000</v>
      </c>
    </row>
    <row r="174" spans="7:13" ht="15">
      <c r="G174">
        <v>1</v>
      </c>
      <c r="H174">
        <v>2</v>
      </c>
      <c r="I174">
        <v>3</v>
      </c>
      <c r="J174">
        <v>4</v>
      </c>
      <c r="K174">
        <v>5</v>
      </c>
      <c r="L174">
        <v>6</v>
      </c>
      <c r="M174">
        <v>7</v>
      </c>
    </row>
    <row r="175" spans="1:23" ht="15">
      <c r="A175" t="s">
        <v>71</v>
      </c>
      <c r="F175" t="s">
        <v>342</v>
      </c>
      <c r="G175" s="2">
        <f>G176</f>
        <v>0.1</v>
      </c>
      <c r="H175" s="2">
        <f aca="true" t="shared" si="72" ref="H175:W175">H176</f>
        <v>0.2</v>
      </c>
      <c r="I175" s="2">
        <f t="shared" si="72"/>
        <v>0.33</v>
      </c>
      <c r="J175" s="2">
        <f t="shared" si="72"/>
        <v>0.5</v>
      </c>
      <c r="K175" s="2">
        <f t="shared" si="72"/>
        <v>0.75</v>
      </c>
      <c r="L175" s="2">
        <f t="shared" si="72"/>
        <v>1</v>
      </c>
      <c r="M175" s="2">
        <f t="shared" si="72"/>
        <v>1</v>
      </c>
      <c r="N175" s="2">
        <f t="shared" si="72"/>
        <v>1</v>
      </c>
      <c r="O175" s="2">
        <f t="shared" si="72"/>
        <v>1</v>
      </c>
      <c r="P175" s="2">
        <f t="shared" si="72"/>
        <v>1</v>
      </c>
      <c r="Q175" s="2">
        <f t="shared" si="72"/>
        <v>1</v>
      </c>
      <c r="R175" s="2">
        <f t="shared" si="72"/>
        <v>1</v>
      </c>
      <c r="S175" s="2">
        <f t="shared" si="72"/>
        <v>1</v>
      </c>
      <c r="T175" s="2">
        <f t="shared" si="72"/>
        <v>1</v>
      </c>
      <c r="U175" s="2">
        <f t="shared" si="72"/>
        <v>1</v>
      </c>
      <c r="V175" s="2">
        <f t="shared" si="72"/>
        <v>1</v>
      </c>
      <c r="W175" s="2">
        <f t="shared" si="72"/>
        <v>1</v>
      </c>
    </row>
    <row r="176" spans="6:23" ht="15">
      <c r="F176" t="s">
        <v>341</v>
      </c>
      <c r="G176" s="2">
        <v>0.1</v>
      </c>
      <c r="H176" s="2">
        <v>0.2</v>
      </c>
      <c r="I176" s="2">
        <v>0.33</v>
      </c>
      <c r="J176" s="2">
        <v>0.5</v>
      </c>
      <c r="K176" s="2">
        <v>0.75</v>
      </c>
      <c r="L176" s="2">
        <v>1</v>
      </c>
      <c r="M176" s="2">
        <v>1</v>
      </c>
      <c r="N176" s="2">
        <v>1</v>
      </c>
      <c r="O176" s="2">
        <v>1</v>
      </c>
      <c r="P176" s="2">
        <v>1</v>
      </c>
      <c r="Q176" s="2">
        <v>1</v>
      </c>
      <c r="R176" s="2">
        <v>1</v>
      </c>
      <c r="S176" s="2">
        <v>1</v>
      </c>
      <c r="T176" s="2">
        <v>1</v>
      </c>
      <c r="U176" s="2">
        <v>1</v>
      </c>
      <c r="V176" s="2">
        <v>1</v>
      </c>
      <c r="W176" s="2">
        <v>1</v>
      </c>
    </row>
    <row r="177" spans="7:23" ht="15">
      <c r="G177" s="2">
        <v>0.1</v>
      </c>
      <c r="H177" s="2">
        <v>0.2</v>
      </c>
      <c r="I177" s="2">
        <v>0.3</v>
      </c>
      <c r="J177" s="2">
        <v>0.4</v>
      </c>
      <c r="K177" s="2">
        <v>0.5</v>
      </c>
      <c r="L177" s="2">
        <v>0.6</v>
      </c>
      <c r="M177" s="2">
        <v>0.7</v>
      </c>
      <c r="N177" s="2">
        <v>0.8</v>
      </c>
      <c r="O177" s="2">
        <v>0.9</v>
      </c>
      <c r="P177" s="2">
        <v>1</v>
      </c>
      <c r="Q177" s="2">
        <f aca="true" t="shared" si="73" ref="Q177:W177">P177</f>
        <v>1</v>
      </c>
      <c r="R177" s="2">
        <f t="shared" si="73"/>
        <v>1</v>
      </c>
      <c r="S177" s="2">
        <f t="shared" si="73"/>
        <v>1</v>
      </c>
      <c r="T177" s="2">
        <f t="shared" si="73"/>
        <v>1</v>
      </c>
      <c r="U177" s="2">
        <f t="shared" si="73"/>
        <v>1</v>
      </c>
      <c r="V177" s="2">
        <f t="shared" si="73"/>
        <v>1</v>
      </c>
      <c r="W177" s="2">
        <f t="shared" si="73"/>
        <v>1</v>
      </c>
    </row>
    <row r="178" spans="2:23" ht="15">
      <c r="B178" s="20" t="s">
        <v>30</v>
      </c>
      <c r="C178" s="5">
        <v>0</v>
      </c>
      <c r="D178" s="5">
        <v>1</v>
      </c>
      <c r="E178" s="5">
        <v>2</v>
      </c>
      <c r="F178" s="5">
        <v>3</v>
      </c>
      <c r="G178" s="5">
        <v>4</v>
      </c>
      <c r="H178" s="5">
        <v>5</v>
      </c>
      <c r="I178" s="5">
        <v>6</v>
      </c>
      <c r="J178" s="5">
        <v>7</v>
      </c>
      <c r="K178" s="5">
        <v>8</v>
      </c>
      <c r="L178" s="5">
        <v>9</v>
      </c>
      <c r="M178" s="5">
        <v>10</v>
      </c>
      <c r="N178" s="5">
        <v>11</v>
      </c>
      <c r="O178" s="5">
        <v>12</v>
      </c>
      <c r="P178" s="5">
        <v>13</v>
      </c>
      <c r="Q178" s="5">
        <v>14</v>
      </c>
      <c r="R178" s="5">
        <v>15</v>
      </c>
      <c r="S178" s="5">
        <v>16</v>
      </c>
      <c r="T178" s="5">
        <v>17</v>
      </c>
      <c r="U178" s="5">
        <v>18</v>
      </c>
      <c r="V178" s="5">
        <v>19</v>
      </c>
      <c r="W178" s="5">
        <v>20</v>
      </c>
    </row>
    <row r="179" spans="1:23" ht="15">
      <c r="A179" t="s">
        <v>344</v>
      </c>
      <c r="B179" s="20" t="s">
        <v>8</v>
      </c>
      <c r="C179" s="24">
        <v>2010</v>
      </c>
      <c r="D179" s="24">
        <v>2011</v>
      </c>
      <c r="E179" s="24">
        <v>2012</v>
      </c>
      <c r="F179" s="24">
        <v>2013</v>
      </c>
      <c r="G179" s="24">
        <v>2014</v>
      </c>
      <c r="H179" s="24">
        <v>2015</v>
      </c>
      <c r="I179" s="24">
        <v>2016</v>
      </c>
      <c r="J179" s="24">
        <v>2017</v>
      </c>
      <c r="K179" s="24">
        <v>2018</v>
      </c>
      <c r="L179" s="24">
        <v>2019</v>
      </c>
      <c r="M179" s="24">
        <v>2020</v>
      </c>
      <c r="N179" s="24">
        <v>2021</v>
      </c>
      <c r="O179" s="24">
        <v>2022</v>
      </c>
      <c r="P179" s="24">
        <v>2023</v>
      </c>
      <c r="Q179" s="24">
        <v>2024</v>
      </c>
      <c r="R179" s="24">
        <v>2025</v>
      </c>
      <c r="S179" s="24">
        <v>2026</v>
      </c>
      <c r="T179" s="24">
        <v>2027</v>
      </c>
      <c r="U179" s="24">
        <v>2028</v>
      </c>
      <c r="V179" s="24">
        <v>2029</v>
      </c>
      <c r="W179" s="24">
        <v>2030</v>
      </c>
    </row>
    <row r="180" spans="1:23" ht="15">
      <c r="A180" t="s">
        <v>343</v>
      </c>
      <c r="E180" s="1">
        <f>D136</f>
        <v>0</v>
      </c>
      <c r="F180" s="1">
        <f aca="true" t="shared" si="74" ref="F180:W180">E136</f>
        <v>0</v>
      </c>
      <c r="G180" s="1">
        <f t="shared" si="74"/>
        <v>0</v>
      </c>
      <c r="H180" s="1">
        <f t="shared" si="74"/>
        <v>14368912.032370578</v>
      </c>
      <c r="I180" s="1">
        <f t="shared" si="74"/>
        <v>24354241.462498058</v>
      </c>
      <c r="J180" s="1">
        <f t="shared" si="74"/>
        <v>32903814.58081095</v>
      </c>
      <c r="K180" s="1">
        <f t="shared" si="74"/>
        <v>39424696.74431812</v>
      </c>
      <c r="L180" s="1">
        <f t="shared" si="74"/>
        <v>50812780.22695884</v>
      </c>
      <c r="M180" s="1">
        <f t="shared" si="74"/>
        <v>63220322.631489545</v>
      </c>
      <c r="N180" s="1">
        <f t="shared" si="74"/>
        <v>64262837.35886555</v>
      </c>
      <c r="O180" s="1">
        <f t="shared" si="74"/>
        <v>65336183.0099991</v>
      </c>
      <c r="P180" s="1">
        <f t="shared" si="74"/>
        <v>66003656.67889381</v>
      </c>
      <c r="Q180" s="1">
        <f t="shared" si="74"/>
        <v>66217384.07768685</v>
      </c>
      <c r="R180" s="1">
        <f t="shared" si="74"/>
        <v>66587927.54718204</v>
      </c>
      <c r="S180" s="1">
        <f t="shared" si="74"/>
        <v>66819607.41642912</v>
      </c>
      <c r="T180" s="1">
        <f t="shared" si="74"/>
        <v>67057884.605529316</v>
      </c>
      <c r="U180" s="1">
        <f t="shared" si="74"/>
        <v>67303377.3321861</v>
      </c>
      <c r="V180" s="1">
        <f t="shared" si="74"/>
        <v>67556195.63384785</v>
      </c>
      <c r="W180" s="1">
        <f t="shared" si="74"/>
        <v>67903415.05283968</v>
      </c>
    </row>
    <row r="181" spans="1:23" ht="15">
      <c r="A181" t="s">
        <v>345</v>
      </c>
      <c r="C181" s="5"/>
      <c r="D181" s="25">
        <f>D135</f>
        <v>37746458.541458555</v>
      </c>
      <c r="E181" s="25">
        <f aca="true" t="shared" si="75" ref="E181:W181">E135</f>
        <v>44127202.79720281</v>
      </c>
      <c r="F181" s="25">
        <f t="shared" si="75"/>
        <v>82504664.62109321</v>
      </c>
      <c r="G181" s="25">
        <f t="shared" si="75"/>
        <v>27389989.092584066</v>
      </c>
      <c r="H181" s="25">
        <f t="shared" si="75"/>
        <v>8365936.962497735</v>
      </c>
      <c r="I181" s="25">
        <f t="shared" si="75"/>
        <v>6284018.730460858</v>
      </c>
      <c r="J181" s="25">
        <f t="shared" si="75"/>
        <v>6378517.052340858</v>
      </c>
      <c r="K181" s="25">
        <f t="shared" si="75"/>
        <v>6475848.218717855</v>
      </c>
      <c r="L181" s="25">
        <f t="shared" si="75"/>
        <v>6616691.600406858</v>
      </c>
      <c r="M181" s="25">
        <f t="shared" si="75"/>
        <v>6721170.103416856</v>
      </c>
      <c r="N181" s="25">
        <f t="shared" si="75"/>
        <v>6828782.534094858</v>
      </c>
      <c r="O181" s="25">
        <f t="shared" si="75"/>
        <v>6939623.153544856</v>
      </c>
      <c r="P181" s="25">
        <f t="shared" si="75"/>
        <v>7053786.633714855</v>
      </c>
      <c r="Q181" s="25">
        <f t="shared" si="75"/>
        <v>7265490.136765858</v>
      </c>
      <c r="R181" s="25">
        <f t="shared" si="75"/>
        <v>253103715.29098257</v>
      </c>
      <c r="S181" s="25">
        <f t="shared" si="75"/>
        <v>7517089.120644858</v>
      </c>
      <c r="T181" s="25">
        <f t="shared" si="75"/>
        <v>7648577.203028858</v>
      </c>
      <c r="U181" s="25">
        <f t="shared" si="75"/>
        <v>7784011.208505854</v>
      </c>
      <c r="V181" s="25">
        <f t="shared" si="75"/>
        <v>7978059.54424586</v>
      </c>
      <c r="W181" s="25">
        <f t="shared" si="75"/>
        <v>8180534.617027858</v>
      </c>
    </row>
    <row r="182" spans="4:23" ht="15">
      <c r="D182" s="1">
        <f>D180-D181</f>
        <v>-37746458.541458555</v>
      </c>
      <c r="E182" s="1">
        <f aca="true" t="shared" si="76" ref="E182:W182">E180-E181</f>
        <v>-44127202.79720281</v>
      </c>
      <c r="F182" s="1">
        <f t="shared" si="76"/>
        <v>-82504664.62109321</v>
      </c>
      <c r="G182" s="1">
        <f t="shared" si="76"/>
        <v>-27389989.092584066</v>
      </c>
      <c r="H182" s="1">
        <f t="shared" si="76"/>
        <v>6002975.069872843</v>
      </c>
      <c r="I182" s="1">
        <f t="shared" si="76"/>
        <v>18070222.7320372</v>
      </c>
      <c r="J182" s="1">
        <f t="shared" si="76"/>
        <v>26525297.52847009</v>
      </c>
      <c r="K182" s="1">
        <f t="shared" si="76"/>
        <v>32948848.525600266</v>
      </c>
      <c r="L182" s="1">
        <f t="shared" si="76"/>
        <v>44196088.626551986</v>
      </c>
      <c r="M182" s="1">
        <f t="shared" si="76"/>
        <v>56499152.528072685</v>
      </c>
      <c r="N182" s="1">
        <f t="shared" si="76"/>
        <v>57434054.8247707</v>
      </c>
      <c r="O182" s="1">
        <f t="shared" si="76"/>
        <v>58396559.85645424</v>
      </c>
      <c r="P182" s="1">
        <f t="shared" si="76"/>
        <v>58949870.04517896</v>
      </c>
      <c r="Q182" s="1">
        <f t="shared" si="76"/>
        <v>58951893.94092099</v>
      </c>
      <c r="R182" s="1">
        <f t="shared" si="76"/>
        <v>-186515787.74380052</v>
      </c>
      <c r="S182" s="1">
        <f t="shared" si="76"/>
        <v>59302518.29578426</v>
      </c>
      <c r="T182" s="1">
        <f t="shared" si="76"/>
        <v>59409307.40250046</v>
      </c>
      <c r="U182" s="1">
        <f t="shared" si="76"/>
        <v>59519366.12368025</v>
      </c>
      <c r="V182" s="1">
        <f t="shared" si="76"/>
        <v>59578136.089601986</v>
      </c>
      <c r="W182" s="1">
        <f t="shared" si="76"/>
        <v>59722880.435811825</v>
      </c>
    </row>
    <row r="183" ht="15">
      <c r="C183" s="146">
        <f>IRR(D182:W182,0.1)</f>
        <v>0.11001896773551878</v>
      </c>
    </row>
    <row r="184" spans="1:23" ht="15">
      <c r="A184" s="39" t="s">
        <v>228</v>
      </c>
      <c r="D184" s="1">
        <f aca="true" t="shared" si="77" ref="D184:W184">D180/PPP_Conversion</f>
        <v>0</v>
      </c>
      <c r="E184" s="1">
        <f t="shared" si="77"/>
        <v>0</v>
      </c>
      <c r="F184" s="1">
        <f t="shared" si="77"/>
        <v>0</v>
      </c>
      <c r="G184" s="1">
        <f t="shared" si="77"/>
        <v>0</v>
      </c>
      <c r="H184" s="1">
        <f t="shared" si="77"/>
        <v>29145866.19142105</v>
      </c>
      <c r="I184" s="1">
        <f t="shared" si="77"/>
        <v>49400084.102430135</v>
      </c>
      <c r="J184" s="1">
        <f t="shared" si="77"/>
        <v>66742017.40529604</v>
      </c>
      <c r="K184" s="1">
        <f t="shared" si="77"/>
        <v>79968958.91342418</v>
      </c>
      <c r="L184" s="1">
        <f t="shared" si="77"/>
        <v>103068519.73013964</v>
      </c>
      <c r="M184" s="1">
        <f t="shared" si="77"/>
        <v>128235948.54257515</v>
      </c>
      <c r="N184" s="1">
        <f t="shared" si="77"/>
        <v>130350582.87802343</v>
      </c>
      <c r="O184" s="1">
        <f t="shared" si="77"/>
        <v>132527754.58417667</v>
      </c>
      <c r="P184" s="1">
        <f t="shared" si="77"/>
        <v>133881656.54948035</v>
      </c>
      <c r="Q184" s="1">
        <f t="shared" si="77"/>
        <v>134315180.6849632</v>
      </c>
      <c r="R184" s="1">
        <f t="shared" si="77"/>
        <v>135066790.15655586</v>
      </c>
      <c r="S184" s="1">
        <f t="shared" si="77"/>
        <v>135536729.03940997</v>
      </c>
      <c r="T184" s="1">
        <f t="shared" si="77"/>
        <v>136020049.90979576</v>
      </c>
      <c r="U184" s="1">
        <f t="shared" si="77"/>
        <v>136518006.7589982</v>
      </c>
      <c r="V184" s="1">
        <f t="shared" si="77"/>
        <v>137030822.78670964</v>
      </c>
      <c r="W184" s="1">
        <f t="shared" si="77"/>
        <v>137735121.81103384</v>
      </c>
    </row>
    <row r="185" spans="1:3" ht="15">
      <c r="A185" s="39" t="s">
        <v>229</v>
      </c>
      <c r="C185" s="1">
        <f>NPV(0.1,D184:W184)</f>
        <v>528928477.9437935</v>
      </c>
    </row>
  </sheetData>
  <sheetProtection/>
  <mergeCells count="2">
    <mergeCell ref="A2:E3"/>
    <mergeCell ref="A1:E1"/>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sheetPr codeName="Sheet5"/>
  <dimension ref="A1:X60"/>
  <sheetViews>
    <sheetView zoomScale="80" zoomScaleNormal="80" zoomScalePageLayoutView="0" workbookViewId="0" topLeftCell="A1">
      <selection activeCell="A1" sqref="A1:G1"/>
    </sheetView>
  </sheetViews>
  <sheetFormatPr defaultColWidth="9.140625" defaultRowHeight="15"/>
  <cols>
    <col min="1" max="1" width="42.140625" style="0" customWidth="1"/>
    <col min="2" max="2" width="15.57421875" style="0" bestFit="1" customWidth="1"/>
    <col min="3" max="3" width="9.57421875" style="0" bestFit="1" customWidth="1"/>
    <col min="4" max="4" width="9.8515625" style="0" customWidth="1"/>
    <col min="5" max="5" width="29.140625" style="0" customWidth="1"/>
    <col min="9" max="9" width="10.00390625" style="0" bestFit="1" customWidth="1"/>
  </cols>
  <sheetData>
    <row r="1" spans="1:7" ht="18">
      <c r="A1" s="328" t="s">
        <v>399</v>
      </c>
      <c r="B1" s="328"/>
      <c r="C1" s="328"/>
      <c r="D1" s="328"/>
      <c r="E1" s="328"/>
      <c r="F1" s="328"/>
      <c r="G1" s="328"/>
    </row>
    <row r="2" spans="1:7" ht="15" customHeight="1">
      <c r="A2" s="329" t="s">
        <v>422</v>
      </c>
      <c r="B2" s="329"/>
      <c r="C2" s="329"/>
      <c r="D2" s="329"/>
      <c r="E2" s="329"/>
      <c r="F2" s="329"/>
      <c r="G2" s="329"/>
    </row>
    <row r="3" spans="1:7" ht="30" customHeight="1">
      <c r="A3" s="329"/>
      <c r="B3" s="329"/>
      <c r="C3" s="329"/>
      <c r="D3" s="329"/>
      <c r="E3" s="329"/>
      <c r="F3" s="329"/>
      <c r="G3" s="329"/>
    </row>
    <row r="4" spans="1:7" ht="26.25" customHeight="1">
      <c r="A4" s="218">
        <f>IF('ERR &amp; Sensitivity Analysis'!$I$15="N","Note: Current calculations are based on user input and are not the original MCC estimates.",IF('ERR &amp; Sensitivity Analysis'!$I$19="N","Note: Current calculations are based on user input and are not the original MCC estimates.",0))</f>
        <v>0</v>
      </c>
      <c r="B4" s="185"/>
      <c r="C4" s="185"/>
      <c r="D4" s="185"/>
      <c r="G4" s="186" t="str">
        <f>'User Guide'!B1</f>
        <v>LAST UPDATED: 1/10/2011</v>
      </c>
    </row>
    <row r="5" spans="2:23" ht="15">
      <c r="B5" s="20" t="s">
        <v>30</v>
      </c>
      <c r="C5" s="5">
        <v>0</v>
      </c>
      <c r="D5" s="5">
        <v>1</v>
      </c>
      <c r="E5" s="5">
        <v>2</v>
      </c>
      <c r="F5" s="5">
        <v>3</v>
      </c>
      <c r="G5" s="5">
        <v>4</v>
      </c>
      <c r="H5" s="5">
        <v>5</v>
      </c>
      <c r="I5" s="5">
        <v>6</v>
      </c>
      <c r="J5" s="5">
        <v>7</v>
      </c>
      <c r="K5" s="5">
        <v>8</v>
      </c>
      <c r="L5" s="5">
        <v>9</v>
      </c>
      <c r="M5" s="5">
        <v>10</v>
      </c>
      <c r="N5" s="5">
        <v>11</v>
      </c>
      <c r="O5" s="5">
        <v>12</v>
      </c>
      <c r="P5" s="5">
        <v>13</v>
      </c>
      <c r="Q5" s="5">
        <v>14</v>
      </c>
      <c r="R5" s="5">
        <v>15</v>
      </c>
      <c r="S5" s="5">
        <v>16</v>
      </c>
      <c r="T5" s="5">
        <v>17</v>
      </c>
      <c r="U5" s="5">
        <v>18</v>
      </c>
      <c r="V5" s="5">
        <v>19</v>
      </c>
      <c r="W5" s="5">
        <v>20</v>
      </c>
    </row>
    <row r="6" spans="1:23" ht="15">
      <c r="A6" t="s">
        <v>135</v>
      </c>
      <c r="B6" s="20" t="s">
        <v>8</v>
      </c>
      <c r="C6" s="24">
        <v>2010</v>
      </c>
      <c r="D6" s="24">
        <v>2011</v>
      </c>
      <c r="E6" s="24">
        <v>2012</v>
      </c>
      <c r="F6" s="24">
        <v>2013</v>
      </c>
      <c r="G6" s="24">
        <v>2014</v>
      </c>
      <c r="H6" s="24">
        <v>2015</v>
      </c>
      <c r="I6" s="24">
        <v>2016</v>
      </c>
      <c r="J6" s="24">
        <v>2017</v>
      </c>
      <c r="K6" s="24">
        <v>2018</v>
      </c>
      <c r="L6" s="24">
        <v>2019</v>
      </c>
      <c r="M6" s="24">
        <v>2020</v>
      </c>
      <c r="N6" s="24">
        <v>2021</v>
      </c>
      <c r="O6" s="24">
        <v>2022</v>
      </c>
      <c r="P6" s="24">
        <v>2023</v>
      </c>
      <c r="Q6" s="24">
        <v>2024</v>
      </c>
      <c r="R6" s="24">
        <v>2025</v>
      </c>
      <c r="S6" s="24">
        <v>2026</v>
      </c>
      <c r="T6" s="24">
        <v>2027</v>
      </c>
      <c r="U6" s="24">
        <v>2028</v>
      </c>
      <c r="V6" s="24">
        <v>2029</v>
      </c>
      <c r="W6" s="24">
        <v>2030</v>
      </c>
    </row>
    <row r="7" ht="15">
      <c r="A7" s="22" t="s">
        <v>134</v>
      </c>
    </row>
    <row r="8" ht="15">
      <c r="A8" t="s">
        <v>143</v>
      </c>
    </row>
    <row r="9" ht="15">
      <c r="A9" t="s">
        <v>147</v>
      </c>
    </row>
    <row r="10" spans="1:23" ht="15">
      <c r="A10" t="s">
        <v>148</v>
      </c>
      <c r="C10" s="1">
        <f>'P3_Streams'!C36*Pump_Cost_Zarqa</f>
        <v>540000</v>
      </c>
      <c r="D10" s="1">
        <f>'P3_Streams'!D36*Pump_Cost_Zarqa</f>
        <v>577150.5466560001</v>
      </c>
      <c r="E10" s="1">
        <f>'P3_Streams'!E36*Pump_Cost_Zarqa</f>
        <v>594465.053408</v>
      </c>
      <c r="F10" s="1">
        <f>'P3_Streams'!F36*Pump_Cost_Zarqa</f>
        <v>612298.798356</v>
      </c>
      <c r="G10" s="1">
        <f>'P3_Streams'!G36*Pump_Cost_Zarqa</f>
        <v>620500</v>
      </c>
      <c r="H10" s="1">
        <f>'P3_Streams'!H36*Pump_Cost_Zarqa</f>
        <v>620500</v>
      </c>
      <c r="I10" s="1">
        <f>'P3_Streams'!I36*Pump_Cost_Zarqa</f>
        <v>620500</v>
      </c>
      <c r="J10" s="1">
        <f>'P3_Streams'!J36*Pump_Cost_Zarqa</f>
        <v>620500</v>
      </c>
      <c r="K10" s="1">
        <f>'P3_Streams'!K36*Pump_Cost_Zarqa</f>
        <v>620500</v>
      </c>
      <c r="L10" s="1">
        <f>'P3_Streams'!L36*Pump_Cost_Zarqa</f>
        <v>620500</v>
      </c>
      <c r="M10" s="1">
        <f>'P3_Streams'!M36*Pump_Cost_Zarqa</f>
        <v>620500</v>
      </c>
      <c r="N10" s="1">
        <f>'P3_Streams'!N36*Pump_Cost_Zarqa</f>
        <v>620500</v>
      </c>
      <c r="O10" s="1">
        <f>'P3_Streams'!O36*Pump_Cost_Zarqa</f>
        <v>620500</v>
      </c>
      <c r="P10" s="1">
        <f>'P3_Streams'!P36*Pump_Cost_Zarqa</f>
        <v>620500</v>
      </c>
      <c r="Q10" s="1">
        <f>'P3_Streams'!Q36*Pump_Cost_Zarqa</f>
        <v>620500</v>
      </c>
      <c r="R10" s="1">
        <f>'P3_Streams'!R36*Pump_Cost_Zarqa</f>
        <v>620500</v>
      </c>
      <c r="S10" s="1">
        <f>'P3_Streams'!S36*Pump_Cost_Zarqa</f>
        <v>620500</v>
      </c>
      <c r="T10" s="1">
        <f>'P3_Streams'!T36*Pump_Cost_Zarqa</f>
        <v>620500</v>
      </c>
      <c r="U10" s="1">
        <f>'P3_Streams'!U36*Pump_Cost_Zarqa</f>
        <v>620500</v>
      </c>
      <c r="V10" s="1">
        <f>'P3_Streams'!V36*Pump_Cost_Zarqa</f>
        <v>620500</v>
      </c>
      <c r="W10" s="1">
        <f>'P3_Streams'!W36*Pump_Cost_Zarqa</f>
        <v>620500</v>
      </c>
    </row>
    <row r="11" spans="1:23" ht="15">
      <c r="A11" t="s">
        <v>149</v>
      </c>
      <c r="C11" s="5"/>
      <c r="D11" s="5"/>
      <c r="E11" s="5"/>
      <c r="F11" s="5"/>
      <c r="G11" s="25">
        <v>1000000</v>
      </c>
      <c r="H11" s="25">
        <v>1000000</v>
      </c>
      <c r="I11" s="25">
        <v>1000000</v>
      </c>
      <c r="J11" s="25">
        <v>1000000</v>
      </c>
      <c r="K11" s="25">
        <v>1000000</v>
      </c>
      <c r="L11" s="25">
        <v>1000000</v>
      </c>
      <c r="M11" s="25">
        <v>1000000</v>
      </c>
      <c r="N11" s="25">
        <v>1000000</v>
      </c>
      <c r="O11" s="25">
        <v>1000000</v>
      </c>
      <c r="P11" s="25">
        <v>1000000</v>
      </c>
      <c r="Q11" s="25">
        <v>1000000</v>
      </c>
      <c r="R11" s="25">
        <v>1000000</v>
      </c>
      <c r="S11" s="25">
        <v>1000000</v>
      </c>
      <c r="T11" s="25">
        <v>1000000</v>
      </c>
      <c r="U11" s="25">
        <v>1000000</v>
      </c>
      <c r="V11" s="25">
        <v>1000000</v>
      </c>
      <c r="W11" s="25">
        <v>1000000</v>
      </c>
    </row>
    <row r="12" spans="1:23" ht="15.75" thickBot="1">
      <c r="A12" t="s">
        <v>150</v>
      </c>
      <c r="C12" s="23">
        <f>C10+C11</f>
        <v>540000</v>
      </c>
      <c r="D12" s="23">
        <f aca="true" t="shared" si="0" ref="D12:W12">D10+D11</f>
        <v>577150.5466560001</v>
      </c>
      <c r="E12" s="23">
        <f t="shared" si="0"/>
        <v>594465.053408</v>
      </c>
      <c r="F12" s="23">
        <f t="shared" si="0"/>
        <v>612298.798356</v>
      </c>
      <c r="G12" s="23">
        <f t="shared" si="0"/>
        <v>1620500</v>
      </c>
      <c r="H12" s="23">
        <f t="shared" si="0"/>
        <v>1620500</v>
      </c>
      <c r="I12" s="23">
        <f t="shared" si="0"/>
        <v>1620500</v>
      </c>
      <c r="J12" s="23">
        <f t="shared" si="0"/>
        <v>1620500</v>
      </c>
      <c r="K12" s="23">
        <f t="shared" si="0"/>
        <v>1620500</v>
      </c>
      <c r="L12" s="23">
        <f t="shared" si="0"/>
        <v>1620500</v>
      </c>
      <c r="M12" s="23">
        <f t="shared" si="0"/>
        <v>1620500</v>
      </c>
      <c r="N12" s="23">
        <f t="shared" si="0"/>
        <v>1620500</v>
      </c>
      <c r="O12" s="23">
        <f t="shared" si="0"/>
        <v>1620500</v>
      </c>
      <c r="P12" s="23">
        <f t="shared" si="0"/>
        <v>1620500</v>
      </c>
      <c r="Q12" s="23">
        <f t="shared" si="0"/>
        <v>1620500</v>
      </c>
      <c r="R12" s="23">
        <f t="shared" si="0"/>
        <v>1620500</v>
      </c>
      <c r="S12" s="23">
        <f t="shared" si="0"/>
        <v>1620500</v>
      </c>
      <c r="T12" s="23">
        <f t="shared" si="0"/>
        <v>1620500</v>
      </c>
      <c r="U12" s="23">
        <f t="shared" si="0"/>
        <v>1620500</v>
      </c>
      <c r="V12" s="23">
        <f t="shared" si="0"/>
        <v>1620500</v>
      </c>
      <c r="W12" s="23">
        <f t="shared" si="0"/>
        <v>1620500</v>
      </c>
    </row>
    <row r="13" spans="1:23" ht="15.75" thickTop="1">
      <c r="A13" t="s">
        <v>144</v>
      </c>
      <c r="C13" s="1">
        <f>C8+C12</f>
        <v>540000</v>
      </c>
      <c r="D13" s="1">
        <f aca="true" t="shared" si="1" ref="D13:W13">D8+D12</f>
        <v>577150.5466560001</v>
      </c>
      <c r="E13" s="1">
        <f t="shared" si="1"/>
        <v>594465.053408</v>
      </c>
      <c r="F13" s="1">
        <f t="shared" si="1"/>
        <v>612298.798356</v>
      </c>
      <c r="G13" s="1">
        <f t="shared" si="1"/>
        <v>1620500</v>
      </c>
      <c r="H13" s="1">
        <f t="shared" si="1"/>
        <v>1620500</v>
      </c>
      <c r="I13" s="1">
        <f t="shared" si="1"/>
        <v>1620500</v>
      </c>
      <c r="J13" s="1">
        <f t="shared" si="1"/>
        <v>1620500</v>
      </c>
      <c r="K13" s="1">
        <f t="shared" si="1"/>
        <v>1620500</v>
      </c>
      <c r="L13" s="1">
        <f t="shared" si="1"/>
        <v>1620500</v>
      </c>
      <c r="M13" s="1">
        <f t="shared" si="1"/>
        <v>1620500</v>
      </c>
      <c r="N13" s="1">
        <f t="shared" si="1"/>
        <v>1620500</v>
      </c>
      <c r="O13" s="1">
        <f t="shared" si="1"/>
        <v>1620500</v>
      </c>
      <c r="P13" s="1">
        <f t="shared" si="1"/>
        <v>1620500</v>
      </c>
      <c r="Q13" s="1">
        <f t="shared" si="1"/>
        <v>1620500</v>
      </c>
      <c r="R13" s="1">
        <f t="shared" si="1"/>
        <v>1620500</v>
      </c>
      <c r="S13" s="1">
        <f t="shared" si="1"/>
        <v>1620500</v>
      </c>
      <c r="T13" s="1">
        <f t="shared" si="1"/>
        <v>1620500</v>
      </c>
      <c r="U13" s="1">
        <f t="shared" si="1"/>
        <v>1620500</v>
      </c>
      <c r="V13" s="1">
        <f t="shared" si="1"/>
        <v>1620500</v>
      </c>
      <c r="W13" s="1">
        <f t="shared" si="1"/>
        <v>1620500</v>
      </c>
    </row>
    <row r="14" spans="4:8" ht="15">
      <c r="D14" s="192"/>
      <c r="E14" s="192"/>
      <c r="F14" s="192"/>
      <c r="G14" s="192"/>
      <c r="H14" s="192"/>
    </row>
    <row r="15" spans="1:8" ht="15">
      <c r="A15" s="22" t="s">
        <v>142</v>
      </c>
      <c r="B15" t="s">
        <v>338</v>
      </c>
      <c r="D15" s="192">
        <v>0.14</v>
      </c>
      <c r="E15" s="192">
        <v>0.28</v>
      </c>
      <c r="F15" s="192">
        <v>0.34</v>
      </c>
      <c r="G15" s="192">
        <v>0.19</v>
      </c>
      <c r="H15" s="192">
        <v>0.05</v>
      </c>
    </row>
    <row r="16" spans="1:8" ht="15">
      <c r="A16" t="s">
        <v>143</v>
      </c>
      <c r="D16" s="192"/>
      <c r="E16" s="192"/>
      <c r="F16" s="192"/>
      <c r="G16" s="192"/>
      <c r="H16" s="192"/>
    </row>
    <row r="17" spans="1:8" ht="15">
      <c r="A17" t="s">
        <v>321</v>
      </c>
      <c r="D17" s="1">
        <f>('P3_Streams'!$B145+'P3_Streams'!$B156)/exrate*(1.25/1.4)*D15</f>
        <v>5982142.857142858</v>
      </c>
      <c r="E17" s="1">
        <f>('P3_Streams'!$B145+'P3_Streams'!$B156)/exrate*(1.25/1.4)*E15</f>
        <v>11964285.714285716</v>
      </c>
      <c r="F17" s="1">
        <f>('P3_Streams'!$B145+'P3_Streams'!$B156)/exrate*(1.25/1.4)*F15</f>
        <v>14528061.224489799</v>
      </c>
      <c r="G17" s="1">
        <f>('P3_Streams'!$B145+'P3_Streams'!$B156)/exrate*(1.25/1.4)*G15</f>
        <v>8118622.448979593</v>
      </c>
      <c r="H17" s="1">
        <f>('P3_Streams'!$B145+'P3_Streams'!$B156)/exrate*(1.25/1.4)*H15</f>
        <v>2136479.591836735</v>
      </c>
    </row>
    <row r="18" spans="1:8" ht="15">
      <c r="A18" t="s">
        <v>322</v>
      </c>
      <c r="D18" s="25">
        <f>'P3_Streams'!$B150/exrate*D15</f>
        <v>398601.39860139904</v>
      </c>
      <c r="E18" s="25">
        <f>'P3_Streams'!$B150/exrate*E15</f>
        <v>797202.7972027981</v>
      </c>
      <c r="F18" s="25">
        <f>'P3_Streams'!$B150/exrate*F15</f>
        <v>968031.9680319692</v>
      </c>
      <c r="G18" s="25">
        <f>'P3_Streams'!$B150/exrate*G15</f>
        <v>540959.0409590416</v>
      </c>
      <c r="H18" s="25">
        <f>'P3_Streams'!$B150/exrate*H15</f>
        <v>142357.6423576425</v>
      </c>
    </row>
    <row r="19" spans="1:8" ht="15">
      <c r="A19" t="s">
        <v>323</v>
      </c>
      <c r="D19" s="1">
        <f>D17+D18</f>
        <v>6380744.255744257</v>
      </c>
      <c r="E19" s="1">
        <f>E17+E18</f>
        <v>12761488.511488514</v>
      </c>
      <c r="F19" s="1">
        <f>F17+F18</f>
        <v>15496093.192521768</v>
      </c>
      <c r="G19" s="1">
        <f>G17+G18</f>
        <v>8659581.489938635</v>
      </c>
      <c r="H19" s="1">
        <f>H17+H18</f>
        <v>2278837.2341943774</v>
      </c>
    </row>
    <row r="20" spans="4:6" ht="15">
      <c r="D20" s="1"/>
      <c r="E20" s="4"/>
      <c r="F20" s="1"/>
    </row>
    <row r="21" spans="1:6" ht="15">
      <c r="A21" t="s">
        <v>147</v>
      </c>
      <c r="D21" s="1"/>
      <c r="E21" s="1"/>
      <c r="F21" s="1"/>
    </row>
    <row r="22" spans="1:23" ht="15">
      <c r="A22" t="s">
        <v>148</v>
      </c>
      <c r="C22" s="1">
        <f>('P3_Streams'!C36+'P3_Streams'!C45)*Pump_Cost_Zarqa</f>
        <v>540000</v>
      </c>
      <c r="D22" s="1">
        <f>('P3_Streams'!D36+'P3_Streams'!D45)*Pump_Cost_Zarqa</f>
        <v>577150.5466560001</v>
      </c>
      <c r="E22" s="1">
        <f>('P3_Streams'!E36+'P3_Streams'!E45)*Pump_Cost_Zarqa</f>
        <v>594465.053408</v>
      </c>
      <c r="F22" s="1">
        <f>('P3_Streams'!F36+'P3_Streams'!F45)*Pump_Cost_Zarqa</f>
        <v>612298.798356</v>
      </c>
      <c r="G22" s="1">
        <f>('P3_Streams'!G36+'P3_Streams'!G45)*Pump_Cost_Zarqa</f>
        <v>795897.664874</v>
      </c>
      <c r="H22" s="1">
        <f>('P3_Streams'!H36+'P3_Streams'!H45)*Pump_Cost_Zarqa</f>
        <v>840809.7264705</v>
      </c>
      <c r="I22" s="1">
        <f>('P3_Streams'!I36+'P3_Streams'!I45)*Pump_Cost_Zarqa</f>
        <v>887700.0713500001</v>
      </c>
      <c r="J22" s="1">
        <f>('P3_Streams'!J36+'P3_Streams'!J45)*Pump_Cost_Zarqa</f>
        <v>914331.4437099999</v>
      </c>
      <c r="K22" s="1">
        <f>('P3_Streams'!K36+'P3_Streams'!K45)*Pump_Cost_Zarqa</f>
        <v>941761.372195</v>
      </c>
      <c r="L22" s="1">
        <f>('P3_Streams'!L36+'P3_Streams'!L45)*Pump_Cost_Zarqa</f>
        <v>978132.6852400003</v>
      </c>
      <c r="M22" s="1">
        <f>('P3_Streams'!M36+'P3_Streams'!M45)*Pump_Cost_Zarqa</f>
        <v>1007477.05953</v>
      </c>
      <c r="N22" s="1">
        <f>('P3_Streams'!N36+'P3_Streams'!N45)*Pump_Cost_Zarqa</f>
        <v>1037701.6342399999</v>
      </c>
      <c r="O22" s="1">
        <f>('P3_Streams'!O36+'P3_Streams'!O45)*Pump_Cost_Zarqa</f>
        <v>1068832.9112899997</v>
      </c>
      <c r="P22" s="1">
        <f>('P3_Streams'!P36+'P3_Streams'!P45)*Pump_Cost_Zarqa</f>
        <v>1100897.7678200002</v>
      </c>
      <c r="Q22" s="1">
        <f>('P3_Streams'!Q36+'P3_Streams'!Q45)*Pump_Cost_Zarqa</f>
        <v>1152747.557755</v>
      </c>
      <c r="R22" s="1">
        <f>('P3_Streams'!R36+'P3_Streams'!R45)*Pump_Cost_Zarqa</f>
        <v>1187329.81965</v>
      </c>
      <c r="S22" s="1">
        <f>('P3_Streams'!S36+'P3_Streams'!S45)*Pump_Cost_Zarqa</f>
        <v>1222949.87327</v>
      </c>
      <c r="T22" s="1">
        <f>('P3_Streams'!T36+'P3_Streams'!T45)*Pump_Cost_Zarqa</f>
        <v>1259638.31547</v>
      </c>
      <c r="U22" s="1">
        <f>('P3_Streams'!U36+'P3_Streams'!U45)*Pump_Cost_Zarqa</f>
        <v>1297427.663735</v>
      </c>
      <c r="V22" s="1">
        <f>('P3_Streams'!V36+'P3_Streams'!V45)*Pump_Cost_Zarqa</f>
        <v>1347260.9224750001</v>
      </c>
      <c r="W22" s="1">
        <f>('P3_Streams'!W36+'P3_Streams'!W45)*Pump_Cost_Zarqa</f>
        <v>1402858.70396</v>
      </c>
    </row>
    <row r="23" spans="1:23" ht="15">
      <c r="A23" t="s">
        <v>149</v>
      </c>
      <c r="C23" s="25"/>
      <c r="D23" s="25"/>
      <c r="E23" s="25"/>
      <c r="F23" s="25"/>
      <c r="G23" s="25"/>
      <c r="H23" s="25"/>
      <c r="I23" s="25"/>
      <c r="J23" s="25"/>
      <c r="K23" s="25"/>
      <c r="L23" s="25"/>
      <c r="M23" s="25"/>
      <c r="N23" s="25"/>
      <c r="O23" s="25"/>
      <c r="P23" s="25"/>
      <c r="Q23" s="25"/>
      <c r="R23" s="25"/>
      <c r="S23" s="25"/>
      <c r="T23" s="25"/>
      <c r="U23" s="25"/>
      <c r="V23" s="25"/>
      <c r="W23" s="25"/>
    </row>
    <row r="24" spans="1:23" ht="15.75" thickBot="1">
      <c r="A24" t="s">
        <v>150</v>
      </c>
      <c r="C24" s="23">
        <f>C22+C23</f>
        <v>540000</v>
      </c>
      <c r="D24" s="23">
        <f aca="true" t="shared" si="2" ref="D24:W24">D22+D23</f>
        <v>577150.5466560001</v>
      </c>
      <c r="E24" s="23">
        <f t="shared" si="2"/>
        <v>594465.053408</v>
      </c>
      <c r="F24" s="23">
        <f t="shared" si="2"/>
        <v>612298.798356</v>
      </c>
      <c r="G24" s="23">
        <f t="shared" si="2"/>
        <v>795897.664874</v>
      </c>
      <c r="H24" s="23">
        <f t="shared" si="2"/>
        <v>840809.7264705</v>
      </c>
      <c r="I24" s="23">
        <f t="shared" si="2"/>
        <v>887700.0713500001</v>
      </c>
      <c r="J24" s="23">
        <f t="shared" si="2"/>
        <v>914331.4437099999</v>
      </c>
      <c r="K24" s="23">
        <f t="shared" si="2"/>
        <v>941761.372195</v>
      </c>
      <c r="L24" s="23">
        <f t="shared" si="2"/>
        <v>978132.6852400003</v>
      </c>
      <c r="M24" s="23">
        <f t="shared" si="2"/>
        <v>1007477.05953</v>
      </c>
      <c r="N24" s="23">
        <f t="shared" si="2"/>
        <v>1037701.6342399999</v>
      </c>
      <c r="O24" s="23">
        <f t="shared" si="2"/>
        <v>1068832.9112899997</v>
      </c>
      <c r="P24" s="23">
        <f t="shared" si="2"/>
        <v>1100897.7678200002</v>
      </c>
      <c r="Q24" s="23">
        <f t="shared" si="2"/>
        <v>1152747.557755</v>
      </c>
      <c r="R24" s="23">
        <f t="shared" si="2"/>
        <v>1187329.81965</v>
      </c>
      <c r="S24" s="23">
        <f t="shared" si="2"/>
        <v>1222949.87327</v>
      </c>
      <c r="T24" s="23">
        <f t="shared" si="2"/>
        <v>1259638.31547</v>
      </c>
      <c r="U24" s="23">
        <f t="shared" si="2"/>
        <v>1297427.663735</v>
      </c>
      <c r="V24" s="23">
        <f t="shared" si="2"/>
        <v>1347260.9224750001</v>
      </c>
      <c r="W24" s="23">
        <f t="shared" si="2"/>
        <v>1402858.70396</v>
      </c>
    </row>
    <row r="25" spans="1:23" ht="15.75" thickTop="1">
      <c r="A25" t="s">
        <v>144</v>
      </c>
      <c r="C25" s="1">
        <f>C16+C24</f>
        <v>540000</v>
      </c>
      <c r="D25" s="1">
        <f>D17+D24</f>
        <v>6559293.403798859</v>
      </c>
      <c r="E25" s="1">
        <f>E17+E24</f>
        <v>12558750.767693717</v>
      </c>
      <c r="F25" s="1">
        <f>F17+F24</f>
        <v>15140360.0228458</v>
      </c>
      <c r="G25" s="1">
        <f aca="true" t="shared" si="3" ref="G25:W25">G16+G24</f>
        <v>795897.664874</v>
      </c>
      <c r="H25" s="1">
        <f t="shared" si="3"/>
        <v>840809.7264705</v>
      </c>
      <c r="I25" s="1">
        <f t="shared" si="3"/>
        <v>887700.0713500001</v>
      </c>
      <c r="J25" s="1">
        <f t="shared" si="3"/>
        <v>914331.4437099999</v>
      </c>
      <c r="K25" s="1">
        <f t="shared" si="3"/>
        <v>941761.372195</v>
      </c>
      <c r="L25" s="1">
        <f t="shared" si="3"/>
        <v>978132.6852400003</v>
      </c>
      <c r="M25" s="1">
        <f t="shared" si="3"/>
        <v>1007477.05953</v>
      </c>
      <c r="N25" s="1">
        <f t="shared" si="3"/>
        <v>1037701.6342399999</v>
      </c>
      <c r="O25" s="1">
        <f t="shared" si="3"/>
        <v>1068832.9112899997</v>
      </c>
      <c r="P25" s="1">
        <f t="shared" si="3"/>
        <v>1100897.7678200002</v>
      </c>
      <c r="Q25" s="1">
        <f t="shared" si="3"/>
        <v>1152747.557755</v>
      </c>
      <c r="R25" s="1">
        <f t="shared" si="3"/>
        <v>1187329.81965</v>
      </c>
      <c r="S25" s="1">
        <f t="shared" si="3"/>
        <v>1222949.87327</v>
      </c>
      <c r="T25" s="1">
        <f t="shared" si="3"/>
        <v>1259638.31547</v>
      </c>
      <c r="U25" s="1">
        <f t="shared" si="3"/>
        <v>1297427.663735</v>
      </c>
      <c r="V25" s="1">
        <f t="shared" si="3"/>
        <v>1347260.9224750001</v>
      </c>
      <c r="W25" s="1">
        <f t="shared" si="3"/>
        <v>1402858.70396</v>
      </c>
    </row>
    <row r="27" ht="15">
      <c r="A27" s="22" t="s">
        <v>153</v>
      </c>
    </row>
    <row r="28" spans="1:23" ht="15">
      <c r="A28" t="s">
        <v>143</v>
      </c>
      <c r="C28" s="1">
        <f>C19-C8</f>
        <v>0</v>
      </c>
      <c r="D28" s="1">
        <f aca="true" t="shared" si="4" ref="D28:W28">D19-D8</f>
        <v>6380744.255744257</v>
      </c>
      <c r="E28" s="1">
        <f t="shared" si="4"/>
        <v>12761488.511488514</v>
      </c>
      <c r="F28" s="1">
        <f t="shared" si="4"/>
        <v>15496093.192521768</v>
      </c>
      <c r="G28" s="1">
        <f t="shared" si="4"/>
        <v>8659581.489938635</v>
      </c>
      <c r="H28" s="1">
        <f t="shared" si="4"/>
        <v>2278837.2341943774</v>
      </c>
      <c r="I28" s="1">
        <f t="shared" si="4"/>
        <v>0</v>
      </c>
      <c r="J28" s="1">
        <f t="shared" si="4"/>
        <v>0</v>
      </c>
      <c r="K28" s="1">
        <f t="shared" si="4"/>
        <v>0</v>
      </c>
      <c r="L28" s="1">
        <f t="shared" si="4"/>
        <v>0</v>
      </c>
      <c r="M28" s="1">
        <f t="shared" si="4"/>
        <v>0</v>
      </c>
      <c r="N28" s="1">
        <f t="shared" si="4"/>
        <v>0</v>
      </c>
      <c r="O28" s="1">
        <f t="shared" si="4"/>
        <v>0</v>
      </c>
      <c r="P28" s="1">
        <f t="shared" si="4"/>
        <v>0</v>
      </c>
      <c r="Q28" s="1">
        <f t="shared" si="4"/>
        <v>0</v>
      </c>
      <c r="R28" s="1">
        <f t="shared" si="4"/>
        <v>0</v>
      </c>
      <c r="S28" s="1">
        <f t="shared" si="4"/>
        <v>0</v>
      </c>
      <c r="T28" s="1">
        <f t="shared" si="4"/>
        <v>0</v>
      </c>
      <c r="U28" s="1">
        <f t="shared" si="4"/>
        <v>0</v>
      </c>
      <c r="V28" s="1">
        <f t="shared" si="4"/>
        <v>0</v>
      </c>
      <c r="W28" s="1">
        <f t="shared" si="4"/>
        <v>0</v>
      </c>
    </row>
    <row r="29" ht="15">
      <c r="A29" t="s">
        <v>147</v>
      </c>
    </row>
    <row r="30" spans="1:23" ht="15">
      <c r="A30" t="s">
        <v>148</v>
      </c>
      <c r="C30" s="1">
        <f aca="true" t="shared" si="5" ref="C30:W30">C22-C10</f>
        <v>0</v>
      </c>
      <c r="D30" s="1">
        <f t="shared" si="5"/>
        <v>0</v>
      </c>
      <c r="E30" s="1">
        <f t="shared" si="5"/>
        <v>0</v>
      </c>
      <c r="F30" s="1">
        <f t="shared" si="5"/>
        <v>0</v>
      </c>
      <c r="G30" s="1">
        <f t="shared" si="5"/>
        <v>175397.664874</v>
      </c>
      <c r="H30" s="1">
        <f t="shared" si="5"/>
        <v>220309.7264705</v>
      </c>
      <c r="I30" s="1">
        <f t="shared" si="5"/>
        <v>267200.0713500001</v>
      </c>
      <c r="J30" s="1">
        <f t="shared" si="5"/>
        <v>293831.4437099999</v>
      </c>
      <c r="K30" s="1">
        <f t="shared" si="5"/>
        <v>321261.37219499995</v>
      </c>
      <c r="L30" s="1">
        <f t="shared" si="5"/>
        <v>357632.68524000025</v>
      </c>
      <c r="M30" s="1">
        <f t="shared" si="5"/>
        <v>386977.05952999997</v>
      </c>
      <c r="N30" s="1">
        <f t="shared" si="5"/>
        <v>417201.6342399999</v>
      </c>
      <c r="O30" s="1">
        <f t="shared" si="5"/>
        <v>448332.9112899997</v>
      </c>
      <c r="P30" s="1">
        <f t="shared" si="5"/>
        <v>480397.7678200002</v>
      </c>
      <c r="Q30" s="1">
        <f t="shared" si="5"/>
        <v>532247.557755</v>
      </c>
      <c r="R30" s="1">
        <f t="shared" si="5"/>
        <v>566829.81965</v>
      </c>
      <c r="S30" s="1">
        <f t="shared" si="5"/>
        <v>602449.8732700001</v>
      </c>
      <c r="T30" s="1">
        <f t="shared" si="5"/>
        <v>639138.31547</v>
      </c>
      <c r="U30" s="1">
        <f t="shared" si="5"/>
        <v>676927.663735</v>
      </c>
      <c r="V30" s="1">
        <f t="shared" si="5"/>
        <v>726760.9224750001</v>
      </c>
      <c r="W30" s="1">
        <f t="shared" si="5"/>
        <v>782358.7039600001</v>
      </c>
    </row>
    <row r="31" spans="1:23" ht="15">
      <c r="A31" t="s">
        <v>149</v>
      </c>
      <c r="C31" s="25">
        <f aca="true" t="shared" si="6" ref="C31:W31">C23-C11</f>
        <v>0</v>
      </c>
      <c r="D31" s="25">
        <f t="shared" si="6"/>
        <v>0</v>
      </c>
      <c r="E31" s="25">
        <f t="shared" si="6"/>
        <v>0</v>
      </c>
      <c r="F31" s="25">
        <f t="shared" si="6"/>
        <v>0</v>
      </c>
      <c r="G31" s="25">
        <f t="shared" si="6"/>
        <v>-1000000</v>
      </c>
      <c r="H31" s="25">
        <f t="shared" si="6"/>
        <v>-1000000</v>
      </c>
      <c r="I31" s="25">
        <f t="shared" si="6"/>
        <v>-1000000</v>
      </c>
      <c r="J31" s="25">
        <f t="shared" si="6"/>
        <v>-1000000</v>
      </c>
      <c r="K31" s="25">
        <f t="shared" si="6"/>
        <v>-1000000</v>
      </c>
      <c r="L31" s="25">
        <f t="shared" si="6"/>
        <v>-1000000</v>
      </c>
      <c r="M31" s="25">
        <f t="shared" si="6"/>
        <v>-1000000</v>
      </c>
      <c r="N31" s="25">
        <f t="shared" si="6"/>
        <v>-1000000</v>
      </c>
      <c r="O31" s="25">
        <f t="shared" si="6"/>
        <v>-1000000</v>
      </c>
      <c r="P31" s="25">
        <f t="shared" si="6"/>
        <v>-1000000</v>
      </c>
      <c r="Q31" s="25">
        <f t="shared" si="6"/>
        <v>-1000000</v>
      </c>
      <c r="R31" s="25">
        <f t="shared" si="6"/>
        <v>-1000000</v>
      </c>
      <c r="S31" s="25">
        <f t="shared" si="6"/>
        <v>-1000000</v>
      </c>
      <c r="T31" s="25">
        <f t="shared" si="6"/>
        <v>-1000000</v>
      </c>
      <c r="U31" s="25">
        <f t="shared" si="6"/>
        <v>-1000000</v>
      </c>
      <c r="V31" s="25">
        <f t="shared" si="6"/>
        <v>-1000000</v>
      </c>
      <c r="W31" s="25">
        <f t="shared" si="6"/>
        <v>-1000000</v>
      </c>
    </row>
    <row r="32" spans="1:23" ht="15.75" thickBot="1">
      <c r="A32" t="s">
        <v>150</v>
      </c>
      <c r="C32" s="23">
        <f>C30+C31</f>
        <v>0</v>
      </c>
      <c r="D32" s="23">
        <f aca="true" t="shared" si="7" ref="D32:W32">D30+D31</f>
        <v>0</v>
      </c>
      <c r="E32" s="23">
        <f t="shared" si="7"/>
        <v>0</v>
      </c>
      <c r="F32" s="23">
        <f t="shared" si="7"/>
        <v>0</v>
      </c>
      <c r="G32" s="23">
        <f t="shared" si="7"/>
        <v>-824602.335126</v>
      </c>
      <c r="H32" s="23">
        <f t="shared" si="7"/>
        <v>-779690.2735295</v>
      </c>
      <c r="I32" s="23">
        <f t="shared" si="7"/>
        <v>-732799.9286499999</v>
      </c>
      <c r="J32" s="23">
        <f t="shared" si="7"/>
        <v>-706168.5562900001</v>
      </c>
      <c r="K32" s="23">
        <f t="shared" si="7"/>
        <v>-678738.627805</v>
      </c>
      <c r="L32" s="23">
        <f t="shared" si="7"/>
        <v>-642367.3147599997</v>
      </c>
      <c r="M32" s="23">
        <f t="shared" si="7"/>
        <v>-613022.94047</v>
      </c>
      <c r="N32" s="23">
        <f t="shared" si="7"/>
        <v>-582798.3657600001</v>
      </c>
      <c r="O32" s="23">
        <f t="shared" si="7"/>
        <v>-551667.0887100003</v>
      </c>
      <c r="P32" s="23">
        <f t="shared" si="7"/>
        <v>-519602.2321799998</v>
      </c>
      <c r="Q32" s="23">
        <f t="shared" si="7"/>
        <v>-467752.44224500004</v>
      </c>
      <c r="R32" s="23">
        <f t="shared" si="7"/>
        <v>-433170.18035000004</v>
      </c>
      <c r="S32" s="23">
        <f t="shared" si="7"/>
        <v>-397550.1267299999</v>
      </c>
      <c r="T32" s="23">
        <f t="shared" si="7"/>
        <v>-360861.68452999997</v>
      </c>
      <c r="U32" s="23">
        <f t="shared" si="7"/>
        <v>-323072.33626500005</v>
      </c>
      <c r="V32" s="23">
        <f t="shared" si="7"/>
        <v>-273239.07752499986</v>
      </c>
      <c r="W32" s="23">
        <f t="shared" si="7"/>
        <v>-217641.29603999993</v>
      </c>
    </row>
    <row r="33" spans="1:23" ht="15.75" thickTop="1">
      <c r="A33" t="s">
        <v>144</v>
      </c>
      <c r="C33" s="1">
        <f>C28+C32</f>
        <v>0</v>
      </c>
      <c r="D33" s="1">
        <f aca="true" t="shared" si="8" ref="D33:W33">D28+D32</f>
        <v>6380744.255744257</v>
      </c>
      <c r="E33" s="1">
        <f t="shared" si="8"/>
        <v>12761488.511488514</v>
      </c>
      <c r="F33" s="1">
        <f t="shared" si="8"/>
        <v>15496093.192521768</v>
      </c>
      <c r="G33" s="1">
        <f t="shared" si="8"/>
        <v>7834979.154812636</v>
      </c>
      <c r="H33" s="1">
        <f t="shared" si="8"/>
        <v>1499146.9606648774</v>
      </c>
      <c r="I33" s="1">
        <f t="shared" si="8"/>
        <v>-732799.9286499999</v>
      </c>
      <c r="J33" s="1">
        <f t="shared" si="8"/>
        <v>-706168.5562900001</v>
      </c>
      <c r="K33" s="1">
        <f t="shared" si="8"/>
        <v>-678738.627805</v>
      </c>
      <c r="L33" s="1">
        <f t="shared" si="8"/>
        <v>-642367.3147599997</v>
      </c>
      <c r="M33" s="1">
        <f t="shared" si="8"/>
        <v>-613022.94047</v>
      </c>
      <c r="N33" s="1">
        <f t="shared" si="8"/>
        <v>-582798.3657600001</v>
      </c>
      <c r="O33" s="1">
        <f t="shared" si="8"/>
        <v>-551667.0887100003</v>
      </c>
      <c r="P33" s="1">
        <f t="shared" si="8"/>
        <v>-519602.2321799998</v>
      </c>
      <c r="Q33" s="1">
        <f t="shared" si="8"/>
        <v>-467752.44224500004</v>
      </c>
      <c r="R33" s="1">
        <f t="shared" si="8"/>
        <v>-433170.18035000004</v>
      </c>
      <c r="S33" s="1">
        <f t="shared" si="8"/>
        <v>-397550.1267299999</v>
      </c>
      <c r="T33" s="1">
        <f t="shared" si="8"/>
        <v>-360861.68452999997</v>
      </c>
      <c r="U33" s="1">
        <f t="shared" si="8"/>
        <v>-323072.33626500005</v>
      </c>
      <c r="V33" s="1">
        <f t="shared" si="8"/>
        <v>-273239.07752499986</v>
      </c>
      <c r="W33" s="1">
        <f t="shared" si="8"/>
        <v>-217641.29603999993</v>
      </c>
    </row>
    <row r="35" spans="2:23" ht="15">
      <c r="B35" s="20" t="s">
        <v>30</v>
      </c>
      <c r="C35" s="5">
        <v>0</v>
      </c>
      <c r="D35" s="5">
        <v>1</v>
      </c>
      <c r="E35" s="5">
        <v>2</v>
      </c>
      <c r="F35" s="5">
        <v>3</v>
      </c>
      <c r="G35" s="5">
        <v>4</v>
      </c>
      <c r="H35" s="5">
        <v>5</v>
      </c>
      <c r="I35" s="5">
        <v>6</v>
      </c>
      <c r="J35" s="5">
        <v>7</v>
      </c>
      <c r="K35" s="5">
        <v>8</v>
      </c>
      <c r="L35" s="5">
        <v>9</v>
      </c>
      <c r="M35" s="5">
        <v>10</v>
      </c>
      <c r="N35" s="5">
        <v>11</v>
      </c>
      <c r="O35" s="5">
        <v>12</v>
      </c>
      <c r="P35" s="5">
        <v>13</v>
      </c>
      <c r="Q35" s="5">
        <v>14</v>
      </c>
      <c r="R35" s="5">
        <v>15</v>
      </c>
      <c r="S35" s="5">
        <v>16</v>
      </c>
      <c r="T35" s="5">
        <v>17</v>
      </c>
      <c r="U35" s="5">
        <v>18</v>
      </c>
      <c r="V35" s="5">
        <v>19</v>
      </c>
      <c r="W35" s="5">
        <v>20</v>
      </c>
    </row>
    <row r="36" spans="2:23" ht="15">
      <c r="B36" s="20" t="s">
        <v>8</v>
      </c>
      <c r="C36" s="24">
        <v>2010</v>
      </c>
      <c r="D36" s="24">
        <v>2011</v>
      </c>
      <c r="E36" s="24">
        <v>2012</v>
      </c>
      <c r="F36" s="24">
        <v>2013</v>
      </c>
      <c r="G36" s="24">
        <v>2014</v>
      </c>
      <c r="H36" s="24">
        <v>2015</v>
      </c>
      <c r="I36" s="24">
        <v>2016</v>
      </c>
      <c r="J36" s="24">
        <v>2017</v>
      </c>
      <c r="K36" s="24">
        <v>2018</v>
      </c>
      <c r="L36" s="24">
        <v>2019</v>
      </c>
      <c r="M36" s="24">
        <v>2020</v>
      </c>
      <c r="N36" s="24">
        <v>2021</v>
      </c>
      <c r="O36" s="24">
        <v>2022</v>
      </c>
      <c r="P36" s="24">
        <v>2023</v>
      </c>
      <c r="Q36" s="24">
        <v>2024</v>
      </c>
      <c r="R36" s="24">
        <v>2025</v>
      </c>
      <c r="S36" s="24">
        <v>2026</v>
      </c>
      <c r="T36" s="24">
        <v>2027</v>
      </c>
      <c r="U36" s="24">
        <v>2028</v>
      </c>
      <c r="V36" s="24">
        <v>2029</v>
      </c>
      <c r="W36" s="24">
        <v>2030</v>
      </c>
    </row>
    <row r="37" ht="15">
      <c r="A37" t="s">
        <v>152</v>
      </c>
    </row>
    <row r="38" spans="1:23" ht="15">
      <c r="A38" t="s">
        <v>351</v>
      </c>
      <c r="G38" s="1">
        <f>'P3_Streams'!G45*0.16</f>
        <v>1403181.3189919996</v>
      </c>
      <c r="H38" s="1">
        <f>'P3_Streams'!H45*0.16</f>
        <v>1762477.8117639995</v>
      </c>
      <c r="I38" s="1">
        <f>'P3_Streams'!I45*0.16</f>
        <v>2137600.5708000003</v>
      </c>
      <c r="J38" s="1">
        <f>'P3_Streams'!J45*0.16</f>
        <v>2350651.5496799992</v>
      </c>
      <c r="K38" s="1">
        <f>'P3_Streams'!K45*0.16</f>
        <v>2570090.977559999</v>
      </c>
      <c r="L38" s="1">
        <f>'P3_Streams'!L45*0.16</f>
        <v>2861061.4819200016</v>
      </c>
      <c r="M38" s="1">
        <f>'P3_Streams'!M45*0.16</f>
        <v>3095816.4762399998</v>
      </c>
      <c r="N38" s="1">
        <f>'P3_Streams'!N45*0.16</f>
        <v>3337613.07392</v>
      </c>
      <c r="O38" s="1">
        <f>'P3_Streams'!O45*0.16</f>
        <v>3586663.2903199983</v>
      </c>
      <c r="P38" s="1">
        <f>'P3_Streams'!P45*0.16</f>
        <v>3843182.1425600005</v>
      </c>
      <c r="Q38" s="1">
        <f>'P3_Streams'!Q45*0.16</f>
        <v>4257980.46204</v>
      </c>
      <c r="R38" s="1">
        <f>'P3_Streams'!R45*0.16</f>
        <v>4534638.557200001</v>
      </c>
      <c r="S38" s="1">
        <f>'P3_Streams'!S45*0.16</f>
        <v>4819598.986160001</v>
      </c>
      <c r="T38" s="1">
        <f>'P3_Streams'!T45*0.16</f>
        <v>5113106.523759999</v>
      </c>
      <c r="U38" s="1">
        <f>'P3_Streams'!U45*0.16</f>
        <v>5415421.30988</v>
      </c>
      <c r="V38" s="1">
        <f>'P3_Streams'!V45*0.16</f>
        <v>5814087.3798</v>
      </c>
      <c r="W38" s="1">
        <f>'P3_Streams'!W45*0.16</f>
        <v>6258869.63168</v>
      </c>
    </row>
    <row r="40" spans="1:23" ht="15">
      <c r="A40" t="s">
        <v>352</v>
      </c>
      <c r="D40" s="3">
        <f>'P3_Streams'!D20-'P3_Streams'!D18</f>
        <v>0</v>
      </c>
      <c r="E40" s="3">
        <f>'P3_Streams'!E20-'P3_Streams'!E18</f>
        <v>0</v>
      </c>
      <c r="F40" s="3">
        <f>'P3_Streams'!F20-'P3_Streams'!F18</f>
        <v>0</v>
      </c>
      <c r="G40" s="3">
        <f>'P3_Streams'!G20-'P3_Streams'!G18</f>
        <v>0</v>
      </c>
      <c r="H40" s="3">
        <f>'P3_Streams'!H20-'P3_Streams'!H18</f>
        <v>69433.90999999992</v>
      </c>
      <c r="I40" s="3">
        <f>'P3_Streams'!I20-'P3_Streams'!I18</f>
        <v>143033.80000000005</v>
      </c>
      <c r="J40" s="3">
        <f>'P3_Streams'!J20-'P3_Streams'!J18</f>
        <v>147324.83999999997</v>
      </c>
      <c r="K40" s="3">
        <f>'P3_Streams'!K20-'P3_Streams'!K18</f>
        <v>151744.57999999996</v>
      </c>
      <c r="L40" s="3">
        <f>'P3_Streams'!L20-'P3_Streams'!L18</f>
        <v>156296.92000000004</v>
      </c>
      <c r="M40" s="3">
        <f>'P3_Streams'!M20-'P3_Streams'!M18</f>
        <v>160985.89000000013</v>
      </c>
      <c r="N40" s="3">
        <f>'P3_Streams'!N20-'P3_Streams'!N18</f>
        <v>165815.5199999999</v>
      </c>
      <c r="O40" s="3">
        <f>'P3_Streams'!O20-'P3_Streams'!O18</f>
        <v>170789.96999999997</v>
      </c>
      <c r="P40" s="3">
        <f>'P3_Streams'!P20-'P3_Streams'!P18</f>
        <v>175913.66000000003</v>
      </c>
      <c r="Q40" s="3">
        <f>'P3_Streams'!Q20-'P3_Streams'!Q18</f>
        <v>181191.01</v>
      </c>
      <c r="R40" s="3">
        <f>'P3_Streams'!R20-'P3_Streams'!R18</f>
        <v>186626.70000000007</v>
      </c>
      <c r="S40" s="3">
        <f>'P3_Streams'!S20-'P3_Streams'!S18</f>
        <v>192225.54000000004</v>
      </c>
      <c r="T40" s="3">
        <f>'P3_Streams'!T20-'P3_Streams'!T18</f>
        <v>197992.34000000008</v>
      </c>
      <c r="U40" s="3">
        <f>'P3_Streams'!U20-'P3_Streams'!U18</f>
        <v>203932.16999999993</v>
      </c>
      <c r="V40" s="3">
        <f>'P3_Streams'!V20-'P3_Streams'!V18</f>
        <v>210050.1000000001</v>
      </c>
      <c r="W40" s="3">
        <f>'P3_Streams'!W20-'P3_Streams'!W18</f>
        <v>216351.59000000008</v>
      </c>
    </row>
    <row r="41" spans="1:23" ht="15">
      <c r="A41" t="s">
        <v>353</v>
      </c>
      <c r="E41" s="3">
        <f>E40-D40</f>
        <v>0</v>
      </c>
      <c r="F41" s="3">
        <f aca="true" t="shared" si="9" ref="F41:W41">F40-E40</f>
        <v>0</v>
      </c>
      <c r="G41" s="3">
        <f t="shared" si="9"/>
        <v>0</v>
      </c>
      <c r="H41" s="3">
        <f t="shared" si="9"/>
        <v>69433.90999999992</v>
      </c>
      <c r="I41" s="3">
        <f t="shared" si="9"/>
        <v>73599.89000000013</v>
      </c>
      <c r="J41" s="3">
        <f t="shared" si="9"/>
        <v>4291.039999999921</v>
      </c>
      <c r="K41" s="3">
        <f t="shared" si="9"/>
        <v>4419.739999999991</v>
      </c>
      <c r="L41" s="3">
        <f t="shared" si="9"/>
        <v>4552.340000000084</v>
      </c>
      <c r="M41" s="3">
        <f t="shared" si="9"/>
        <v>4688.9700000000885</v>
      </c>
      <c r="N41" s="3">
        <f t="shared" si="9"/>
        <v>4829.629999999772</v>
      </c>
      <c r="O41" s="3">
        <f t="shared" si="9"/>
        <v>4974.45000000007</v>
      </c>
      <c r="P41" s="3">
        <f t="shared" si="9"/>
        <v>5123.6900000000605</v>
      </c>
      <c r="Q41" s="3">
        <f t="shared" si="9"/>
        <v>5277.349999999977</v>
      </c>
      <c r="R41" s="3">
        <f t="shared" si="9"/>
        <v>5435.6900000000605</v>
      </c>
      <c r="S41" s="3">
        <f t="shared" si="9"/>
        <v>5598.839999999967</v>
      </c>
      <c r="T41" s="3">
        <f t="shared" si="9"/>
        <v>5766.800000000047</v>
      </c>
      <c r="U41" s="3">
        <f t="shared" si="9"/>
        <v>5939.829999999842</v>
      </c>
      <c r="V41" s="3">
        <f t="shared" si="9"/>
        <v>6117.930000000168</v>
      </c>
      <c r="W41" s="3">
        <f t="shared" si="9"/>
        <v>6301.489999999991</v>
      </c>
    </row>
    <row r="43" spans="1:23" ht="15">
      <c r="A43" t="s">
        <v>363</v>
      </c>
      <c r="D43">
        <f aca="true" t="shared" si="10" ref="D43:W43">ROUND(D41*growth_share_existing_network,0)</f>
        <v>0</v>
      </c>
      <c r="E43">
        <f t="shared" si="10"/>
        <v>0</v>
      </c>
      <c r="F43">
        <f t="shared" si="10"/>
        <v>0</v>
      </c>
      <c r="G43">
        <f t="shared" si="10"/>
        <v>0</v>
      </c>
      <c r="H43">
        <f t="shared" si="10"/>
        <v>17358</v>
      </c>
      <c r="I43">
        <f t="shared" si="10"/>
        <v>18400</v>
      </c>
      <c r="J43">
        <f t="shared" si="10"/>
        <v>1073</v>
      </c>
      <c r="K43">
        <f t="shared" si="10"/>
        <v>1105</v>
      </c>
      <c r="L43">
        <f t="shared" si="10"/>
        <v>1138</v>
      </c>
      <c r="M43">
        <f t="shared" si="10"/>
        <v>1172</v>
      </c>
      <c r="N43">
        <f t="shared" si="10"/>
        <v>1207</v>
      </c>
      <c r="O43">
        <f t="shared" si="10"/>
        <v>1244</v>
      </c>
      <c r="P43">
        <f t="shared" si="10"/>
        <v>1281</v>
      </c>
      <c r="Q43">
        <f t="shared" si="10"/>
        <v>1319</v>
      </c>
      <c r="R43">
        <f t="shared" si="10"/>
        <v>1359</v>
      </c>
      <c r="S43">
        <f t="shared" si="10"/>
        <v>1400</v>
      </c>
      <c r="T43">
        <f t="shared" si="10"/>
        <v>1442</v>
      </c>
      <c r="U43">
        <f t="shared" si="10"/>
        <v>1485</v>
      </c>
      <c r="V43">
        <f t="shared" si="10"/>
        <v>1529</v>
      </c>
      <c r="W43">
        <f t="shared" si="10"/>
        <v>1575</v>
      </c>
    </row>
    <row r="44" spans="1:23" ht="15">
      <c r="A44" t="s">
        <v>364</v>
      </c>
      <c r="D44">
        <f aca="true" t="shared" si="11" ref="D44:W44">ROUND(D41*growth_share_network_extension,0)</f>
        <v>0</v>
      </c>
      <c r="E44">
        <f t="shared" si="11"/>
        <v>0</v>
      </c>
      <c r="F44">
        <f t="shared" si="11"/>
        <v>0</v>
      </c>
      <c r="G44">
        <f t="shared" si="11"/>
        <v>0</v>
      </c>
      <c r="H44">
        <f t="shared" si="11"/>
        <v>52075</v>
      </c>
      <c r="I44">
        <f t="shared" si="11"/>
        <v>55200</v>
      </c>
      <c r="J44">
        <f t="shared" si="11"/>
        <v>3218</v>
      </c>
      <c r="K44">
        <f t="shared" si="11"/>
        <v>3315</v>
      </c>
      <c r="L44">
        <f t="shared" si="11"/>
        <v>3414</v>
      </c>
      <c r="M44">
        <f t="shared" si="11"/>
        <v>3517</v>
      </c>
      <c r="N44">
        <f t="shared" si="11"/>
        <v>3622</v>
      </c>
      <c r="O44">
        <f t="shared" si="11"/>
        <v>3731</v>
      </c>
      <c r="P44">
        <f t="shared" si="11"/>
        <v>3843</v>
      </c>
      <c r="Q44">
        <f t="shared" si="11"/>
        <v>3958</v>
      </c>
      <c r="R44">
        <f t="shared" si="11"/>
        <v>4077</v>
      </c>
      <c r="S44">
        <f t="shared" si="11"/>
        <v>4199</v>
      </c>
      <c r="T44">
        <f t="shared" si="11"/>
        <v>4325</v>
      </c>
      <c r="U44">
        <f t="shared" si="11"/>
        <v>4455</v>
      </c>
      <c r="V44">
        <f t="shared" si="11"/>
        <v>4588</v>
      </c>
      <c r="W44">
        <f t="shared" si="11"/>
        <v>4726</v>
      </c>
    </row>
    <row r="46" spans="1:23" ht="15">
      <c r="A46" t="s">
        <v>360</v>
      </c>
      <c r="D46" s="1">
        <f aca="true" t="shared" si="12" ref="D46:W46">D40/subs_per_connection*cess_maint_cost</f>
        <v>0</v>
      </c>
      <c r="E46" s="1">
        <f t="shared" si="12"/>
        <v>0</v>
      </c>
      <c r="F46" s="1">
        <f t="shared" si="12"/>
        <v>0</v>
      </c>
      <c r="G46" s="1">
        <f t="shared" si="12"/>
        <v>0</v>
      </c>
      <c r="H46" s="1">
        <f t="shared" si="12"/>
        <v>1388678.1999999983</v>
      </c>
      <c r="I46" s="1">
        <f t="shared" si="12"/>
        <v>2860676.000000001</v>
      </c>
      <c r="J46" s="1">
        <f t="shared" si="12"/>
        <v>2946496.7999999993</v>
      </c>
      <c r="K46" s="1">
        <f t="shared" si="12"/>
        <v>3034891.599999999</v>
      </c>
      <c r="L46" s="1">
        <f t="shared" si="12"/>
        <v>3125938.400000001</v>
      </c>
      <c r="M46" s="1">
        <f t="shared" si="12"/>
        <v>3219717.8000000026</v>
      </c>
      <c r="N46" s="1">
        <f t="shared" si="12"/>
        <v>3316310.399999998</v>
      </c>
      <c r="O46" s="1">
        <f t="shared" si="12"/>
        <v>3415799.3999999994</v>
      </c>
      <c r="P46" s="1">
        <f t="shared" si="12"/>
        <v>3518273.2000000007</v>
      </c>
      <c r="Q46" s="1">
        <f t="shared" si="12"/>
        <v>3623820.2</v>
      </c>
      <c r="R46" s="1">
        <f t="shared" si="12"/>
        <v>3732534.0000000014</v>
      </c>
      <c r="S46" s="1">
        <f t="shared" si="12"/>
        <v>3844510.8000000007</v>
      </c>
      <c r="T46" s="1">
        <f t="shared" si="12"/>
        <v>3959846.800000002</v>
      </c>
      <c r="U46" s="1">
        <f t="shared" si="12"/>
        <v>4078643.399999998</v>
      </c>
      <c r="V46" s="1">
        <f t="shared" si="12"/>
        <v>4201002.000000002</v>
      </c>
      <c r="W46" s="1">
        <f t="shared" si="12"/>
        <v>4327031.800000002</v>
      </c>
    </row>
    <row r="47" spans="1:23" ht="15">
      <c r="A47" t="s">
        <v>362</v>
      </c>
      <c r="D47" s="1">
        <f aca="true" t="shared" si="13" ref="D47:W47">D40*waste_tariff</f>
        <v>0</v>
      </c>
      <c r="E47" s="1">
        <f t="shared" si="13"/>
        <v>0</v>
      </c>
      <c r="F47" s="1">
        <f t="shared" si="13"/>
        <v>0</v>
      </c>
      <c r="G47" s="1">
        <f t="shared" si="13"/>
        <v>0</v>
      </c>
      <c r="H47" s="1">
        <f t="shared" si="13"/>
        <v>972074.7399999988</v>
      </c>
      <c r="I47" s="1">
        <f t="shared" si="13"/>
        <v>2002473.2000000007</v>
      </c>
      <c r="J47" s="1">
        <f t="shared" si="13"/>
        <v>2062547.7599999995</v>
      </c>
      <c r="K47" s="1">
        <f t="shared" si="13"/>
        <v>2124424.119999999</v>
      </c>
      <c r="L47" s="1">
        <f t="shared" si="13"/>
        <v>2188156.880000001</v>
      </c>
      <c r="M47" s="1">
        <f t="shared" si="13"/>
        <v>2253802.460000002</v>
      </c>
      <c r="N47" s="1">
        <f t="shared" si="13"/>
        <v>2321417.2799999984</v>
      </c>
      <c r="O47" s="1">
        <f t="shared" si="13"/>
        <v>2391059.5799999996</v>
      </c>
      <c r="P47" s="1">
        <f t="shared" si="13"/>
        <v>2462791.24</v>
      </c>
      <c r="Q47" s="1">
        <f t="shared" si="13"/>
        <v>2536674.14</v>
      </c>
      <c r="R47" s="1">
        <f t="shared" si="13"/>
        <v>2612773.8000000007</v>
      </c>
      <c r="S47" s="1">
        <f t="shared" si="13"/>
        <v>2691157.5600000005</v>
      </c>
      <c r="T47" s="1">
        <f t="shared" si="13"/>
        <v>2771892.760000001</v>
      </c>
      <c r="U47" s="1">
        <f t="shared" si="13"/>
        <v>2855050.379999999</v>
      </c>
      <c r="V47" s="1">
        <f t="shared" si="13"/>
        <v>2940701.4000000013</v>
      </c>
      <c r="W47" s="1">
        <f t="shared" si="13"/>
        <v>3028922.260000001</v>
      </c>
    </row>
    <row r="49" spans="1:24" ht="15">
      <c r="A49" t="s">
        <v>365</v>
      </c>
      <c r="D49" s="1">
        <f aca="true" t="shared" si="14" ref="D49:W49">(D43+D44*(1-saturation_density))/subs_per_connection*cesspit_cost</f>
        <v>0</v>
      </c>
      <c r="E49" s="1">
        <f t="shared" si="14"/>
        <v>0</v>
      </c>
      <c r="F49" s="1">
        <f t="shared" si="14"/>
        <v>0</v>
      </c>
      <c r="G49" s="1">
        <f t="shared" si="14"/>
        <v>0</v>
      </c>
      <c r="H49" s="1">
        <f t="shared" si="14"/>
        <v>22681400</v>
      </c>
      <c r="I49" s="1">
        <f t="shared" si="14"/>
        <v>24042666.666666664</v>
      </c>
      <c r="J49" s="1">
        <f t="shared" si="14"/>
        <v>1401773.3333333335</v>
      </c>
      <c r="K49" s="1">
        <f t="shared" si="14"/>
        <v>1443866.6666666665</v>
      </c>
      <c r="L49" s="1">
        <f t="shared" si="14"/>
        <v>1486986.6666666667</v>
      </c>
      <c r="M49" s="1">
        <f t="shared" si="14"/>
        <v>1531693.3333333333</v>
      </c>
      <c r="N49" s="1">
        <f t="shared" si="14"/>
        <v>1577426.6666666667</v>
      </c>
      <c r="O49" s="1">
        <f t="shared" si="14"/>
        <v>1625213.3333333333</v>
      </c>
      <c r="P49" s="1">
        <f t="shared" si="14"/>
        <v>1673839.9999999998</v>
      </c>
      <c r="Q49" s="1">
        <f t="shared" si="14"/>
        <v>1723773.3333333333</v>
      </c>
      <c r="R49" s="1">
        <f t="shared" si="14"/>
        <v>1775759.9999999998</v>
      </c>
      <c r="S49" s="1">
        <f t="shared" si="14"/>
        <v>1829053.3333333335</v>
      </c>
      <c r="T49" s="1">
        <f t="shared" si="14"/>
        <v>1883933.3333333335</v>
      </c>
      <c r="U49" s="1">
        <f t="shared" si="14"/>
        <v>1940400</v>
      </c>
      <c r="V49" s="1">
        <f t="shared" si="14"/>
        <v>1998173.333333333</v>
      </c>
      <c r="W49" s="1">
        <f t="shared" si="14"/>
        <v>2058280</v>
      </c>
      <c r="X49" s="1"/>
    </row>
    <row r="50" spans="1:23" ht="15">
      <c r="A50" t="s">
        <v>366</v>
      </c>
      <c r="D50" s="1">
        <f aca="true" t="shared" si="15" ref="D50:W50">D41/subs_per_connection*sewer_connect_cost</f>
        <v>0</v>
      </c>
      <c r="E50" s="1">
        <f t="shared" si="15"/>
        <v>0</v>
      </c>
      <c r="F50" s="1">
        <f t="shared" si="15"/>
        <v>0</v>
      </c>
      <c r="G50" s="1">
        <f t="shared" si="15"/>
        <v>0</v>
      </c>
      <c r="H50" s="1">
        <f t="shared" si="15"/>
        <v>27773563.999999966</v>
      </c>
      <c r="I50" s="1">
        <f t="shared" si="15"/>
        <v>29439956.000000052</v>
      </c>
      <c r="J50" s="1">
        <f t="shared" si="15"/>
        <v>1716415.9999999683</v>
      </c>
      <c r="K50" s="1">
        <f t="shared" si="15"/>
        <v>1767895.9999999963</v>
      </c>
      <c r="L50" s="1">
        <f t="shared" si="15"/>
        <v>1820936.0000000335</v>
      </c>
      <c r="M50" s="1">
        <f t="shared" si="15"/>
        <v>1875588.0000000354</v>
      </c>
      <c r="N50" s="1">
        <f t="shared" si="15"/>
        <v>1931851.9999999087</v>
      </c>
      <c r="O50" s="1">
        <f t="shared" si="15"/>
        <v>1989780.000000028</v>
      </c>
      <c r="P50" s="1">
        <f t="shared" si="15"/>
        <v>2049476.0000000242</v>
      </c>
      <c r="Q50" s="1">
        <f t="shared" si="15"/>
        <v>2110939.9999999907</v>
      </c>
      <c r="R50" s="1">
        <f t="shared" si="15"/>
        <v>2174276.000000024</v>
      </c>
      <c r="S50" s="1">
        <f t="shared" si="15"/>
        <v>2239535.999999987</v>
      </c>
      <c r="T50" s="1">
        <f t="shared" si="15"/>
        <v>2306720.0000000186</v>
      </c>
      <c r="U50" s="1">
        <f t="shared" si="15"/>
        <v>2375931.9999999367</v>
      </c>
      <c r="V50" s="1">
        <f t="shared" si="15"/>
        <v>2447172.000000067</v>
      </c>
      <c r="W50" s="1">
        <f t="shared" si="15"/>
        <v>2520595.9999999963</v>
      </c>
    </row>
    <row r="51" spans="9:23" ht="15">
      <c r="I51" s="1"/>
      <c r="J51" s="1"/>
      <c r="K51" s="1"/>
      <c r="L51" s="1"/>
      <c r="M51" s="1"/>
      <c r="N51" s="1"/>
      <c r="O51" s="1"/>
      <c r="P51" s="1"/>
      <c r="Q51" s="1"/>
      <c r="R51" s="1"/>
      <c r="S51" s="1"/>
      <c r="T51" s="1"/>
      <c r="U51" s="1"/>
      <c r="V51" s="1"/>
      <c r="W51" s="1"/>
    </row>
    <row r="52" spans="1:23" ht="15">
      <c r="A52" t="s">
        <v>371</v>
      </c>
      <c r="D52" s="1">
        <f aca="true" t="shared" si="16" ref="D52:W52">D44/subs_per_connection*saturation_density*30*35</f>
        <v>0</v>
      </c>
      <c r="E52" s="1">
        <f t="shared" si="16"/>
        <v>0</v>
      </c>
      <c r="F52" s="1">
        <f t="shared" si="16"/>
        <v>0</v>
      </c>
      <c r="G52" s="1">
        <f t="shared" si="16"/>
        <v>0</v>
      </c>
      <c r="H52" s="1">
        <f t="shared" si="16"/>
        <v>7290500</v>
      </c>
      <c r="I52" s="1">
        <f t="shared" si="16"/>
        <v>7728000</v>
      </c>
      <c r="J52" s="1">
        <f t="shared" si="16"/>
        <v>450520.00000000006</v>
      </c>
      <c r="K52" s="1">
        <f t="shared" si="16"/>
        <v>464100</v>
      </c>
      <c r="L52" s="1">
        <f t="shared" si="16"/>
        <v>477960.00000000006</v>
      </c>
      <c r="M52" s="1">
        <f t="shared" si="16"/>
        <v>492380</v>
      </c>
      <c r="N52" s="1">
        <f t="shared" si="16"/>
        <v>507080</v>
      </c>
      <c r="O52" s="1">
        <f t="shared" si="16"/>
        <v>522340</v>
      </c>
      <c r="P52" s="1">
        <f t="shared" si="16"/>
        <v>538020</v>
      </c>
      <c r="Q52" s="1">
        <f t="shared" si="16"/>
        <v>554120</v>
      </c>
      <c r="R52" s="1">
        <f t="shared" si="16"/>
        <v>570780</v>
      </c>
      <c r="S52" s="1">
        <f t="shared" si="16"/>
        <v>587860</v>
      </c>
      <c r="T52" s="1">
        <f t="shared" si="16"/>
        <v>605500.0000000001</v>
      </c>
      <c r="U52" s="1">
        <f t="shared" si="16"/>
        <v>623700</v>
      </c>
      <c r="V52" s="1">
        <f t="shared" si="16"/>
        <v>642320</v>
      </c>
      <c r="W52" s="1">
        <f t="shared" si="16"/>
        <v>661640</v>
      </c>
    </row>
    <row r="53" ht="15">
      <c r="I53" s="1"/>
    </row>
    <row r="54" spans="1:23" ht="15">
      <c r="A54" t="s">
        <v>379</v>
      </c>
      <c r="D54" s="1">
        <f>(D49-D50)+(D46-D47)+D52</f>
        <v>0</v>
      </c>
      <c r="E54" s="1">
        <f>(E49-E50)+(E46-E47)+E52</f>
        <v>0</v>
      </c>
      <c r="F54" s="1">
        <f>(F49-F50)+(F46-F47)+F52</f>
        <v>0</v>
      </c>
      <c r="G54" s="1">
        <f>(G49-G50)+(G46-G47)+G52</f>
        <v>0</v>
      </c>
      <c r="H54" s="1">
        <f>(H49-H50)+(H46-H47)+H52</f>
        <v>2614939.4600000326</v>
      </c>
      <c r="I54" s="1">
        <f>(I49-I50)+(I46-I47)+I52</f>
        <v>3188913.466666613</v>
      </c>
      <c r="J54" s="1">
        <f aca="true" t="shared" si="17" ref="J54:W54">(J49-J50)+(J46-J47)+J52</f>
        <v>1019826.373333365</v>
      </c>
      <c r="K54" s="1">
        <f t="shared" si="17"/>
        <v>1050538.1466666702</v>
      </c>
      <c r="L54" s="1">
        <f t="shared" si="17"/>
        <v>1081792.1866666332</v>
      </c>
      <c r="M54" s="1">
        <f t="shared" si="17"/>
        <v>1114400.6733332986</v>
      </c>
      <c r="N54" s="1">
        <f t="shared" si="17"/>
        <v>1147547.7866667577</v>
      </c>
      <c r="O54" s="1">
        <f t="shared" si="17"/>
        <v>1182513.1533333051</v>
      </c>
      <c r="P54" s="1">
        <f t="shared" si="17"/>
        <v>1217865.959999976</v>
      </c>
      <c r="Q54" s="1">
        <f t="shared" si="17"/>
        <v>1254099.3933333426</v>
      </c>
      <c r="R54" s="1">
        <f t="shared" si="17"/>
        <v>1292024.1999999762</v>
      </c>
      <c r="S54" s="1">
        <f t="shared" si="17"/>
        <v>1330730.5733333468</v>
      </c>
      <c r="T54" s="1">
        <f t="shared" si="17"/>
        <v>1370667.3733333158</v>
      </c>
      <c r="U54" s="1">
        <f t="shared" si="17"/>
        <v>1411761.0200000624</v>
      </c>
      <c r="V54" s="1">
        <f t="shared" si="17"/>
        <v>1453621.9333332665</v>
      </c>
      <c r="W54" s="1">
        <f t="shared" si="17"/>
        <v>1497433.5400000042</v>
      </c>
    </row>
    <row r="56" spans="1:23" ht="15">
      <c r="A56" t="s">
        <v>372</v>
      </c>
      <c r="D56" s="3">
        <f aca="true" t="shared" si="18" ref="D56:W56">D40/subs_per_connection</f>
        <v>0</v>
      </c>
      <c r="E56" s="3">
        <f t="shared" si="18"/>
        <v>0</v>
      </c>
      <c r="F56" s="3">
        <f t="shared" si="18"/>
        <v>0</v>
      </c>
      <c r="G56" s="3">
        <f t="shared" si="18"/>
        <v>0</v>
      </c>
      <c r="H56" s="3">
        <f t="shared" si="18"/>
        <v>23144.63666666664</v>
      </c>
      <c r="I56" s="3">
        <f t="shared" si="18"/>
        <v>47677.93333333335</v>
      </c>
      <c r="J56" s="3">
        <f t="shared" si="18"/>
        <v>49108.27999999999</v>
      </c>
      <c r="K56" s="3">
        <f t="shared" si="18"/>
        <v>50581.52666666665</v>
      </c>
      <c r="L56" s="3">
        <f t="shared" si="18"/>
        <v>52098.97333333335</v>
      </c>
      <c r="M56" s="3">
        <f t="shared" si="18"/>
        <v>53661.96333333338</v>
      </c>
      <c r="N56" s="3">
        <f t="shared" si="18"/>
        <v>55271.83999999997</v>
      </c>
      <c r="O56" s="3">
        <f t="shared" si="18"/>
        <v>56929.98999999999</v>
      </c>
      <c r="P56" s="3">
        <f t="shared" si="18"/>
        <v>58637.88666666668</v>
      </c>
      <c r="Q56" s="3">
        <f t="shared" si="18"/>
        <v>60397.003333333334</v>
      </c>
      <c r="R56" s="3">
        <f t="shared" si="18"/>
        <v>62208.90000000002</v>
      </c>
      <c r="S56" s="3">
        <f t="shared" si="18"/>
        <v>64075.180000000015</v>
      </c>
      <c r="T56" s="3">
        <f t="shared" si="18"/>
        <v>65997.4466666667</v>
      </c>
      <c r="U56" s="3">
        <f t="shared" si="18"/>
        <v>67977.38999999997</v>
      </c>
      <c r="V56" s="3">
        <f t="shared" si="18"/>
        <v>70016.70000000003</v>
      </c>
      <c r="W56" s="3">
        <f t="shared" si="18"/>
        <v>72117.1966666667</v>
      </c>
    </row>
    <row r="59" spans="1:2" ht="15">
      <c r="A59" t="s">
        <v>375</v>
      </c>
      <c r="B59" s="3">
        <f>SUM(H41:W41)</f>
        <v>216351.59000000008</v>
      </c>
    </row>
    <row r="60" spans="1:2" ht="15">
      <c r="A60" t="s">
        <v>376</v>
      </c>
      <c r="B60" s="3">
        <f>B59/HH_Size</f>
        <v>40065.10925925927</v>
      </c>
    </row>
  </sheetData>
  <sheetProtection/>
  <mergeCells count="2">
    <mergeCell ref="A1:G1"/>
    <mergeCell ref="A2:G3"/>
  </mergeCells>
  <conditionalFormatting sqref="A4">
    <cfRule type="cellIs" priority="1" dxfId="14" operator="notEqual" stopIfTrue="1">
      <formula>0</formula>
    </cfRule>
    <cfRule type="cellIs" priority="2" dxfId="15" operator="equal" stopIfTrue="1">
      <formula>0</formula>
    </cfRule>
  </conditionalFormatting>
  <printOptions/>
  <pageMargins left="0.7" right="0.7" top="0.75" bottom="0.75" header="0.3" footer="0.3"/>
  <pageSetup horizontalDpi="200" verticalDpi="200" orientation="portrait" r:id="rId3"/>
  <legacyDrawing r:id="rId2"/>
</worksheet>
</file>

<file path=xl/worksheets/sheet7.xml><?xml version="1.0" encoding="utf-8"?>
<worksheet xmlns="http://schemas.openxmlformats.org/spreadsheetml/2006/main" xmlns:r="http://schemas.openxmlformats.org/officeDocument/2006/relationships">
  <sheetPr codeName="Sheet6"/>
  <dimension ref="A1:G79"/>
  <sheetViews>
    <sheetView zoomScalePageLayoutView="0" workbookViewId="0" topLeftCell="A1">
      <selection activeCell="A5" sqref="A5"/>
    </sheetView>
  </sheetViews>
  <sheetFormatPr defaultColWidth="9.140625" defaultRowHeight="15"/>
  <cols>
    <col min="1" max="1" width="58.421875" style="0" customWidth="1"/>
    <col min="2" max="2" width="9.140625" style="192" customWidth="1"/>
  </cols>
  <sheetData>
    <row r="1" ht="15">
      <c r="A1" s="7" t="s">
        <v>12</v>
      </c>
    </row>
    <row r="2" ht="15">
      <c r="A2" s="7" t="s">
        <v>13</v>
      </c>
    </row>
    <row r="3" ht="15">
      <c r="A3" s="218">
        <f>IF('ERR &amp; Sensitivity Analysis'!$I$15="N","Note: Current calculations are based on user input and are not the original MCC estimates.",IF('ERR &amp; Sensitivity Analysis'!$I$19="N","Note: Current calculations are based on user input and are not the original MCC estimates.",0))</f>
        <v>0</v>
      </c>
    </row>
    <row r="4" ht="15">
      <c r="A4" s="7" t="s">
        <v>59</v>
      </c>
    </row>
    <row r="5" ht="15">
      <c r="A5" t="s">
        <v>9</v>
      </c>
    </row>
    <row r="6" spans="1:3" ht="17.25">
      <c r="A6" t="s">
        <v>67</v>
      </c>
      <c r="B6" s="192">
        <f>AsSamraCapacity/365</f>
        <v>267000</v>
      </c>
      <c r="C6" t="s">
        <v>79</v>
      </c>
    </row>
    <row r="7" spans="1:3" ht="15">
      <c r="A7" t="s">
        <v>58</v>
      </c>
      <c r="B7" s="300">
        <v>2370000</v>
      </c>
      <c r="C7" t="s">
        <v>33</v>
      </c>
    </row>
    <row r="8" spans="1:2" ht="15">
      <c r="A8" t="s">
        <v>57</v>
      </c>
      <c r="B8" s="301">
        <v>921451</v>
      </c>
    </row>
    <row r="9" spans="1:4" ht="15">
      <c r="A9" t="s">
        <v>60</v>
      </c>
      <c r="B9" s="192">
        <v>103</v>
      </c>
      <c r="D9">
        <f>120*0.87</f>
        <v>104.4</v>
      </c>
    </row>
    <row r="10" spans="1:2" ht="15">
      <c r="A10" t="s">
        <v>61</v>
      </c>
      <c r="B10" s="192">
        <v>58</v>
      </c>
    </row>
    <row r="11" ht="15"/>
    <row r="12" spans="1:3" ht="15">
      <c r="A12" t="s">
        <v>14</v>
      </c>
      <c r="B12" s="192">
        <v>267000</v>
      </c>
      <c r="C12" t="s">
        <v>23</v>
      </c>
    </row>
    <row r="13" spans="1:3" ht="15">
      <c r="A13" t="s">
        <v>24</v>
      </c>
      <c r="B13" s="193">
        <f>B12*365</f>
        <v>97455000</v>
      </c>
      <c r="C13" t="s">
        <v>23</v>
      </c>
    </row>
    <row r="14" spans="1:3" ht="15">
      <c r="A14" t="s">
        <v>15</v>
      </c>
      <c r="B14" s="192">
        <v>174000</v>
      </c>
      <c r="C14" t="s">
        <v>23</v>
      </c>
    </row>
    <row r="15" spans="1:3" ht="15">
      <c r="A15" t="s">
        <v>25</v>
      </c>
      <c r="B15" s="193">
        <f>B14*365</f>
        <v>63510000</v>
      </c>
      <c r="C15" t="s">
        <v>23</v>
      </c>
    </row>
    <row r="16" ht="15">
      <c r="B16" s="193"/>
    </row>
    <row r="17" spans="1:3" ht="15">
      <c r="A17" t="s">
        <v>1</v>
      </c>
      <c r="B17" s="196">
        <v>0.38</v>
      </c>
      <c r="C17" t="s">
        <v>0</v>
      </c>
    </row>
    <row r="18" spans="1:3" ht="15">
      <c r="A18" t="s">
        <v>2</v>
      </c>
      <c r="B18" s="196">
        <f>0.54</f>
        <v>0.54</v>
      </c>
      <c r="C18" t="s">
        <v>3</v>
      </c>
    </row>
    <row r="19" spans="1:2" ht="15">
      <c r="A19" t="s">
        <v>4</v>
      </c>
      <c r="B19" s="196">
        <v>0.8</v>
      </c>
    </row>
    <row r="20" spans="1:2" ht="15">
      <c r="A20" t="s">
        <v>39</v>
      </c>
      <c r="B20" s="196">
        <v>0.25</v>
      </c>
    </row>
    <row r="21" spans="1:3" ht="15">
      <c r="A21" t="s">
        <v>19</v>
      </c>
      <c r="B21" s="192">
        <v>65</v>
      </c>
      <c r="C21" t="s">
        <v>16</v>
      </c>
    </row>
    <row r="22" spans="1:3" ht="15">
      <c r="A22" t="s">
        <v>21</v>
      </c>
      <c r="B22" s="302">
        <v>0.03</v>
      </c>
      <c r="C22" t="s">
        <v>83</v>
      </c>
    </row>
    <row r="23" ht="15"/>
    <row r="24" spans="1:3" ht="15">
      <c r="A24" t="s">
        <v>20</v>
      </c>
      <c r="B24" s="193">
        <f>350000*365</f>
        <v>127750000</v>
      </c>
      <c r="C24" t="s">
        <v>17</v>
      </c>
    </row>
    <row r="25" spans="1:3" ht="15">
      <c r="A25" t="s">
        <v>27</v>
      </c>
      <c r="B25" s="302">
        <f>(B24/B13)^(1/9)-1</f>
        <v>0.030532908277465243</v>
      </c>
      <c r="C25" t="s">
        <v>28</v>
      </c>
    </row>
    <row r="26" spans="1:2" ht="15">
      <c r="A26" t="s">
        <v>26</v>
      </c>
      <c r="B26" s="302">
        <f>PopGrowth</f>
        <v>0.03</v>
      </c>
    </row>
    <row r="27" spans="1:3" ht="15">
      <c r="A27" t="s">
        <v>18</v>
      </c>
      <c r="B27" s="192">
        <v>215000</v>
      </c>
      <c r="C27" t="s">
        <v>17</v>
      </c>
    </row>
    <row r="28" spans="1:3" ht="15">
      <c r="A28" t="s">
        <v>29</v>
      </c>
      <c r="B28" s="302">
        <f>(B27/B14)^(1/9)-1</f>
        <v>0.02378771146389358</v>
      </c>
      <c r="C28" t="s">
        <v>28</v>
      </c>
    </row>
    <row r="29" spans="1:2" ht="15">
      <c r="A29" t="s">
        <v>22</v>
      </c>
      <c r="B29" s="302">
        <f>PopGrowth</f>
        <v>0.03</v>
      </c>
    </row>
    <row r="30" ht="15"/>
    <row r="31" spans="1:3" ht="15">
      <c r="A31" t="s">
        <v>52</v>
      </c>
      <c r="B31" s="193">
        <f>176000000*(1.1)</f>
        <v>193600000.00000003</v>
      </c>
      <c r="C31" t="s">
        <v>133</v>
      </c>
    </row>
    <row r="32" spans="1:2" ht="15">
      <c r="A32" t="s">
        <v>5</v>
      </c>
      <c r="B32" s="193">
        <f>B31/exrate</f>
        <v>138285714.28571433</v>
      </c>
    </row>
    <row r="33" spans="1:3" ht="15">
      <c r="A33" t="s">
        <v>132</v>
      </c>
      <c r="B33" s="193">
        <f>('P3_Streams'!B145*0.95+'P3_Streams'!B156*0.95)/exrate</f>
        <v>45464285.71428572</v>
      </c>
      <c r="C33" t="s">
        <v>133</v>
      </c>
    </row>
    <row r="34" spans="1:2" ht="15">
      <c r="A34" t="s">
        <v>183</v>
      </c>
      <c r="B34" s="193">
        <f>40000000/1.4</f>
        <v>28571428.571428575</v>
      </c>
    </row>
    <row r="35" spans="1:2" ht="15">
      <c r="A35" t="s">
        <v>188</v>
      </c>
      <c r="B35" s="193">
        <v>5270000</v>
      </c>
    </row>
    <row r="36" spans="1:2" ht="15">
      <c r="A36" t="s">
        <v>191</v>
      </c>
      <c r="B36" s="303">
        <v>0.19</v>
      </c>
    </row>
    <row r="37" spans="1:2" ht="15">
      <c r="A37" t="s">
        <v>182</v>
      </c>
      <c r="B37" s="193">
        <f>(270000000+390000000)/2/1.4</f>
        <v>235714285.71428573</v>
      </c>
    </row>
    <row r="38" spans="1:3" ht="15">
      <c r="A38" t="s">
        <v>129</v>
      </c>
      <c r="B38" s="192">
        <v>2.35</v>
      </c>
      <c r="C38" t="s">
        <v>130</v>
      </c>
    </row>
    <row r="39" spans="1:2" ht="15">
      <c r="A39" t="s">
        <v>81</v>
      </c>
      <c r="B39" s="192">
        <v>0.08</v>
      </c>
    </row>
    <row r="40" spans="1:2" ht="15">
      <c r="A40" t="s">
        <v>82</v>
      </c>
      <c r="B40" s="303">
        <f>OM_current</f>
        <v>0.08</v>
      </c>
    </row>
    <row r="41" spans="1:2" ht="15">
      <c r="A41" t="s">
        <v>181</v>
      </c>
      <c r="B41" s="303">
        <f>OM_expansion*1.25</f>
        <v>0.1</v>
      </c>
    </row>
    <row r="42" spans="1:2" ht="15">
      <c r="A42" t="s">
        <v>157</v>
      </c>
      <c r="B42" s="193">
        <f>11000000/1.4</f>
        <v>7857142.857142857</v>
      </c>
    </row>
    <row r="43" spans="1:3" ht="15">
      <c r="A43" t="s">
        <v>145</v>
      </c>
      <c r="B43" s="303">
        <v>0.02</v>
      </c>
      <c r="C43" t="s">
        <v>146</v>
      </c>
    </row>
    <row r="44" spans="1:3" ht="15">
      <c r="A44" t="s">
        <v>6</v>
      </c>
      <c r="B44" s="196">
        <v>0.05</v>
      </c>
      <c r="C44" t="s">
        <v>80</v>
      </c>
    </row>
    <row r="46" spans="1:7" ht="15">
      <c r="A46" t="s">
        <v>7</v>
      </c>
      <c r="B46" s="195">
        <v>11500</v>
      </c>
      <c r="C46" t="s">
        <v>11</v>
      </c>
      <c r="G46" s="1"/>
    </row>
    <row r="47" spans="1:3" ht="15">
      <c r="A47" t="s">
        <v>73</v>
      </c>
      <c r="B47" s="195">
        <f>E49*exrate</f>
        <v>3199</v>
      </c>
      <c r="C47" t="s">
        <v>141</v>
      </c>
    </row>
    <row r="48" spans="1:2" ht="15">
      <c r="A48" t="s">
        <v>122</v>
      </c>
      <c r="B48" s="195">
        <v>6400</v>
      </c>
    </row>
    <row r="49" spans="1:5" ht="15">
      <c r="A49" t="s">
        <v>74</v>
      </c>
      <c r="B49" s="195">
        <v>500</v>
      </c>
      <c r="D49">
        <v>2285</v>
      </c>
      <c r="E49" s="299">
        <f>'ERR &amp; Sensitivity Analysis'!G19</f>
        <v>2285</v>
      </c>
    </row>
    <row r="50" spans="1:2" ht="15">
      <c r="A50" t="s">
        <v>10</v>
      </c>
      <c r="B50" s="193">
        <f>B46*B47</f>
        <v>36788500</v>
      </c>
    </row>
    <row r="51" spans="1:3" ht="15">
      <c r="A51" t="s">
        <v>87</v>
      </c>
      <c r="B51" s="192">
        <v>15000</v>
      </c>
      <c r="C51" t="s">
        <v>88</v>
      </c>
    </row>
    <row r="52" spans="1:3" ht="17.25">
      <c r="A52" t="s">
        <v>131</v>
      </c>
      <c r="B52" s="192">
        <v>4818</v>
      </c>
      <c r="C52" t="s">
        <v>137</v>
      </c>
    </row>
    <row r="53" spans="1:3" ht="15">
      <c r="A53" t="s">
        <v>348</v>
      </c>
      <c r="B53" s="192">
        <v>0.72</v>
      </c>
      <c r="C53" t="s">
        <v>44</v>
      </c>
    </row>
    <row r="54" spans="1:2" ht="15">
      <c r="A54" t="s">
        <v>347</v>
      </c>
      <c r="B54" s="192">
        <v>0.85</v>
      </c>
    </row>
    <row r="55" spans="1:2" ht="15">
      <c r="A55" t="s">
        <v>32</v>
      </c>
      <c r="B55" s="193">
        <v>80000000</v>
      </c>
    </row>
    <row r="56" spans="1:2" ht="15">
      <c r="A56" t="s">
        <v>308</v>
      </c>
      <c r="B56" s="192">
        <v>1.4</v>
      </c>
    </row>
    <row r="57" spans="1:2" ht="15">
      <c r="A57" t="s">
        <v>225</v>
      </c>
      <c r="B57" s="192">
        <v>0.493</v>
      </c>
    </row>
    <row r="59" spans="1:3" ht="15">
      <c r="A59" s="147" t="s">
        <v>359</v>
      </c>
      <c r="B59" s="192">
        <v>1400</v>
      </c>
      <c r="C59" t="s">
        <v>44</v>
      </c>
    </row>
    <row r="60" spans="1:3" ht="15">
      <c r="A60" s="147" t="s">
        <v>354</v>
      </c>
      <c r="B60" s="192">
        <v>1200</v>
      </c>
      <c r="C60" t="s">
        <v>44</v>
      </c>
    </row>
    <row r="61" spans="1:3" ht="30">
      <c r="A61" s="148" t="s">
        <v>355</v>
      </c>
      <c r="B61" s="196">
        <v>0.6</v>
      </c>
      <c r="C61" t="s">
        <v>44</v>
      </c>
    </row>
    <row r="62" spans="1:3" ht="30">
      <c r="A62" s="148" t="s">
        <v>356</v>
      </c>
      <c r="B62" s="196">
        <v>0.4</v>
      </c>
      <c r="C62" t="s">
        <v>44</v>
      </c>
    </row>
    <row r="63" ht="15">
      <c r="A63" s="147"/>
    </row>
    <row r="64" spans="1:3" ht="15">
      <c r="A64" s="147" t="s">
        <v>357</v>
      </c>
      <c r="B64" s="196">
        <v>0.25</v>
      </c>
      <c r="C64" t="s">
        <v>44</v>
      </c>
    </row>
    <row r="65" spans="1:3" ht="15">
      <c r="A65" s="147" t="s">
        <v>358</v>
      </c>
      <c r="B65" s="196">
        <f>1-growth_share_existing_network</f>
        <v>0.75</v>
      </c>
      <c r="C65" t="s">
        <v>44</v>
      </c>
    </row>
    <row r="66" ht="15">
      <c r="A66" s="147"/>
    </row>
    <row r="67" spans="1:3" ht="30">
      <c r="A67" s="148" t="s">
        <v>369</v>
      </c>
      <c r="B67" s="192">
        <v>60</v>
      </c>
      <c r="C67" t="s">
        <v>44</v>
      </c>
    </row>
    <row r="68" spans="1:3" ht="15">
      <c r="A68" s="148" t="s">
        <v>368</v>
      </c>
      <c r="B68" s="192">
        <v>14</v>
      </c>
      <c r="C68" t="s">
        <v>44</v>
      </c>
    </row>
    <row r="69" spans="1:3" ht="15">
      <c r="A69" s="147" t="s">
        <v>361</v>
      </c>
      <c r="B69" s="192">
        <v>3</v>
      </c>
      <c r="C69" t="s">
        <v>44</v>
      </c>
    </row>
    <row r="70" spans="1:3" ht="15">
      <c r="A70" s="147" t="s">
        <v>367</v>
      </c>
      <c r="B70" s="192">
        <v>30</v>
      </c>
      <c r="C70" t="s">
        <v>44</v>
      </c>
    </row>
    <row r="71" spans="1:3" ht="15">
      <c r="A71" s="147" t="s">
        <v>370</v>
      </c>
      <c r="B71" s="192">
        <v>35</v>
      </c>
      <c r="C71" t="s">
        <v>44</v>
      </c>
    </row>
    <row r="76" ht="15">
      <c r="A76" t="s">
        <v>296</v>
      </c>
    </row>
    <row r="77" ht="15">
      <c r="B77" s="193"/>
    </row>
    <row r="78" spans="1:2" ht="15">
      <c r="A78" t="s">
        <v>297</v>
      </c>
      <c r="B78" s="193">
        <f>40000000</f>
        <v>40000000</v>
      </c>
    </row>
    <row r="79" ht="15">
      <c r="B79" s="193"/>
    </row>
  </sheetData>
  <sheetProtection/>
  <conditionalFormatting sqref="A3">
    <cfRule type="cellIs" priority="1" dxfId="14" operator="notEqual" stopIfTrue="1">
      <formula>0</formula>
    </cfRule>
    <cfRule type="cellIs" priority="2" dxfId="15" operator="equal" stopIfTrue="1">
      <formula>0</formula>
    </cfRule>
  </conditionalFormatting>
  <printOptions/>
  <pageMargins left="0.7" right="0.7" top="0.75" bottom="0.75" header="0.3" footer="0.3"/>
  <pageSetup horizontalDpi="200" verticalDpi="200" orientation="portrait" r:id="rId3"/>
  <legacyDrawing r:id="rId2"/>
</worksheet>
</file>

<file path=xl/worksheets/sheet8.xml><?xml version="1.0" encoding="utf-8"?>
<worksheet xmlns="http://schemas.openxmlformats.org/spreadsheetml/2006/main" xmlns:r="http://schemas.openxmlformats.org/officeDocument/2006/relationships">
  <sheetPr codeName="Sheet7"/>
  <dimension ref="A1:AB137"/>
  <sheetViews>
    <sheetView zoomScale="85" zoomScaleNormal="85" zoomScalePageLayoutView="0" workbookViewId="0" topLeftCell="A1">
      <selection activeCell="A1" sqref="A1"/>
    </sheetView>
  </sheetViews>
  <sheetFormatPr defaultColWidth="9.140625" defaultRowHeight="15"/>
  <cols>
    <col min="1" max="1" width="52.7109375" style="0" customWidth="1"/>
    <col min="2" max="2" width="15.28125" style="0" customWidth="1"/>
    <col min="3" max="4" width="12.421875" style="0" customWidth="1"/>
    <col min="5" max="5" width="10.57421875" style="0" bestFit="1" customWidth="1"/>
    <col min="6" max="7" width="10.28125" style="0" customWidth="1"/>
    <col min="8" max="8" width="12.421875" style="0" customWidth="1"/>
    <col min="9" max="9" width="11.7109375" style="0" customWidth="1"/>
    <col min="10" max="10" width="10.00390625" style="0" customWidth="1"/>
    <col min="11" max="11" width="11.421875" style="0" customWidth="1"/>
    <col min="12" max="12" width="12.140625" style="0" customWidth="1"/>
    <col min="13" max="23" width="10.57421875" style="0" bestFit="1" customWidth="1"/>
    <col min="24" max="24" width="10.8515625" style="0" bestFit="1" customWidth="1"/>
    <col min="27" max="27" width="12.00390625" style="0" bestFit="1" customWidth="1"/>
    <col min="28" max="28" width="10.00390625" style="0" bestFit="1" customWidth="1"/>
  </cols>
  <sheetData>
    <row r="1" spans="1:2" ht="15">
      <c r="A1" s="7" t="s">
        <v>12</v>
      </c>
      <c r="B1" s="218">
        <f>IF('ERR &amp; Sensitivity Analysis'!$I$15="N","Note: Current calculations are based on user input and are not the original MCC estimates.",IF('ERR &amp; Sensitivity Analysis'!$I$19="N","Note: Current calculations are based on user input and are not the original MCC estimates.",0))</f>
        <v>0</v>
      </c>
    </row>
    <row r="2" spans="1:7" ht="15">
      <c r="A2" s="7" t="s">
        <v>378</v>
      </c>
      <c r="G2">
        <f>64*1.4</f>
        <v>89.6</v>
      </c>
    </row>
    <row r="3" ht="15">
      <c r="A3" s="7" t="s">
        <v>31</v>
      </c>
    </row>
    <row r="4" ht="15">
      <c r="A4" s="7" t="s">
        <v>377</v>
      </c>
    </row>
    <row r="5" spans="1:23" ht="15">
      <c r="A5" s="7" t="s">
        <v>54</v>
      </c>
      <c r="B5" s="20" t="s">
        <v>30</v>
      </c>
      <c r="C5" s="5">
        <v>0</v>
      </c>
      <c r="D5" s="5">
        <v>1</v>
      </c>
      <c r="E5" s="5">
        <v>2</v>
      </c>
      <c r="F5" s="5">
        <v>3</v>
      </c>
      <c r="G5" s="5">
        <v>4</v>
      </c>
      <c r="H5" s="5">
        <v>5</v>
      </c>
      <c r="I5" s="5">
        <v>6</v>
      </c>
      <c r="J5" s="5">
        <v>7</v>
      </c>
      <c r="K5" s="5">
        <v>8</v>
      </c>
      <c r="L5" s="5">
        <v>9</v>
      </c>
      <c r="M5" s="5">
        <v>10</v>
      </c>
      <c r="N5" s="5">
        <v>11</v>
      </c>
      <c r="O5" s="5">
        <v>12</v>
      </c>
      <c r="P5" s="5">
        <v>13</v>
      </c>
      <c r="Q5" s="5">
        <v>14</v>
      </c>
      <c r="R5" s="5">
        <v>15</v>
      </c>
      <c r="S5" s="5">
        <v>16</v>
      </c>
      <c r="T5" s="5">
        <v>17</v>
      </c>
      <c r="U5" s="5">
        <v>18</v>
      </c>
      <c r="V5" s="5">
        <v>19</v>
      </c>
      <c r="W5" s="5">
        <v>20</v>
      </c>
    </row>
    <row r="6" spans="2:23" ht="15">
      <c r="B6" s="20" t="s">
        <v>8</v>
      </c>
      <c r="C6" s="5">
        <v>2010</v>
      </c>
      <c r="D6" s="24">
        <v>2011</v>
      </c>
      <c r="E6" s="24">
        <v>2012</v>
      </c>
      <c r="F6" s="24">
        <v>2013</v>
      </c>
      <c r="G6" s="24">
        <v>2014</v>
      </c>
      <c r="H6" s="24">
        <v>2015</v>
      </c>
      <c r="I6" s="5">
        <v>2016</v>
      </c>
      <c r="J6" s="5">
        <v>2017</v>
      </c>
      <c r="K6" s="5">
        <v>2018</v>
      </c>
      <c r="L6" s="5">
        <v>2019</v>
      </c>
      <c r="M6" s="5">
        <v>2020</v>
      </c>
      <c r="N6" s="5">
        <v>2021</v>
      </c>
      <c r="O6" s="5">
        <v>2022</v>
      </c>
      <c r="P6" s="5">
        <v>2023</v>
      </c>
      <c r="Q6" s="5">
        <v>2024</v>
      </c>
      <c r="R6" s="5">
        <v>2025</v>
      </c>
      <c r="S6" s="5">
        <v>2026</v>
      </c>
      <c r="T6" s="5">
        <v>2027</v>
      </c>
      <c r="U6" s="5">
        <v>2028</v>
      </c>
      <c r="V6" s="5">
        <v>2029</v>
      </c>
      <c r="W6" s="5">
        <v>2030</v>
      </c>
    </row>
    <row r="7" spans="1:23" ht="15">
      <c r="A7" t="s">
        <v>34</v>
      </c>
      <c r="B7" s="6"/>
      <c r="C7" s="12">
        <f>Data!B7</f>
        <v>2370000</v>
      </c>
      <c r="D7" s="12">
        <f aca="true" t="shared" si="0" ref="D7:W7">ROUND(C7*(1+PopGrowth),0)</f>
        <v>2441100</v>
      </c>
      <c r="E7" s="12">
        <f t="shared" si="0"/>
        <v>2514333</v>
      </c>
      <c r="F7" s="12">
        <f t="shared" si="0"/>
        <v>2589763</v>
      </c>
      <c r="G7" s="12">
        <f t="shared" si="0"/>
        <v>2667456</v>
      </c>
      <c r="H7" s="12">
        <f t="shared" si="0"/>
        <v>2747480</v>
      </c>
      <c r="I7" s="12">
        <f t="shared" si="0"/>
        <v>2829904</v>
      </c>
      <c r="J7" s="12">
        <f t="shared" si="0"/>
        <v>2914801</v>
      </c>
      <c r="K7" s="12">
        <f t="shared" si="0"/>
        <v>3002245</v>
      </c>
      <c r="L7" s="12">
        <f t="shared" si="0"/>
        <v>3092312</v>
      </c>
      <c r="M7" s="12">
        <f t="shared" si="0"/>
        <v>3185081</v>
      </c>
      <c r="N7" s="12">
        <f t="shared" si="0"/>
        <v>3280633</v>
      </c>
      <c r="O7" s="12">
        <f t="shared" si="0"/>
        <v>3379052</v>
      </c>
      <c r="P7" s="12">
        <f t="shared" si="0"/>
        <v>3480424</v>
      </c>
      <c r="Q7" s="12">
        <f t="shared" si="0"/>
        <v>3584837</v>
      </c>
      <c r="R7" s="12">
        <f t="shared" si="0"/>
        <v>3692382</v>
      </c>
      <c r="S7" s="12">
        <f t="shared" si="0"/>
        <v>3803153</v>
      </c>
      <c r="T7" s="12">
        <f t="shared" si="0"/>
        <v>3917248</v>
      </c>
      <c r="U7" s="12">
        <f t="shared" si="0"/>
        <v>4034765</v>
      </c>
      <c r="V7" s="12">
        <f t="shared" si="0"/>
        <v>4155808</v>
      </c>
      <c r="W7" s="12">
        <f t="shared" si="0"/>
        <v>4280482</v>
      </c>
    </row>
    <row r="8" spans="1:23" ht="15">
      <c r="A8" t="s">
        <v>46</v>
      </c>
      <c r="B8" s="6"/>
      <c r="C8" s="16">
        <f>C7*0.93-C22</f>
        <v>1629100</v>
      </c>
      <c r="D8" s="16">
        <f aca="true" t="shared" si="1" ref="D8:W8">D7*0.93-D22</f>
        <v>1677973</v>
      </c>
      <c r="E8" s="16">
        <f t="shared" si="1"/>
        <v>1728311.69</v>
      </c>
      <c r="F8" s="16">
        <f t="shared" si="1"/>
        <v>1780160.5900000003</v>
      </c>
      <c r="G8" s="16">
        <f t="shared" si="1"/>
        <v>1833565.08</v>
      </c>
      <c r="H8" s="16">
        <f t="shared" si="1"/>
        <v>1888572.4</v>
      </c>
      <c r="I8" s="16">
        <f t="shared" si="1"/>
        <v>1945228.7200000002</v>
      </c>
      <c r="J8" s="16">
        <f t="shared" si="1"/>
        <v>2003585.9300000002</v>
      </c>
      <c r="K8" s="16">
        <f t="shared" si="1"/>
        <v>2063693.85</v>
      </c>
      <c r="L8" s="16">
        <f t="shared" si="1"/>
        <v>2125604.16</v>
      </c>
      <c r="M8" s="16">
        <f t="shared" si="1"/>
        <v>2189372.33</v>
      </c>
      <c r="N8" s="16">
        <f t="shared" si="1"/>
        <v>2255052.69</v>
      </c>
      <c r="O8" s="16">
        <f t="shared" si="1"/>
        <v>2322704.3600000003</v>
      </c>
      <c r="P8" s="16">
        <f t="shared" si="1"/>
        <v>2392386.3200000003</v>
      </c>
      <c r="Q8" s="16">
        <f t="shared" si="1"/>
        <v>2464158.41</v>
      </c>
      <c r="R8" s="16">
        <f t="shared" si="1"/>
        <v>2538083.2600000002</v>
      </c>
      <c r="S8" s="16">
        <f t="shared" si="1"/>
        <v>2614225.29</v>
      </c>
      <c r="T8" s="16">
        <f t="shared" si="1"/>
        <v>2692652.64</v>
      </c>
      <c r="U8" s="16">
        <f t="shared" si="1"/>
        <v>2773431.45</v>
      </c>
      <c r="V8" s="16">
        <f t="shared" si="1"/>
        <v>2856634.4400000004</v>
      </c>
      <c r="W8" s="16">
        <f t="shared" si="1"/>
        <v>2942333.2600000002</v>
      </c>
    </row>
    <row r="9" spans="1:23" ht="15">
      <c r="A9" t="s">
        <v>35</v>
      </c>
      <c r="B9" s="6"/>
      <c r="C9" s="12">
        <f>Data!B9</f>
        <v>103</v>
      </c>
      <c r="D9" s="12">
        <v>103</v>
      </c>
      <c r="E9" s="12">
        <v>103</v>
      </c>
      <c r="F9" s="12">
        <v>103</v>
      </c>
      <c r="G9" s="12">
        <v>104</v>
      </c>
      <c r="H9" s="12">
        <v>104</v>
      </c>
      <c r="I9" s="12">
        <v>104</v>
      </c>
      <c r="J9" s="12">
        <v>104</v>
      </c>
      <c r="K9" s="12">
        <v>104</v>
      </c>
      <c r="L9" s="12">
        <v>104</v>
      </c>
      <c r="M9" s="12">
        <v>104</v>
      </c>
      <c r="N9" s="12">
        <v>104</v>
      </c>
      <c r="O9" s="12">
        <v>104</v>
      </c>
      <c r="P9" s="12">
        <v>104</v>
      </c>
      <c r="Q9" s="12">
        <v>104</v>
      </c>
      <c r="R9" s="12">
        <v>104</v>
      </c>
      <c r="S9" s="12">
        <v>104</v>
      </c>
      <c r="T9" s="12">
        <v>104</v>
      </c>
      <c r="U9" s="12">
        <v>104</v>
      </c>
      <c r="V9" s="12">
        <v>104</v>
      </c>
      <c r="W9" s="12">
        <v>105</v>
      </c>
    </row>
    <row r="10" spans="1:23" ht="15">
      <c r="A10" t="s">
        <v>40</v>
      </c>
      <c r="B10" s="6"/>
      <c r="C10" s="1">
        <f>C8*C9/1000*365</f>
        <v>61246014.49999999</v>
      </c>
      <c r="D10" s="1">
        <f aca="true" t="shared" si="2" ref="D10:W10">D8*D9/1000*365</f>
        <v>63083394.935</v>
      </c>
      <c r="E10" s="1">
        <f t="shared" si="2"/>
        <v>64975877.98555</v>
      </c>
      <c r="F10" s="1">
        <f t="shared" si="2"/>
        <v>66925137.38105002</v>
      </c>
      <c r="G10" s="1">
        <f t="shared" si="2"/>
        <v>69602130.4368</v>
      </c>
      <c r="H10" s="1">
        <f t="shared" si="2"/>
        <v>71690208.30399999</v>
      </c>
      <c r="I10" s="1">
        <f t="shared" si="2"/>
        <v>73840882.21120001</v>
      </c>
      <c r="J10" s="1">
        <f t="shared" si="2"/>
        <v>76056121.90280001</v>
      </c>
      <c r="K10" s="1">
        <f t="shared" si="2"/>
        <v>78337818.546</v>
      </c>
      <c r="L10" s="1">
        <f t="shared" si="2"/>
        <v>80687933.9136</v>
      </c>
      <c r="M10" s="1">
        <f t="shared" si="2"/>
        <v>83108573.6468</v>
      </c>
      <c r="N10" s="1">
        <f t="shared" si="2"/>
        <v>85601800.1124</v>
      </c>
      <c r="O10" s="1">
        <f t="shared" si="2"/>
        <v>88169857.5056</v>
      </c>
      <c r="P10" s="1">
        <f t="shared" si="2"/>
        <v>90814984.7072</v>
      </c>
      <c r="Q10" s="1">
        <f t="shared" si="2"/>
        <v>93539453.24360001</v>
      </c>
      <c r="R10" s="1">
        <f t="shared" si="2"/>
        <v>96345640.5496</v>
      </c>
      <c r="S10" s="1">
        <f t="shared" si="2"/>
        <v>99235992.00840002</v>
      </c>
      <c r="T10" s="1">
        <f t="shared" si="2"/>
        <v>102213094.21440001</v>
      </c>
      <c r="U10" s="1">
        <f t="shared" si="2"/>
        <v>105279457.84200001</v>
      </c>
      <c r="V10" s="1">
        <f t="shared" si="2"/>
        <v>108437843.34240001</v>
      </c>
      <c r="W10" s="1">
        <f t="shared" si="2"/>
        <v>112764922.18949999</v>
      </c>
    </row>
    <row r="11" spans="1:23" ht="15">
      <c r="A11" t="s">
        <v>64</v>
      </c>
      <c r="B11" s="6"/>
      <c r="C11" s="3">
        <f aca="true" t="shared" si="3" ref="C11:W11">C10/365</f>
        <v>167797.3</v>
      </c>
      <c r="D11" s="3">
        <f t="shared" si="3"/>
        <v>172831.219</v>
      </c>
      <c r="E11" s="3">
        <f t="shared" si="3"/>
        <v>178016.10407</v>
      </c>
      <c r="F11" s="3">
        <f t="shared" si="3"/>
        <v>183356.54077000005</v>
      </c>
      <c r="G11" s="3">
        <f t="shared" si="3"/>
        <v>190690.76832</v>
      </c>
      <c r="H11" s="3">
        <f t="shared" si="3"/>
        <v>196411.52959999998</v>
      </c>
      <c r="I11" s="3">
        <f t="shared" si="3"/>
        <v>202303.78688000003</v>
      </c>
      <c r="J11" s="3">
        <f t="shared" si="3"/>
        <v>208372.93672000003</v>
      </c>
      <c r="K11" s="3">
        <f t="shared" si="3"/>
        <v>214624.16040000002</v>
      </c>
      <c r="L11" s="3">
        <f t="shared" si="3"/>
        <v>221062.83264</v>
      </c>
      <c r="M11" s="3">
        <f t="shared" si="3"/>
        <v>227694.72232</v>
      </c>
      <c r="N11" s="3">
        <f t="shared" si="3"/>
        <v>234525.47976</v>
      </c>
      <c r="O11" s="3">
        <f t="shared" si="3"/>
        <v>241561.25344</v>
      </c>
      <c r="P11" s="3">
        <f t="shared" si="3"/>
        <v>248808.17728</v>
      </c>
      <c r="Q11" s="3">
        <f t="shared" si="3"/>
        <v>256272.47464000003</v>
      </c>
      <c r="R11" s="3">
        <f t="shared" si="3"/>
        <v>263960.65904</v>
      </c>
      <c r="S11" s="3">
        <f t="shared" si="3"/>
        <v>271879.43016000005</v>
      </c>
      <c r="T11" s="3">
        <f t="shared" si="3"/>
        <v>280035.87456</v>
      </c>
      <c r="U11" s="3">
        <f t="shared" si="3"/>
        <v>288436.87080000003</v>
      </c>
      <c r="V11" s="3">
        <f t="shared" si="3"/>
        <v>297089.98176000005</v>
      </c>
      <c r="W11" s="3">
        <f t="shared" si="3"/>
        <v>308944.9923</v>
      </c>
    </row>
    <row r="12" spans="2:23" ht="15">
      <c r="B12" s="6"/>
      <c r="C12" s="3"/>
      <c r="D12" s="3"/>
      <c r="E12" s="3"/>
      <c r="F12" s="3"/>
      <c r="G12" s="3"/>
      <c r="H12" s="3"/>
      <c r="I12" s="3"/>
      <c r="J12" s="3"/>
      <c r="K12" s="3"/>
      <c r="L12" s="3"/>
      <c r="M12" s="3"/>
      <c r="N12" s="3"/>
      <c r="O12" s="3"/>
      <c r="P12" s="3"/>
      <c r="Q12" s="3"/>
      <c r="R12" s="3"/>
      <c r="S12" s="3"/>
      <c r="T12" s="3"/>
      <c r="U12" s="3"/>
      <c r="V12" s="3"/>
      <c r="W12" s="3"/>
    </row>
    <row r="13" spans="1:23" ht="15">
      <c r="A13" t="s">
        <v>36</v>
      </c>
      <c r="B13" s="6"/>
      <c r="C13" s="3">
        <v>851500</v>
      </c>
      <c r="D13" s="3">
        <f aca="true" t="shared" si="4" ref="D13:W13">ROUND(C13*(1+PopGrowth),0)</f>
        <v>877045</v>
      </c>
      <c r="E13" s="3">
        <f t="shared" si="4"/>
        <v>903356</v>
      </c>
      <c r="F13" s="3">
        <f t="shared" si="4"/>
        <v>930457</v>
      </c>
      <c r="G13" s="3">
        <f t="shared" si="4"/>
        <v>958371</v>
      </c>
      <c r="H13" s="3">
        <f t="shared" si="4"/>
        <v>987122</v>
      </c>
      <c r="I13" s="3">
        <f t="shared" si="4"/>
        <v>1016736</v>
      </c>
      <c r="J13" s="3">
        <f t="shared" si="4"/>
        <v>1047238</v>
      </c>
      <c r="K13" s="3">
        <f t="shared" si="4"/>
        <v>1078655</v>
      </c>
      <c r="L13" s="3">
        <f t="shared" si="4"/>
        <v>1111015</v>
      </c>
      <c r="M13" s="3">
        <f t="shared" si="4"/>
        <v>1144345</v>
      </c>
      <c r="N13" s="3">
        <f t="shared" si="4"/>
        <v>1178675</v>
      </c>
      <c r="O13" s="3">
        <f t="shared" si="4"/>
        <v>1214035</v>
      </c>
      <c r="P13" s="3">
        <f t="shared" si="4"/>
        <v>1250456</v>
      </c>
      <c r="Q13" s="3">
        <f t="shared" si="4"/>
        <v>1287970</v>
      </c>
      <c r="R13" s="3">
        <f t="shared" si="4"/>
        <v>1326609</v>
      </c>
      <c r="S13" s="3">
        <f t="shared" si="4"/>
        <v>1366407</v>
      </c>
      <c r="T13" s="3">
        <f t="shared" si="4"/>
        <v>1407399</v>
      </c>
      <c r="U13" s="3">
        <f t="shared" si="4"/>
        <v>1449621</v>
      </c>
      <c r="V13" s="3">
        <f t="shared" si="4"/>
        <v>1493110</v>
      </c>
      <c r="W13" s="3">
        <f t="shared" si="4"/>
        <v>1537903</v>
      </c>
    </row>
    <row r="14" spans="1:23" ht="15">
      <c r="A14" t="s">
        <v>43</v>
      </c>
      <c r="B14" s="6"/>
      <c r="C14" s="3">
        <f>C13*Data!$B53</f>
        <v>613080</v>
      </c>
      <c r="D14" s="3">
        <f>D13*Data!$B53</f>
        <v>631472.4</v>
      </c>
      <c r="E14" s="3">
        <f>E13*Data!$B53</f>
        <v>650416.32</v>
      </c>
      <c r="F14" s="3">
        <f>F13*Data!$B53</f>
        <v>669929.0399999999</v>
      </c>
      <c r="G14" s="3">
        <f>G13*Data!$B53</f>
        <v>690027.12</v>
      </c>
      <c r="H14" s="3">
        <f>H13*Data!$B53</f>
        <v>710727.84</v>
      </c>
      <c r="I14" s="3">
        <f>I13*Data!$B53</f>
        <v>732049.9199999999</v>
      </c>
      <c r="J14" s="3">
        <f>J13*Data!$B53</f>
        <v>754011.36</v>
      </c>
      <c r="K14" s="3">
        <f>K13*Data!$B53</f>
        <v>776631.6</v>
      </c>
      <c r="L14" s="3">
        <f>L13*Data!$B53</f>
        <v>799930.7999999999</v>
      </c>
      <c r="M14" s="3">
        <f>M13*Data!$B53</f>
        <v>823928.4</v>
      </c>
      <c r="N14" s="3">
        <f>N13*Data!$B53</f>
        <v>848646</v>
      </c>
      <c r="O14" s="3">
        <f>O13*Data!$B53</f>
        <v>874105.2</v>
      </c>
      <c r="P14" s="3">
        <f>P13*Data!$B53</f>
        <v>900328.32</v>
      </c>
      <c r="Q14" s="3">
        <f>Q13*Data!$B53</f>
        <v>927338.4</v>
      </c>
      <c r="R14" s="3">
        <f>R13*Data!$B53</f>
        <v>955158.48</v>
      </c>
      <c r="S14" s="3">
        <f>S13*Data!$B53</f>
        <v>983813.0399999999</v>
      </c>
      <c r="T14" s="3">
        <f>T13*Data!$B53</f>
        <v>1013327.2799999999</v>
      </c>
      <c r="U14" s="3">
        <f>U13*Data!$B53</f>
        <v>1043727.12</v>
      </c>
      <c r="V14" s="3">
        <f>V13*Data!$B53</f>
        <v>1075039.2</v>
      </c>
      <c r="W14" s="3">
        <f>W13*Data!$B53</f>
        <v>1107290.16</v>
      </c>
    </row>
    <row r="15" spans="1:23" ht="15">
      <c r="A15" t="s">
        <v>37</v>
      </c>
      <c r="B15" s="6"/>
      <c r="C15" s="12">
        <f>Data!B10</f>
        <v>58</v>
      </c>
      <c r="D15" s="12">
        <f aca="true" t="shared" si="5" ref="D15:U15">C15</f>
        <v>58</v>
      </c>
      <c r="E15" s="12">
        <f t="shared" si="5"/>
        <v>58</v>
      </c>
      <c r="F15" s="12">
        <f t="shared" si="5"/>
        <v>58</v>
      </c>
      <c r="G15" s="12">
        <v>87</v>
      </c>
      <c r="H15" s="12">
        <v>87</v>
      </c>
      <c r="I15" s="12">
        <f t="shared" si="5"/>
        <v>87</v>
      </c>
      <c r="J15" s="12">
        <f t="shared" si="5"/>
        <v>87</v>
      </c>
      <c r="K15" s="12">
        <f t="shared" si="5"/>
        <v>87</v>
      </c>
      <c r="L15" s="12">
        <v>84</v>
      </c>
      <c r="M15" s="12">
        <f t="shared" si="5"/>
        <v>84</v>
      </c>
      <c r="N15" s="12">
        <f t="shared" si="5"/>
        <v>84</v>
      </c>
      <c r="O15" s="12">
        <f t="shared" si="5"/>
        <v>84</v>
      </c>
      <c r="P15" s="12">
        <f t="shared" si="5"/>
        <v>84</v>
      </c>
      <c r="Q15" s="12">
        <v>86</v>
      </c>
      <c r="R15" s="12">
        <f t="shared" si="5"/>
        <v>86</v>
      </c>
      <c r="S15" s="12">
        <f t="shared" si="5"/>
        <v>86</v>
      </c>
      <c r="T15" s="12">
        <f t="shared" si="5"/>
        <v>86</v>
      </c>
      <c r="U15" s="12">
        <f t="shared" si="5"/>
        <v>86</v>
      </c>
      <c r="V15" s="12">
        <v>87</v>
      </c>
      <c r="W15" s="12">
        <v>88</v>
      </c>
    </row>
    <row r="16" spans="1:23" ht="15">
      <c r="A16" t="s">
        <v>45</v>
      </c>
      <c r="B16" s="6"/>
      <c r="C16" s="1">
        <f>C14*C15*365/1000</f>
        <v>12978903.6</v>
      </c>
      <c r="D16" s="1">
        <f aca="true" t="shared" si="6" ref="D16:W16">D14*D15*365/1000</f>
        <v>13368270.708000002</v>
      </c>
      <c r="E16" s="1">
        <f t="shared" si="6"/>
        <v>13769313.494399998</v>
      </c>
      <c r="F16" s="1">
        <f t="shared" si="6"/>
        <v>14182397.776799997</v>
      </c>
      <c r="G16" s="1">
        <f t="shared" si="6"/>
        <v>21911811.1956</v>
      </c>
      <c r="H16" s="1">
        <f t="shared" si="6"/>
        <v>22569162.5592</v>
      </c>
      <c r="I16" s="1">
        <f t="shared" si="6"/>
        <v>23246245.209599998</v>
      </c>
      <c r="J16" s="1">
        <f t="shared" si="6"/>
        <v>23943630.7368</v>
      </c>
      <c r="K16" s="1">
        <f t="shared" si="6"/>
        <v>24661936.458</v>
      </c>
      <c r="L16" s="1">
        <f t="shared" si="6"/>
        <v>24525878.327999998</v>
      </c>
      <c r="M16" s="1">
        <f t="shared" si="6"/>
        <v>25261644.744000003</v>
      </c>
      <c r="N16" s="1">
        <f t="shared" si="6"/>
        <v>26019486.36</v>
      </c>
      <c r="O16" s="1">
        <f t="shared" si="6"/>
        <v>26800065.432</v>
      </c>
      <c r="P16" s="1">
        <f t="shared" si="6"/>
        <v>27604066.291199997</v>
      </c>
      <c r="Q16" s="1">
        <f t="shared" si="6"/>
        <v>29109152.376000002</v>
      </c>
      <c r="R16" s="1">
        <f t="shared" si="6"/>
        <v>29982424.687200002</v>
      </c>
      <c r="S16" s="1">
        <f t="shared" si="6"/>
        <v>30881891.3256</v>
      </c>
      <c r="T16" s="1">
        <f t="shared" si="6"/>
        <v>31808343.3192</v>
      </c>
      <c r="U16" s="1">
        <f t="shared" si="6"/>
        <v>32762594.2968</v>
      </c>
      <c r="V16" s="1">
        <f t="shared" si="6"/>
        <v>34137869.796</v>
      </c>
      <c r="W16" s="1">
        <f t="shared" si="6"/>
        <v>35566159.9392</v>
      </c>
    </row>
    <row r="17" spans="1:23" ht="15">
      <c r="A17" t="s">
        <v>65</v>
      </c>
      <c r="B17" s="6"/>
      <c r="C17" s="3">
        <f>C16/365</f>
        <v>35558.64</v>
      </c>
      <c r="D17" s="3">
        <f aca="true" t="shared" si="7" ref="D17:W17">D16/365</f>
        <v>36625.39920000001</v>
      </c>
      <c r="E17" s="3">
        <f t="shared" si="7"/>
        <v>37724.146559999994</v>
      </c>
      <c r="F17" s="3">
        <f t="shared" si="7"/>
        <v>38855.88431999999</v>
      </c>
      <c r="G17" s="3">
        <f t="shared" si="7"/>
        <v>60032.35944</v>
      </c>
      <c r="H17" s="3">
        <f t="shared" si="7"/>
        <v>61833.32208</v>
      </c>
      <c r="I17" s="3">
        <f t="shared" si="7"/>
        <v>63688.34303999999</v>
      </c>
      <c r="J17" s="3">
        <f t="shared" si="7"/>
        <v>65598.98832</v>
      </c>
      <c r="K17" s="3">
        <f t="shared" si="7"/>
        <v>67566.9492</v>
      </c>
      <c r="L17" s="3">
        <f t="shared" si="7"/>
        <v>67194.1872</v>
      </c>
      <c r="M17" s="3">
        <f t="shared" si="7"/>
        <v>69209.98560000001</v>
      </c>
      <c r="N17" s="3">
        <f t="shared" si="7"/>
        <v>71286.264</v>
      </c>
      <c r="O17" s="3">
        <f t="shared" si="7"/>
        <v>73424.8368</v>
      </c>
      <c r="P17" s="3">
        <f t="shared" si="7"/>
        <v>75627.57887999999</v>
      </c>
      <c r="Q17" s="3">
        <f t="shared" si="7"/>
        <v>79751.1024</v>
      </c>
      <c r="R17" s="3">
        <f t="shared" si="7"/>
        <v>82143.62928000001</v>
      </c>
      <c r="S17" s="3">
        <f t="shared" si="7"/>
        <v>84607.92143999999</v>
      </c>
      <c r="T17" s="3">
        <f t="shared" si="7"/>
        <v>87146.14608</v>
      </c>
      <c r="U17" s="3">
        <f t="shared" si="7"/>
        <v>89760.53232</v>
      </c>
      <c r="V17" s="3">
        <f t="shared" si="7"/>
        <v>93528.4104</v>
      </c>
      <c r="W17" s="3">
        <f t="shared" si="7"/>
        <v>97441.53408</v>
      </c>
    </row>
    <row r="18" spans="2:23" ht="15">
      <c r="B18" s="6"/>
      <c r="C18" s="3"/>
      <c r="D18" s="3"/>
      <c r="E18" s="3"/>
      <c r="F18" s="3"/>
      <c r="G18" s="3"/>
      <c r="H18" s="3"/>
      <c r="I18" s="3"/>
      <c r="J18" s="3"/>
      <c r="K18" s="3"/>
      <c r="L18" s="3"/>
      <c r="M18" s="3"/>
      <c r="N18" s="3"/>
      <c r="O18" s="3"/>
      <c r="P18" s="3"/>
      <c r="Q18" s="3"/>
      <c r="R18" s="3"/>
      <c r="S18" s="3"/>
      <c r="T18" s="3"/>
      <c r="U18" s="3"/>
      <c r="V18" s="3"/>
      <c r="W18" s="3"/>
    </row>
    <row r="19" spans="1:23" ht="15">
      <c r="A19" t="s">
        <v>47</v>
      </c>
      <c r="B19" s="6"/>
      <c r="C19" s="3">
        <f>C13-C14</f>
        <v>238420</v>
      </c>
      <c r="D19" s="3">
        <f aca="true" t="shared" si="8" ref="D19:W19">D13-D14</f>
        <v>245572.59999999998</v>
      </c>
      <c r="E19" s="3">
        <f t="shared" si="8"/>
        <v>252939.68000000005</v>
      </c>
      <c r="F19" s="3">
        <f t="shared" si="8"/>
        <v>260527.96000000008</v>
      </c>
      <c r="G19" s="3">
        <f t="shared" si="8"/>
        <v>268343.88</v>
      </c>
      <c r="H19" s="3">
        <f t="shared" si="8"/>
        <v>276394.16000000003</v>
      </c>
      <c r="I19" s="3">
        <f t="shared" si="8"/>
        <v>284686.0800000001</v>
      </c>
      <c r="J19" s="3">
        <f t="shared" si="8"/>
        <v>293226.64</v>
      </c>
      <c r="K19" s="3">
        <f t="shared" si="8"/>
        <v>302023.4</v>
      </c>
      <c r="L19" s="3">
        <f t="shared" si="8"/>
        <v>311084.20000000007</v>
      </c>
      <c r="M19" s="3">
        <f t="shared" si="8"/>
        <v>320416.6</v>
      </c>
      <c r="N19" s="3">
        <f t="shared" si="8"/>
        <v>330029</v>
      </c>
      <c r="O19" s="3">
        <f t="shared" si="8"/>
        <v>339929.80000000005</v>
      </c>
      <c r="P19" s="3">
        <f t="shared" si="8"/>
        <v>350127.68000000005</v>
      </c>
      <c r="Q19" s="3">
        <f t="shared" si="8"/>
        <v>360631.6</v>
      </c>
      <c r="R19" s="3">
        <f t="shared" si="8"/>
        <v>371450.52</v>
      </c>
      <c r="S19" s="3">
        <f t="shared" si="8"/>
        <v>382593.9600000001</v>
      </c>
      <c r="T19" s="3">
        <f t="shared" si="8"/>
        <v>394071.7200000001</v>
      </c>
      <c r="U19" s="3">
        <f t="shared" si="8"/>
        <v>405893.88</v>
      </c>
      <c r="V19" s="3">
        <f t="shared" si="8"/>
        <v>418070.80000000005</v>
      </c>
      <c r="W19" s="3">
        <f t="shared" si="8"/>
        <v>430612.8400000001</v>
      </c>
    </row>
    <row r="20" spans="1:23" ht="15">
      <c r="A20" t="s">
        <v>48</v>
      </c>
      <c r="B20" s="6"/>
      <c r="C20" s="1">
        <f aca="true" t="shared" si="9" ref="C20:W20">C19*C15*365/1000/2</f>
        <v>2523675.7</v>
      </c>
      <c r="D20" s="1">
        <f t="shared" si="9"/>
        <v>2599385.971</v>
      </c>
      <c r="E20" s="1">
        <f t="shared" si="9"/>
        <v>2677366.5128000006</v>
      </c>
      <c r="F20" s="1">
        <f t="shared" si="9"/>
        <v>2757688.456600001</v>
      </c>
      <c r="G20" s="1">
        <f t="shared" si="9"/>
        <v>4260629.9547</v>
      </c>
      <c r="H20" s="1">
        <f t="shared" si="9"/>
        <v>4388448.275400001</v>
      </c>
      <c r="I20" s="1">
        <f t="shared" si="9"/>
        <v>4520103.235200002</v>
      </c>
      <c r="J20" s="1">
        <f t="shared" si="9"/>
        <v>4655705.976600001</v>
      </c>
      <c r="K20" s="1">
        <f t="shared" si="9"/>
        <v>4795376.5335</v>
      </c>
      <c r="L20" s="1">
        <f t="shared" si="9"/>
        <v>4768920.786000001</v>
      </c>
      <c r="M20" s="1">
        <f t="shared" si="9"/>
        <v>4911986.478</v>
      </c>
      <c r="N20" s="1">
        <f t="shared" si="9"/>
        <v>5059344.57</v>
      </c>
      <c r="O20" s="1">
        <f t="shared" si="9"/>
        <v>5211123.834000001</v>
      </c>
      <c r="P20" s="1">
        <f t="shared" si="9"/>
        <v>5367457.334400001</v>
      </c>
      <c r="Q20" s="1">
        <f t="shared" si="9"/>
        <v>5660112.962</v>
      </c>
      <c r="R20" s="1">
        <f t="shared" si="9"/>
        <v>5829915.911400001</v>
      </c>
      <c r="S20" s="1">
        <f t="shared" si="9"/>
        <v>6004812.202200001</v>
      </c>
      <c r="T20" s="1">
        <f t="shared" si="9"/>
        <v>6184955.645400002</v>
      </c>
      <c r="U20" s="1">
        <f t="shared" si="9"/>
        <v>6370504.4466</v>
      </c>
      <c r="V20" s="1">
        <f t="shared" si="9"/>
        <v>6637919.127</v>
      </c>
      <c r="W20" s="1">
        <f t="shared" si="9"/>
        <v>6915642.210400001</v>
      </c>
    </row>
    <row r="21" spans="2:23" ht="15">
      <c r="B21" s="6"/>
      <c r="C21" s="3"/>
      <c r="D21" s="12"/>
      <c r="E21" s="12"/>
      <c r="F21" s="12"/>
      <c r="G21" s="12"/>
      <c r="H21" s="12"/>
      <c r="I21" s="12"/>
      <c r="J21" s="12"/>
      <c r="K21" s="12"/>
      <c r="L21" s="12"/>
      <c r="M21" s="12"/>
      <c r="N21" s="12"/>
      <c r="O21" s="12"/>
      <c r="P21" s="12"/>
      <c r="Q21" s="12"/>
      <c r="R21" s="12"/>
      <c r="S21" s="12"/>
      <c r="T21" s="12"/>
      <c r="U21" s="12"/>
      <c r="V21" s="12"/>
      <c r="W21" s="12"/>
    </row>
    <row r="22" spans="1:23" ht="15">
      <c r="A22" t="s">
        <v>41</v>
      </c>
      <c r="B22" s="6"/>
      <c r="C22">
        <v>575000</v>
      </c>
      <c r="D22" s="12">
        <f aca="true" t="shared" si="10" ref="D22:W22">ROUND(C22*(1+PopGrowth),0)</f>
        <v>592250</v>
      </c>
      <c r="E22" s="12">
        <f t="shared" si="10"/>
        <v>610018</v>
      </c>
      <c r="F22" s="12">
        <f t="shared" si="10"/>
        <v>628319</v>
      </c>
      <c r="G22" s="12">
        <f t="shared" si="10"/>
        <v>647169</v>
      </c>
      <c r="H22" s="12">
        <f t="shared" si="10"/>
        <v>666584</v>
      </c>
      <c r="I22" s="12">
        <f t="shared" si="10"/>
        <v>686582</v>
      </c>
      <c r="J22" s="12">
        <f t="shared" si="10"/>
        <v>707179</v>
      </c>
      <c r="K22" s="12">
        <f t="shared" si="10"/>
        <v>728394</v>
      </c>
      <c r="L22" s="12">
        <f t="shared" si="10"/>
        <v>750246</v>
      </c>
      <c r="M22" s="12">
        <f t="shared" si="10"/>
        <v>772753</v>
      </c>
      <c r="N22" s="12">
        <f t="shared" si="10"/>
        <v>795936</v>
      </c>
      <c r="O22" s="12">
        <f t="shared" si="10"/>
        <v>819814</v>
      </c>
      <c r="P22" s="12">
        <f t="shared" si="10"/>
        <v>844408</v>
      </c>
      <c r="Q22" s="12">
        <f t="shared" si="10"/>
        <v>869740</v>
      </c>
      <c r="R22" s="12">
        <f t="shared" si="10"/>
        <v>895832</v>
      </c>
      <c r="S22" s="12">
        <f t="shared" si="10"/>
        <v>922707</v>
      </c>
      <c r="T22" s="12">
        <f t="shared" si="10"/>
        <v>950388</v>
      </c>
      <c r="U22" s="12">
        <f t="shared" si="10"/>
        <v>978900</v>
      </c>
      <c r="V22" s="12">
        <f t="shared" si="10"/>
        <v>1008267</v>
      </c>
      <c r="W22" s="12">
        <f t="shared" si="10"/>
        <v>1038515</v>
      </c>
    </row>
    <row r="23" spans="1:23" ht="15">
      <c r="A23" t="s">
        <v>42</v>
      </c>
      <c r="B23" s="6"/>
      <c r="C23" s="1">
        <f>C22*Data!$B9*365/1000</f>
        <v>21617125</v>
      </c>
      <c r="D23" s="1">
        <f>D22*Data!$B9*365/1000</f>
        <v>22265638.75</v>
      </c>
      <c r="E23" s="1">
        <f>E22*Data!$B9*365/1000</f>
        <v>22933626.71</v>
      </c>
      <c r="F23" s="1">
        <f>F22*Data!$B9*365/1000</f>
        <v>23621652.805</v>
      </c>
      <c r="G23" s="1">
        <f>G22*G9*365/1000</f>
        <v>24566535.24</v>
      </c>
      <c r="H23" s="1">
        <f aca="true" t="shared" si="11" ref="H23:W23">H22*H9*365/1000</f>
        <v>25303528.64</v>
      </c>
      <c r="I23" s="1">
        <f t="shared" si="11"/>
        <v>26062652.72</v>
      </c>
      <c r="J23" s="1">
        <f t="shared" si="11"/>
        <v>26844514.84</v>
      </c>
      <c r="K23" s="1">
        <f t="shared" si="11"/>
        <v>27649836.24</v>
      </c>
      <c r="L23" s="1">
        <f t="shared" si="11"/>
        <v>28479338.16</v>
      </c>
      <c r="M23" s="1">
        <f t="shared" si="11"/>
        <v>29333703.88</v>
      </c>
      <c r="N23" s="1">
        <f t="shared" si="11"/>
        <v>30213730.56</v>
      </c>
      <c r="O23" s="1">
        <f t="shared" si="11"/>
        <v>31120139.44</v>
      </c>
      <c r="P23" s="1">
        <f t="shared" si="11"/>
        <v>32053727.68</v>
      </c>
      <c r="Q23" s="1">
        <f t="shared" si="11"/>
        <v>33015330.4</v>
      </c>
      <c r="R23" s="1">
        <f t="shared" si="11"/>
        <v>34005782.72</v>
      </c>
      <c r="S23" s="1">
        <f t="shared" si="11"/>
        <v>35025957.72</v>
      </c>
      <c r="T23" s="1">
        <f t="shared" si="11"/>
        <v>36076728.48</v>
      </c>
      <c r="U23" s="1">
        <f t="shared" si="11"/>
        <v>37159044</v>
      </c>
      <c r="V23" s="1">
        <f t="shared" si="11"/>
        <v>38273815.32</v>
      </c>
      <c r="W23" s="1">
        <f t="shared" si="11"/>
        <v>39801087.375</v>
      </c>
    </row>
    <row r="24" spans="1:23" ht="15">
      <c r="A24" t="s">
        <v>66</v>
      </c>
      <c r="B24" s="6"/>
      <c r="C24" s="3">
        <f>C23/365</f>
        <v>59225</v>
      </c>
      <c r="D24" s="3">
        <f aca="true" t="shared" si="12" ref="D24:W24">D23/365</f>
        <v>61001.75</v>
      </c>
      <c r="E24" s="3">
        <f t="shared" si="12"/>
        <v>62831.854</v>
      </c>
      <c r="F24" s="3">
        <f t="shared" si="12"/>
        <v>64716.856999999996</v>
      </c>
      <c r="G24" s="3">
        <f t="shared" si="12"/>
        <v>67305.576</v>
      </c>
      <c r="H24" s="3">
        <f t="shared" si="12"/>
        <v>69324.736</v>
      </c>
      <c r="I24" s="3">
        <f t="shared" si="12"/>
        <v>71404.52799999999</v>
      </c>
      <c r="J24" s="3">
        <f t="shared" si="12"/>
        <v>73546.616</v>
      </c>
      <c r="K24" s="3">
        <f t="shared" si="12"/>
        <v>75752.976</v>
      </c>
      <c r="L24" s="3">
        <f t="shared" si="12"/>
        <v>78025.584</v>
      </c>
      <c r="M24" s="3">
        <f t="shared" si="12"/>
        <v>80366.31199999999</v>
      </c>
      <c r="N24" s="3">
        <f t="shared" si="12"/>
        <v>82777.344</v>
      </c>
      <c r="O24" s="3">
        <f t="shared" si="12"/>
        <v>85260.656</v>
      </c>
      <c r="P24" s="3">
        <f t="shared" si="12"/>
        <v>87818.432</v>
      </c>
      <c r="Q24" s="3">
        <f t="shared" si="12"/>
        <v>90452.95999999999</v>
      </c>
      <c r="R24" s="3">
        <f t="shared" si="12"/>
        <v>93166.52799999999</v>
      </c>
      <c r="S24" s="3">
        <f t="shared" si="12"/>
        <v>95961.52799999999</v>
      </c>
      <c r="T24" s="3">
        <f t="shared" si="12"/>
        <v>98840.35199999998</v>
      </c>
      <c r="U24" s="3">
        <f t="shared" si="12"/>
        <v>101805.6</v>
      </c>
      <c r="V24" s="3">
        <f t="shared" si="12"/>
        <v>104859.768</v>
      </c>
      <c r="W24" s="3">
        <f t="shared" si="12"/>
        <v>109044.075</v>
      </c>
    </row>
    <row r="25" spans="2:23" ht="15">
      <c r="B25" s="6"/>
      <c r="C25" s="3"/>
      <c r="D25" s="3"/>
      <c r="E25" s="3"/>
      <c r="F25" s="3"/>
      <c r="G25" s="3"/>
      <c r="H25" s="3"/>
      <c r="I25" s="3"/>
      <c r="J25" s="3"/>
      <c r="K25" s="3"/>
      <c r="L25" s="3"/>
      <c r="M25" s="3"/>
      <c r="N25" s="3"/>
      <c r="O25" s="3"/>
      <c r="P25" s="3"/>
      <c r="Q25" s="3"/>
      <c r="R25" s="3"/>
      <c r="S25" s="3"/>
      <c r="T25" s="3"/>
      <c r="U25" s="3"/>
      <c r="V25" s="3"/>
      <c r="W25" s="3"/>
    </row>
    <row r="26" spans="1:23" ht="15">
      <c r="A26" t="s">
        <v>99</v>
      </c>
      <c r="B26" s="6"/>
      <c r="C26" s="1">
        <f>C16+C20+C23</f>
        <v>37119704.3</v>
      </c>
      <c r="D26" s="1">
        <f aca="true" t="shared" si="13" ref="D26:W26">D16+D20+D23</f>
        <v>38233295.429000005</v>
      </c>
      <c r="E26" s="1">
        <f t="shared" si="13"/>
        <v>39380306.717199996</v>
      </c>
      <c r="F26" s="1">
        <f>F16+F20+F23</f>
        <v>40561739.038399994</v>
      </c>
      <c r="G26" s="1">
        <f t="shared" si="13"/>
        <v>50738976.3903</v>
      </c>
      <c r="H26" s="1">
        <f t="shared" si="13"/>
        <v>52261139.4746</v>
      </c>
      <c r="I26" s="1">
        <f t="shared" si="13"/>
        <v>53829001.1648</v>
      </c>
      <c r="J26" s="1">
        <f t="shared" si="13"/>
        <v>55443851.553399995</v>
      </c>
      <c r="K26" s="1">
        <f t="shared" si="13"/>
        <v>57107149.2315</v>
      </c>
      <c r="L26" s="1">
        <f t="shared" si="13"/>
        <v>57774137.274000004</v>
      </c>
      <c r="M26" s="1">
        <f t="shared" si="13"/>
        <v>59507335.102</v>
      </c>
      <c r="N26" s="1">
        <f t="shared" si="13"/>
        <v>61292561.489999995</v>
      </c>
      <c r="O26" s="1">
        <f t="shared" si="13"/>
        <v>63131328.706</v>
      </c>
      <c r="P26" s="1">
        <f t="shared" si="13"/>
        <v>65025251.3056</v>
      </c>
      <c r="Q26" s="1">
        <f t="shared" si="13"/>
        <v>67784595.738</v>
      </c>
      <c r="R26" s="1">
        <f t="shared" si="13"/>
        <v>69818123.3186</v>
      </c>
      <c r="S26" s="1">
        <f t="shared" si="13"/>
        <v>71912661.2478</v>
      </c>
      <c r="T26" s="1">
        <f t="shared" si="13"/>
        <v>74070027.4446</v>
      </c>
      <c r="U26" s="1">
        <f t="shared" si="13"/>
        <v>76292142.74340001</v>
      </c>
      <c r="V26" s="1">
        <f t="shared" si="13"/>
        <v>79049604.243</v>
      </c>
      <c r="W26" s="1">
        <f t="shared" si="13"/>
        <v>82282889.5246</v>
      </c>
    </row>
    <row r="27" spans="1:23" ht="15">
      <c r="A27" t="s">
        <v>100</v>
      </c>
      <c r="B27" s="6"/>
      <c r="C27" s="3">
        <f aca="true" t="shared" si="14" ref="C27:W30">C26/365</f>
        <v>101697.81999999999</v>
      </c>
      <c r="D27" s="3">
        <f t="shared" si="14"/>
        <v>104748.75460000001</v>
      </c>
      <c r="E27" s="3">
        <f t="shared" si="14"/>
        <v>107891.25127999998</v>
      </c>
      <c r="F27" s="3">
        <f t="shared" si="14"/>
        <v>111128.05215999998</v>
      </c>
      <c r="G27" s="3">
        <f t="shared" si="14"/>
        <v>139010.89422</v>
      </c>
      <c r="H27" s="3">
        <f t="shared" si="14"/>
        <v>143181.20404</v>
      </c>
      <c r="I27" s="3">
        <f t="shared" si="14"/>
        <v>147476.71552</v>
      </c>
      <c r="J27" s="3">
        <f t="shared" si="14"/>
        <v>151900.96315999998</v>
      </c>
      <c r="K27" s="3">
        <f t="shared" si="14"/>
        <v>156457.9431</v>
      </c>
      <c r="L27" s="3">
        <f t="shared" si="14"/>
        <v>158285.3076</v>
      </c>
      <c r="M27" s="3">
        <f t="shared" si="14"/>
        <v>163033.7948</v>
      </c>
      <c r="N27" s="3">
        <f t="shared" si="14"/>
        <v>167924.82599999997</v>
      </c>
      <c r="O27" s="3">
        <f t="shared" si="14"/>
        <v>172962.5444</v>
      </c>
      <c r="P27" s="3">
        <f t="shared" si="14"/>
        <v>178151.37344</v>
      </c>
      <c r="Q27" s="3">
        <f t="shared" si="14"/>
        <v>185711.22120000003</v>
      </c>
      <c r="R27" s="3">
        <f t="shared" si="14"/>
        <v>191282.52964</v>
      </c>
      <c r="S27" s="3">
        <f t="shared" si="14"/>
        <v>197020.98971999998</v>
      </c>
      <c r="T27" s="3">
        <f t="shared" si="14"/>
        <v>202931.58204</v>
      </c>
      <c r="U27" s="3">
        <f t="shared" si="14"/>
        <v>209019.56916</v>
      </c>
      <c r="V27" s="3">
        <f t="shared" si="14"/>
        <v>216574.2582</v>
      </c>
      <c r="W27" s="3">
        <f t="shared" si="14"/>
        <v>225432.57404</v>
      </c>
    </row>
    <row r="28" spans="2:23" ht="15">
      <c r="B28" s="6"/>
      <c r="C28" s="3"/>
      <c r="D28" s="3"/>
      <c r="E28" s="3"/>
      <c r="F28" s="3"/>
      <c r="G28" s="3"/>
      <c r="H28" s="3"/>
      <c r="I28" s="3"/>
      <c r="J28" s="3"/>
      <c r="K28" s="3"/>
      <c r="L28" s="3"/>
      <c r="M28" s="3"/>
      <c r="N28" s="3"/>
      <c r="O28" s="3"/>
      <c r="P28" s="3"/>
      <c r="Q28" s="3"/>
      <c r="R28" s="3"/>
      <c r="S28" s="3"/>
      <c r="T28" s="3"/>
      <c r="U28" s="3"/>
      <c r="V28" s="3"/>
      <c r="W28" s="3"/>
    </row>
    <row r="29" spans="1:23" ht="15">
      <c r="A29" t="s">
        <v>49</v>
      </c>
      <c r="B29" s="6"/>
      <c r="C29" s="1">
        <f>IF(C26&gt;85000*365,85000*365,C26)</f>
        <v>31025000</v>
      </c>
      <c r="D29" s="1">
        <f aca="true" t="shared" si="15" ref="D29:W29">IF(D26&gt;85000*365,85000*365,D26)</f>
        <v>31025000</v>
      </c>
      <c r="E29" s="1">
        <f t="shared" si="15"/>
        <v>31025000</v>
      </c>
      <c r="F29" s="1">
        <f t="shared" si="15"/>
        <v>31025000</v>
      </c>
      <c r="G29" s="1">
        <f t="shared" si="15"/>
        <v>31025000</v>
      </c>
      <c r="H29" s="1">
        <f t="shared" si="15"/>
        <v>31025000</v>
      </c>
      <c r="I29" s="1">
        <f t="shared" si="15"/>
        <v>31025000</v>
      </c>
      <c r="J29" s="1">
        <f t="shared" si="15"/>
        <v>31025000</v>
      </c>
      <c r="K29" s="1">
        <f t="shared" si="15"/>
        <v>31025000</v>
      </c>
      <c r="L29" s="1">
        <f t="shared" si="15"/>
        <v>31025000</v>
      </c>
      <c r="M29" s="1">
        <f t="shared" si="15"/>
        <v>31025000</v>
      </c>
      <c r="N29" s="1">
        <f t="shared" si="15"/>
        <v>31025000</v>
      </c>
      <c r="O29" s="1">
        <f t="shared" si="15"/>
        <v>31025000</v>
      </c>
      <c r="P29" s="1">
        <f t="shared" si="15"/>
        <v>31025000</v>
      </c>
      <c r="Q29" s="1">
        <f t="shared" si="15"/>
        <v>31025000</v>
      </c>
      <c r="R29" s="1">
        <f t="shared" si="15"/>
        <v>31025000</v>
      </c>
      <c r="S29" s="1">
        <f t="shared" si="15"/>
        <v>31025000</v>
      </c>
      <c r="T29" s="1">
        <f t="shared" si="15"/>
        <v>31025000</v>
      </c>
      <c r="U29" s="1">
        <f t="shared" si="15"/>
        <v>31025000</v>
      </c>
      <c r="V29" s="1">
        <f t="shared" si="15"/>
        <v>31025000</v>
      </c>
      <c r="W29" s="1">
        <f t="shared" si="15"/>
        <v>31025000</v>
      </c>
    </row>
    <row r="30" spans="1:23" ht="17.25">
      <c r="A30" t="s">
        <v>68</v>
      </c>
      <c r="B30" s="6"/>
      <c r="C30" s="3">
        <f t="shared" si="14"/>
        <v>85000</v>
      </c>
      <c r="D30" s="3">
        <f t="shared" si="14"/>
        <v>85000</v>
      </c>
      <c r="E30" s="3">
        <f t="shared" si="14"/>
        <v>85000</v>
      </c>
      <c r="F30" s="3">
        <f t="shared" si="14"/>
        <v>85000</v>
      </c>
      <c r="G30" s="3">
        <f t="shared" si="14"/>
        <v>85000</v>
      </c>
      <c r="H30" s="3">
        <f t="shared" si="14"/>
        <v>85000</v>
      </c>
      <c r="I30" s="3">
        <f t="shared" si="14"/>
        <v>85000</v>
      </c>
      <c r="J30" s="3">
        <f t="shared" si="14"/>
        <v>85000</v>
      </c>
      <c r="K30" s="3">
        <f t="shared" si="14"/>
        <v>85000</v>
      </c>
      <c r="L30" s="3">
        <f t="shared" si="14"/>
        <v>85000</v>
      </c>
      <c r="M30" s="3">
        <f t="shared" si="14"/>
        <v>85000</v>
      </c>
      <c r="N30" s="3">
        <f t="shared" si="14"/>
        <v>85000</v>
      </c>
      <c r="O30" s="3">
        <f t="shared" si="14"/>
        <v>85000</v>
      </c>
      <c r="P30" s="3">
        <f t="shared" si="14"/>
        <v>85000</v>
      </c>
      <c r="Q30" s="3">
        <f t="shared" si="14"/>
        <v>85000</v>
      </c>
      <c r="R30" s="3">
        <f t="shared" si="14"/>
        <v>85000</v>
      </c>
      <c r="S30" s="3">
        <f t="shared" si="14"/>
        <v>85000</v>
      </c>
      <c r="T30" s="3">
        <f t="shared" si="14"/>
        <v>85000</v>
      </c>
      <c r="U30" s="3">
        <f t="shared" si="14"/>
        <v>85000</v>
      </c>
      <c r="V30" s="3">
        <f t="shared" si="14"/>
        <v>85000</v>
      </c>
      <c r="W30" s="3">
        <f t="shared" si="14"/>
        <v>85000</v>
      </c>
    </row>
    <row r="31" spans="1:23" ht="15">
      <c r="A31" t="s">
        <v>151</v>
      </c>
      <c r="B31" s="6"/>
      <c r="C31" s="1">
        <f>C26-C29</f>
        <v>6094704.299999997</v>
      </c>
      <c r="D31" s="1">
        <f>D26-D29</f>
        <v>7208295.429000005</v>
      </c>
      <c r="E31" s="1">
        <f aca="true" t="shared" si="16" ref="E31:W31">E26-E29</f>
        <v>8355306.717199996</v>
      </c>
      <c r="F31" s="1">
        <f t="shared" si="16"/>
        <v>9536739.038399994</v>
      </c>
      <c r="G31" s="1">
        <f t="shared" si="16"/>
        <v>19713976.3903</v>
      </c>
      <c r="H31" s="1">
        <f t="shared" si="16"/>
        <v>21236139.474600002</v>
      </c>
      <c r="I31" s="1">
        <f t="shared" si="16"/>
        <v>22804001.164800003</v>
      </c>
      <c r="J31" s="1">
        <f t="shared" si="16"/>
        <v>24418851.553399995</v>
      </c>
      <c r="K31" s="1">
        <f t="shared" si="16"/>
        <v>26082149.2315</v>
      </c>
      <c r="L31" s="1">
        <f t="shared" si="16"/>
        <v>26749137.274000004</v>
      </c>
      <c r="M31" s="1">
        <f t="shared" si="16"/>
        <v>28482335.101999998</v>
      </c>
      <c r="N31" s="1">
        <f t="shared" si="16"/>
        <v>30267561.489999995</v>
      </c>
      <c r="O31" s="1">
        <f t="shared" si="16"/>
        <v>32106328.706</v>
      </c>
      <c r="P31" s="1">
        <f t="shared" si="16"/>
        <v>34000251.3056</v>
      </c>
      <c r="Q31" s="1">
        <f t="shared" si="16"/>
        <v>36759595.738000005</v>
      </c>
      <c r="R31" s="1">
        <f t="shared" si="16"/>
        <v>38793123.3186</v>
      </c>
      <c r="S31" s="1">
        <f t="shared" si="16"/>
        <v>40887661.24779999</v>
      </c>
      <c r="T31" s="1">
        <f t="shared" si="16"/>
        <v>43045027.4446</v>
      </c>
      <c r="U31" s="1">
        <f t="shared" si="16"/>
        <v>45267142.74340001</v>
      </c>
      <c r="V31" s="1">
        <f t="shared" si="16"/>
        <v>48024604.243</v>
      </c>
      <c r="W31" s="1">
        <f t="shared" si="16"/>
        <v>51257889.5246</v>
      </c>
    </row>
    <row r="32" spans="1:23" ht="15">
      <c r="A32" t="s">
        <v>62</v>
      </c>
      <c r="B32" s="6"/>
      <c r="C32" s="3"/>
      <c r="D32" s="3"/>
      <c r="E32" s="3"/>
      <c r="F32" s="3"/>
      <c r="G32" s="3"/>
      <c r="H32" s="3"/>
      <c r="I32" s="3"/>
      <c r="J32" s="3"/>
      <c r="K32" s="3"/>
      <c r="L32" s="3"/>
      <c r="M32" s="3"/>
      <c r="N32" s="3"/>
      <c r="O32" s="3"/>
      <c r="P32" s="3"/>
      <c r="Q32" s="3"/>
      <c r="R32" s="3"/>
      <c r="S32" s="3"/>
      <c r="T32" s="3"/>
      <c r="U32" s="3"/>
      <c r="V32" s="3"/>
      <c r="W32" s="3"/>
    </row>
    <row r="33" spans="1:23" ht="15">
      <c r="A33" t="s">
        <v>38</v>
      </c>
      <c r="B33" s="6"/>
      <c r="C33" s="1">
        <f>C29+C10</f>
        <v>92271014.5</v>
      </c>
      <c r="D33" s="1">
        <f aca="true" t="shared" si="17" ref="D33:W33">D29+D10</f>
        <v>94108394.935</v>
      </c>
      <c r="E33" s="1">
        <f t="shared" si="17"/>
        <v>96000877.98555</v>
      </c>
      <c r="F33" s="1">
        <f t="shared" si="17"/>
        <v>97950137.38105002</v>
      </c>
      <c r="G33" s="1">
        <f t="shared" si="17"/>
        <v>100627130.4368</v>
      </c>
      <c r="H33" s="1">
        <f t="shared" si="17"/>
        <v>102715208.30399999</v>
      </c>
      <c r="I33" s="1">
        <f t="shared" si="17"/>
        <v>104865882.21120001</v>
      </c>
      <c r="J33" s="1">
        <f t="shared" si="17"/>
        <v>107081121.90280001</v>
      </c>
      <c r="K33" s="1">
        <f t="shared" si="17"/>
        <v>109362818.546</v>
      </c>
      <c r="L33" s="1">
        <f t="shared" si="17"/>
        <v>111712933.9136</v>
      </c>
      <c r="M33" s="1">
        <f t="shared" si="17"/>
        <v>114133573.6468</v>
      </c>
      <c r="N33" s="1">
        <f t="shared" si="17"/>
        <v>116626800.1124</v>
      </c>
      <c r="O33" s="1">
        <f t="shared" si="17"/>
        <v>119194857.5056</v>
      </c>
      <c r="P33" s="1">
        <f t="shared" si="17"/>
        <v>121839984.7072</v>
      </c>
      <c r="Q33" s="1">
        <f t="shared" si="17"/>
        <v>124564453.24360001</v>
      </c>
      <c r="R33" s="1">
        <f t="shared" si="17"/>
        <v>127370640.5496</v>
      </c>
      <c r="S33" s="1">
        <f t="shared" si="17"/>
        <v>130260992.00840002</v>
      </c>
      <c r="T33" s="1">
        <f t="shared" si="17"/>
        <v>133238094.21440001</v>
      </c>
      <c r="U33" s="1">
        <f t="shared" si="17"/>
        <v>136304457.842</v>
      </c>
      <c r="V33" s="1">
        <f t="shared" si="17"/>
        <v>139462843.3424</v>
      </c>
      <c r="W33" s="1">
        <f t="shared" si="17"/>
        <v>143789922.18949997</v>
      </c>
    </row>
    <row r="34" spans="1:23" ht="17.25">
      <c r="A34" t="s">
        <v>63</v>
      </c>
      <c r="B34" s="6"/>
      <c r="C34" s="3">
        <f>C33/365</f>
        <v>252797.3</v>
      </c>
      <c r="D34" s="3">
        <f aca="true" t="shared" si="18" ref="D34:W34">D33/365</f>
        <v>257831.219</v>
      </c>
      <c r="E34" s="3">
        <f t="shared" si="18"/>
        <v>263016.10407</v>
      </c>
      <c r="F34" s="3">
        <f t="shared" si="18"/>
        <v>268356.5407700001</v>
      </c>
      <c r="G34" s="3">
        <f t="shared" si="18"/>
        <v>275690.76832000003</v>
      </c>
      <c r="H34" s="3">
        <f t="shared" si="18"/>
        <v>281411.52959999995</v>
      </c>
      <c r="I34" s="3">
        <f t="shared" si="18"/>
        <v>287303.78688</v>
      </c>
      <c r="J34" s="3">
        <f t="shared" si="18"/>
        <v>293372.93672</v>
      </c>
      <c r="K34" s="3">
        <f t="shared" si="18"/>
        <v>299624.1604</v>
      </c>
      <c r="L34" s="3">
        <f t="shared" si="18"/>
        <v>306062.83264</v>
      </c>
      <c r="M34" s="3">
        <f t="shared" si="18"/>
        <v>312694.72232</v>
      </c>
      <c r="N34" s="3">
        <f t="shared" si="18"/>
        <v>319525.47975999996</v>
      </c>
      <c r="O34" s="3">
        <f t="shared" si="18"/>
        <v>326561.25344</v>
      </c>
      <c r="P34" s="3">
        <f t="shared" si="18"/>
        <v>333808.17728</v>
      </c>
      <c r="Q34" s="3">
        <f t="shared" si="18"/>
        <v>341272.47464000003</v>
      </c>
      <c r="R34" s="3">
        <f t="shared" si="18"/>
        <v>348960.65904</v>
      </c>
      <c r="S34" s="3">
        <f t="shared" si="18"/>
        <v>356879.43016000005</v>
      </c>
      <c r="T34" s="3">
        <f t="shared" si="18"/>
        <v>365035.87456</v>
      </c>
      <c r="U34" s="3">
        <f t="shared" si="18"/>
        <v>373436.87080000003</v>
      </c>
      <c r="V34" s="3">
        <f t="shared" si="18"/>
        <v>382089.98176000005</v>
      </c>
      <c r="W34" s="3">
        <f t="shared" si="18"/>
        <v>393944.9922999999</v>
      </c>
    </row>
    <row r="35" spans="2:23" ht="15">
      <c r="B35" s="6"/>
      <c r="C35" s="3"/>
      <c r="D35" s="3"/>
      <c r="E35" s="3"/>
      <c r="F35" s="3"/>
      <c r="G35" s="3"/>
      <c r="H35" s="3"/>
      <c r="I35" s="3"/>
      <c r="J35" s="3"/>
      <c r="K35" s="3"/>
      <c r="L35" s="3"/>
      <c r="M35" s="3"/>
      <c r="N35" s="3"/>
      <c r="O35" s="3"/>
      <c r="P35" s="3"/>
      <c r="Q35" s="3"/>
      <c r="R35" s="3"/>
      <c r="S35" s="3"/>
      <c r="T35" s="3"/>
      <c r="U35" s="3"/>
      <c r="V35" s="3"/>
      <c r="W35" s="3"/>
    </row>
    <row r="36" spans="2:23" ht="15">
      <c r="B36" s="20" t="s">
        <v>30</v>
      </c>
      <c r="C36" s="5">
        <v>0</v>
      </c>
      <c r="D36" s="5">
        <v>1</v>
      </c>
      <c r="E36" s="5">
        <v>2</v>
      </c>
      <c r="F36" s="5">
        <v>3</v>
      </c>
      <c r="G36" s="5">
        <v>4</v>
      </c>
      <c r="H36" s="5">
        <v>5</v>
      </c>
      <c r="I36" s="5">
        <v>6</v>
      </c>
      <c r="J36" s="5">
        <v>7</v>
      </c>
      <c r="K36" s="5">
        <v>8</v>
      </c>
      <c r="L36" s="5">
        <v>9</v>
      </c>
      <c r="M36" s="5">
        <v>10</v>
      </c>
      <c r="N36" s="5">
        <v>11</v>
      </c>
      <c r="O36" s="5">
        <v>12</v>
      </c>
      <c r="P36" s="5">
        <v>13</v>
      </c>
      <c r="Q36" s="5">
        <v>14</v>
      </c>
      <c r="R36" s="5">
        <v>15</v>
      </c>
      <c r="S36" s="5">
        <v>16</v>
      </c>
      <c r="T36" s="5">
        <v>17</v>
      </c>
      <c r="U36" s="5">
        <v>18</v>
      </c>
      <c r="V36" s="5">
        <v>19</v>
      </c>
      <c r="W36" s="5">
        <v>20</v>
      </c>
    </row>
    <row r="37" spans="2:23" ht="15">
      <c r="B37" s="20" t="s">
        <v>8</v>
      </c>
      <c r="C37" s="5">
        <v>2010</v>
      </c>
      <c r="D37" s="24">
        <v>2011</v>
      </c>
      <c r="E37" s="24">
        <v>2012</v>
      </c>
      <c r="F37" s="24">
        <v>2013</v>
      </c>
      <c r="G37" s="24">
        <v>2014</v>
      </c>
      <c r="H37" s="24">
        <v>2015</v>
      </c>
      <c r="I37" s="5">
        <v>2016</v>
      </c>
      <c r="J37" s="5">
        <v>2017</v>
      </c>
      <c r="K37" s="5">
        <v>2018</v>
      </c>
      <c r="L37" s="5">
        <v>2019</v>
      </c>
      <c r="M37" s="5">
        <v>2020</v>
      </c>
      <c r="N37" s="5">
        <v>2021</v>
      </c>
      <c r="O37" s="5">
        <v>2022</v>
      </c>
      <c r="P37" s="5">
        <v>2023</v>
      </c>
      <c r="Q37" s="5">
        <v>2024</v>
      </c>
      <c r="R37" s="5">
        <v>2025</v>
      </c>
      <c r="S37" s="5">
        <v>2026</v>
      </c>
      <c r="T37" s="5">
        <v>2027</v>
      </c>
      <c r="U37" s="5">
        <v>2028</v>
      </c>
      <c r="V37" s="5">
        <v>2029</v>
      </c>
      <c r="W37" s="5">
        <v>2030</v>
      </c>
    </row>
    <row r="38" spans="1:23" ht="15">
      <c r="A38" t="s">
        <v>126</v>
      </c>
      <c r="B38" s="6"/>
      <c r="C38" s="3"/>
      <c r="D38" s="3"/>
      <c r="E38" s="3"/>
      <c r="F38" s="3"/>
      <c r="G38" s="1">
        <v>0</v>
      </c>
      <c r="H38" s="1">
        <v>11959118.212517675</v>
      </c>
      <c r="I38" s="1">
        <v>13069163.415209657</v>
      </c>
      <c r="J38" s="1">
        <v>14179208.617901636</v>
      </c>
      <c r="K38" s="1">
        <v>15289253.820593618</v>
      </c>
      <c r="L38" s="1">
        <v>16399299.0232856</v>
      </c>
      <c r="M38" s="1">
        <v>17509344.22597758</v>
      </c>
      <c r="N38" s="1">
        <v>18603349.73139147</v>
      </c>
      <c r="O38" s="1">
        <v>19697355.236805364</v>
      </c>
      <c r="P38" s="1">
        <v>20791360.742219254</v>
      </c>
      <c r="Q38" s="1">
        <v>21885366.247633144</v>
      </c>
      <c r="R38" s="1">
        <v>22979371.753047038</v>
      </c>
      <c r="S38" s="1">
        <v>22979371.753047038</v>
      </c>
      <c r="T38" s="1">
        <v>22979371.753047038</v>
      </c>
      <c r="U38" s="1">
        <v>22979371.753047038</v>
      </c>
      <c r="V38" s="1">
        <v>22979371.753047038</v>
      </c>
      <c r="W38" s="1">
        <v>22979371.753047038</v>
      </c>
    </row>
    <row r="39" spans="1:23" ht="17.25">
      <c r="A39" t="s">
        <v>127</v>
      </c>
      <c r="B39" s="6"/>
      <c r="C39" s="3"/>
      <c r="D39" s="3"/>
      <c r="E39" s="3"/>
      <c r="F39" s="3"/>
      <c r="G39" s="3">
        <f aca="true" t="shared" si="19" ref="G39:W41">G38/365</f>
        <v>0</v>
      </c>
      <c r="H39" s="3">
        <f t="shared" si="19"/>
        <v>32764.707431555275</v>
      </c>
      <c r="I39" s="3">
        <f t="shared" si="19"/>
        <v>35805.92716495796</v>
      </c>
      <c r="J39" s="3">
        <f t="shared" si="19"/>
        <v>38847.14689836065</v>
      </c>
      <c r="K39" s="3">
        <f t="shared" si="19"/>
        <v>41888.36663176334</v>
      </c>
      <c r="L39" s="3">
        <f t="shared" si="19"/>
        <v>44929.586365166026</v>
      </c>
      <c r="M39" s="3">
        <f t="shared" si="19"/>
        <v>47970.80609856871</v>
      </c>
      <c r="N39" s="3">
        <f t="shared" si="19"/>
        <v>50968.081455867046</v>
      </c>
      <c r="O39" s="3">
        <f t="shared" si="19"/>
        <v>53965.35681316538</v>
      </c>
      <c r="P39" s="3">
        <f t="shared" si="19"/>
        <v>56962.63217046371</v>
      </c>
      <c r="Q39" s="3">
        <f t="shared" si="19"/>
        <v>59959.907527762036</v>
      </c>
      <c r="R39" s="3">
        <f t="shared" si="19"/>
        <v>62957.18288506038</v>
      </c>
      <c r="S39" s="3">
        <f t="shared" si="19"/>
        <v>62957.18288506038</v>
      </c>
      <c r="T39" s="3">
        <f t="shared" si="19"/>
        <v>62957.18288506038</v>
      </c>
      <c r="U39" s="3">
        <f t="shared" si="19"/>
        <v>62957.18288506038</v>
      </c>
      <c r="V39" s="3">
        <f t="shared" si="19"/>
        <v>62957.18288506038</v>
      </c>
      <c r="W39" s="3">
        <f t="shared" si="19"/>
        <v>62957.18288506038</v>
      </c>
    </row>
    <row r="40" spans="1:23" ht="15">
      <c r="A40" t="s">
        <v>125</v>
      </c>
      <c r="B40" s="6"/>
      <c r="C40" s="3"/>
      <c r="D40" s="1"/>
      <c r="E40" s="1"/>
      <c r="F40" s="1"/>
      <c r="G40" s="1">
        <f>G26-G29</f>
        <v>19713976.3903</v>
      </c>
      <c r="H40" s="1">
        <f>H26-H29</f>
        <v>21236139.474600002</v>
      </c>
      <c r="I40" s="1">
        <f aca="true" t="shared" si="20" ref="I40:W40">I26-I29</f>
        <v>22804001.164800003</v>
      </c>
      <c r="J40" s="1">
        <f t="shared" si="20"/>
        <v>24418851.553399995</v>
      </c>
      <c r="K40" s="1">
        <f t="shared" si="20"/>
        <v>26082149.2315</v>
      </c>
      <c r="L40" s="1">
        <f t="shared" si="20"/>
        <v>26749137.274000004</v>
      </c>
      <c r="M40" s="1">
        <f t="shared" si="20"/>
        <v>28482335.101999998</v>
      </c>
      <c r="N40" s="1">
        <f t="shared" si="20"/>
        <v>30267561.489999995</v>
      </c>
      <c r="O40" s="1">
        <f t="shared" si="20"/>
        <v>32106328.706</v>
      </c>
      <c r="P40" s="1">
        <f t="shared" si="20"/>
        <v>34000251.3056</v>
      </c>
      <c r="Q40" s="1">
        <f t="shared" si="20"/>
        <v>36759595.738000005</v>
      </c>
      <c r="R40" s="1">
        <f t="shared" si="20"/>
        <v>38793123.3186</v>
      </c>
      <c r="S40" s="1">
        <f t="shared" si="20"/>
        <v>40887661.24779999</v>
      </c>
      <c r="T40" s="1">
        <f t="shared" si="20"/>
        <v>43045027.4446</v>
      </c>
      <c r="U40" s="1">
        <f t="shared" si="20"/>
        <v>45267142.74340001</v>
      </c>
      <c r="V40" s="1">
        <f t="shared" si="20"/>
        <v>48024604.243</v>
      </c>
      <c r="W40" s="1">
        <f t="shared" si="20"/>
        <v>51257889.5246</v>
      </c>
    </row>
    <row r="41" spans="1:23" ht="17.25">
      <c r="A41" t="s">
        <v>98</v>
      </c>
      <c r="B41" s="6"/>
      <c r="C41" s="3"/>
      <c r="D41" s="3"/>
      <c r="E41" s="3"/>
      <c r="F41" s="3"/>
      <c r="G41" s="3">
        <f t="shared" si="19"/>
        <v>54010.894219999995</v>
      </c>
      <c r="H41" s="3">
        <f t="shared" si="19"/>
        <v>58181.204040000004</v>
      </c>
      <c r="I41" s="3">
        <f t="shared" si="19"/>
        <v>62476.715520000005</v>
      </c>
      <c r="J41" s="3">
        <f t="shared" si="19"/>
        <v>66900.96315999998</v>
      </c>
      <c r="K41" s="3">
        <f t="shared" si="19"/>
        <v>71457.9431</v>
      </c>
      <c r="L41" s="3">
        <f t="shared" si="19"/>
        <v>73285.30760000001</v>
      </c>
      <c r="M41" s="3">
        <f t="shared" si="19"/>
        <v>78033.79479999999</v>
      </c>
      <c r="N41" s="3">
        <f t="shared" si="19"/>
        <v>82924.82599999999</v>
      </c>
      <c r="O41" s="3">
        <f t="shared" si="19"/>
        <v>87962.5444</v>
      </c>
      <c r="P41" s="3">
        <f t="shared" si="19"/>
        <v>93151.37344000001</v>
      </c>
      <c r="Q41" s="3">
        <f t="shared" si="19"/>
        <v>100711.22120000001</v>
      </c>
      <c r="R41" s="3">
        <f t="shared" si="19"/>
        <v>106282.52964</v>
      </c>
      <c r="S41" s="3">
        <f t="shared" si="19"/>
        <v>112020.98971999998</v>
      </c>
      <c r="T41" s="3">
        <f t="shared" si="19"/>
        <v>117931.58204000001</v>
      </c>
      <c r="U41" s="3">
        <f t="shared" si="19"/>
        <v>124019.56916000001</v>
      </c>
      <c r="V41" s="3">
        <f t="shared" si="19"/>
        <v>131574.2582</v>
      </c>
      <c r="W41" s="3">
        <f t="shared" si="19"/>
        <v>140432.57404</v>
      </c>
    </row>
    <row r="42" spans="2:23" ht="15">
      <c r="B42" s="6"/>
      <c r="C42" s="3"/>
      <c r="D42" s="3"/>
      <c r="E42" s="3"/>
      <c r="F42" s="3"/>
      <c r="G42" s="3"/>
      <c r="H42" s="3"/>
      <c r="I42" s="3"/>
      <c r="J42" s="3"/>
      <c r="K42" s="3"/>
      <c r="L42" s="3"/>
      <c r="M42" s="3"/>
      <c r="N42" s="3"/>
      <c r="O42" s="3"/>
      <c r="P42" s="3"/>
      <c r="Q42" s="3"/>
      <c r="R42" s="3"/>
      <c r="S42" s="3"/>
      <c r="T42" s="3"/>
      <c r="U42" s="3"/>
      <c r="V42" s="3"/>
      <c r="W42" s="3"/>
    </row>
    <row r="43" spans="1:23" ht="15">
      <c r="A43" s="7" t="s">
        <v>91</v>
      </c>
      <c r="B43" s="6"/>
      <c r="C43" s="3"/>
      <c r="D43" s="3"/>
      <c r="E43" s="3"/>
      <c r="F43" s="3"/>
      <c r="G43" s="3"/>
      <c r="H43" s="3"/>
      <c r="I43" s="3"/>
      <c r="J43" s="3"/>
      <c r="K43" s="3"/>
      <c r="L43" s="3"/>
      <c r="M43" s="3"/>
      <c r="N43" s="3"/>
      <c r="O43" s="3"/>
      <c r="P43" s="3"/>
      <c r="Q43" s="3"/>
      <c r="R43" s="3"/>
      <c r="S43" s="3"/>
      <c r="T43" s="3"/>
      <c r="U43" s="3"/>
      <c r="V43" s="3"/>
      <c r="W43" s="3"/>
    </row>
    <row r="44" spans="1:23" ht="15">
      <c r="A44" t="s">
        <v>94</v>
      </c>
      <c r="B44" s="6"/>
      <c r="C44" s="1">
        <f>C33</f>
        <v>92271014.5</v>
      </c>
      <c r="D44" s="1">
        <f aca="true" t="shared" si="21" ref="D44:W44">D33</f>
        <v>94108394.935</v>
      </c>
      <c r="E44" s="1">
        <f t="shared" si="21"/>
        <v>96000877.98555</v>
      </c>
      <c r="F44" s="1">
        <f t="shared" si="21"/>
        <v>97950137.38105002</v>
      </c>
      <c r="G44" s="1">
        <f t="shared" si="21"/>
        <v>100627130.4368</v>
      </c>
      <c r="H44" s="1">
        <f t="shared" si="21"/>
        <v>102715208.30399999</v>
      </c>
      <c r="I44" s="1">
        <f t="shared" si="21"/>
        <v>104865882.21120001</v>
      </c>
      <c r="J44" s="1">
        <f t="shared" si="21"/>
        <v>107081121.90280001</v>
      </c>
      <c r="K44" s="1">
        <f t="shared" si="21"/>
        <v>109362818.546</v>
      </c>
      <c r="L44" s="1">
        <f t="shared" si="21"/>
        <v>111712933.9136</v>
      </c>
      <c r="M44" s="1">
        <f t="shared" si="21"/>
        <v>114133573.6468</v>
      </c>
      <c r="N44" s="1">
        <f t="shared" si="21"/>
        <v>116626800.1124</v>
      </c>
      <c r="O44" s="1">
        <f t="shared" si="21"/>
        <v>119194857.5056</v>
      </c>
      <c r="P44" s="1">
        <f t="shared" si="21"/>
        <v>121839984.7072</v>
      </c>
      <c r="Q44" s="1">
        <f t="shared" si="21"/>
        <v>124564453.24360001</v>
      </c>
      <c r="R44" s="1">
        <f t="shared" si="21"/>
        <v>127370640.5496</v>
      </c>
      <c r="S44" s="1">
        <f t="shared" si="21"/>
        <v>130260992.00840002</v>
      </c>
      <c r="T44" s="1">
        <f t="shared" si="21"/>
        <v>133238094.21440001</v>
      </c>
      <c r="U44" s="1">
        <f t="shared" si="21"/>
        <v>136304457.842</v>
      </c>
      <c r="V44" s="1">
        <f t="shared" si="21"/>
        <v>139462843.3424</v>
      </c>
      <c r="W44" s="1">
        <f t="shared" si="21"/>
        <v>143789922.18949997</v>
      </c>
    </row>
    <row r="45" spans="1:23" ht="17.25">
      <c r="A45" t="s">
        <v>95</v>
      </c>
      <c r="B45" s="6"/>
      <c r="C45" s="3">
        <f aca="true" t="shared" si="22" ref="C45:W45">C44/365</f>
        <v>252797.3</v>
      </c>
      <c r="D45" s="3">
        <f t="shared" si="22"/>
        <v>257831.219</v>
      </c>
      <c r="E45" s="3">
        <f t="shared" si="22"/>
        <v>263016.10407</v>
      </c>
      <c r="F45" s="3">
        <f t="shared" si="22"/>
        <v>268356.5407700001</v>
      </c>
      <c r="G45" s="3">
        <f t="shared" si="22"/>
        <v>275690.76832000003</v>
      </c>
      <c r="H45" s="3">
        <f t="shared" si="22"/>
        <v>281411.52959999995</v>
      </c>
      <c r="I45" s="3">
        <f t="shared" si="22"/>
        <v>287303.78688</v>
      </c>
      <c r="J45" s="3">
        <f t="shared" si="22"/>
        <v>293372.93672</v>
      </c>
      <c r="K45" s="3">
        <f t="shared" si="22"/>
        <v>299624.1604</v>
      </c>
      <c r="L45" s="3">
        <f t="shared" si="22"/>
        <v>306062.83264</v>
      </c>
      <c r="M45" s="3">
        <f t="shared" si="22"/>
        <v>312694.72232</v>
      </c>
      <c r="N45" s="3">
        <f t="shared" si="22"/>
        <v>319525.47975999996</v>
      </c>
      <c r="O45" s="3">
        <f t="shared" si="22"/>
        <v>326561.25344</v>
      </c>
      <c r="P45" s="3">
        <f t="shared" si="22"/>
        <v>333808.17728</v>
      </c>
      <c r="Q45" s="3">
        <f t="shared" si="22"/>
        <v>341272.47464000003</v>
      </c>
      <c r="R45" s="3">
        <f t="shared" si="22"/>
        <v>348960.65904</v>
      </c>
      <c r="S45" s="3">
        <f t="shared" si="22"/>
        <v>356879.43016000005</v>
      </c>
      <c r="T45" s="3">
        <f t="shared" si="22"/>
        <v>365035.87456</v>
      </c>
      <c r="U45" s="3">
        <f t="shared" si="22"/>
        <v>373436.87080000003</v>
      </c>
      <c r="V45" s="3">
        <f t="shared" si="22"/>
        <v>382089.98176000005</v>
      </c>
      <c r="W45" s="3">
        <f t="shared" si="22"/>
        <v>393944.9922999999</v>
      </c>
    </row>
    <row r="46" spans="1:23" ht="15">
      <c r="A46" t="s">
        <v>85</v>
      </c>
      <c r="B46" s="6"/>
      <c r="C46" s="2">
        <f aca="true" t="shared" si="23" ref="C46:W46">(C16+C20)/C44</f>
        <v>0.16801136721001372</v>
      </c>
      <c r="D46" s="2">
        <f t="shared" si="23"/>
        <v>0.16967303172080184</v>
      </c>
      <c r="E46" s="2">
        <f t="shared" si="23"/>
        <v>0.17131801658809354</v>
      </c>
      <c r="F46" s="2">
        <f t="shared" si="23"/>
        <v>0.17294601811020352</v>
      </c>
      <c r="G46" s="2">
        <f t="shared" si="23"/>
        <v>0.26009328733405446</v>
      </c>
      <c r="H46" s="2">
        <f t="shared" si="23"/>
        <v>0.2624500429850192</v>
      </c>
      <c r="I46" s="2">
        <f t="shared" si="23"/>
        <v>0.2647796200186305</v>
      </c>
      <c r="J46" s="2">
        <f t="shared" si="23"/>
        <v>0.2670810335678055</v>
      </c>
      <c r="K46" s="2">
        <f t="shared" si="23"/>
        <v>0.269354003336241</v>
      </c>
      <c r="L46" s="2">
        <f t="shared" si="23"/>
        <v>0.26223283274125553</v>
      </c>
      <c r="M46" s="2">
        <f t="shared" si="23"/>
        <v>0.2643712122374781</v>
      </c>
      <c r="N46" s="2">
        <f t="shared" si="23"/>
        <v>0.266481039521341</v>
      </c>
      <c r="O46" s="2">
        <f t="shared" si="23"/>
        <v>0.26856183174258214</v>
      </c>
      <c r="P46" s="2">
        <f t="shared" si="23"/>
        <v>0.2706133270193326</v>
      </c>
      <c r="Q46" s="2">
        <f t="shared" si="23"/>
        <v>0.2791267045503321</v>
      </c>
      <c r="R46" s="2">
        <f t="shared" si="23"/>
        <v>0.2811663696128948</v>
      </c>
      <c r="S46" s="2">
        <f t="shared" si="23"/>
        <v>0.28317536170322827</v>
      </c>
      <c r="T46" s="2">
        <f t="shared" si="23"/>
        <v>0.2851534254419994</v>
      </c>
      <c r="U46" s="2">
        <f t="shared" si="23"/>
        <v>0.28710065219408964</v>
      </c>
      <c r="V46" s="2">
        <f t="shared" si="23"/>
        <v>0.29237743864786947</v>
      </c>
      <c r="W46" s="2">
        <f t="shared" si="23"/>
        <v>0.29544352971840027</v>
      </c>
    </row>
    <row r="47" spans="1:23" ht="15">
      <c r="A47" t="s">
        <v>50</v>
      </c>
      <c r="B47" s="6"/>
      <c r="C47" s="2">
        <f>C45/Data!$B6</f>
        <v>0.9468063670411985</v>
      </c>
      <c r="D47" s="2">
        <f>D45/Data!$B6</f>
        <v>0.9656599962546817</v>
      </c>
      <c r="E47" s="2">
        <f>E45/Data!$B6</f>
        <v>0.9850790414606742</v>
      </c>
      <c r="F47" s="2">
        <f>F45/Data!$B6</f>
        <v>1.0050806770411989</v>
      </c>
      <c r="G47" s="2">
        <f>G45/Data!$B6</f>
        <v>1.032549694082397</v>
      </c>
      <c r="H47" s="2">
        <f>H45/Data!$B6</f>
        <v>1.0539757662921347</v>
      </c>
      <c r="I47" s="2">
        <f>I45/Data!$B6</f>
        <v>1.0760441456179777</v>
      </c>
      <c r="J47" s="2">
        <f>J45/Data!$B6</f>
        <v>1.0987750438951311</v>
      </c>
      <c r="K47" s="2">
        <f>K45/Data!$B6</f>
        <v>1.1221878666666667</v>
      </c>
      <c r="L47" s="2">
        <f>L45/Data!$B6</f>
        <v>1.1463027439700373</v>
      </c>
      <c r="M47" s="2">
        <f>M45/Data!$B6</f>
        <v>1.1711412820973783</v>
      </c>
      <c r="N47" s="2">
        <f>N45/Data!$B6</f>
        <v>1.19672464329588</v>
      </c>
      <c r="O47" s="2">
        <f>O45/Data!$B6</f>
        <v>1.2230758555805243</v>
      </c>
      <c r="P47" s="2">
        <f>P45/Data!$B6</f>
        <v>1.250217892434457</v>
      </c>
      <c r="Q47" s="2">
        <f>Q45/Data!$B6</f>
        <v>1.2781740623220974</v>
      </c>
      <c r="R47" s="2">
        <f>R45/Data!$B6</f>
        <v>1.3069687604494382</v>
      </c>
      <c r="S47" s="2">
        <f>S45/Data!$B6</f>
        <v>1.3366270792509365</v>
      </c>
      <c r="T47" s="2">
        <f>T45/Data!$B6</f>
        <v>1.3671755601498128</v>
      </c>
      <c r="U47" s="2">
        <f>U45/Data!$B6</f>
        <v>1.3986399655430712</v>
      </c>
      <c r="V47" s="2">
        <f>V45/Data!$B6</f>
        <v>1.4310486208239703</v>
      </c>
      <c r="W47" s="2">
        <f>W45/Data!$B6</f>
        <v>1.4754494093632955</v>
      </c>
    </row>
    <row r="48" spans="1:23" ht="15">
      <c r="A48" t="s">
        <v>51</v>
      </c>
      <c r="B48" s="6"/>
      <c r="C48" s="1">
        <f aca="true" t="shared" si="24" ref="C48:W48">IF(C47&lt;=1,0,C44-AsSamraCapacity)</f>
        <v>0</v>
      </c>
      <c r="D48" s="1">
        <f t="shared" si="24"/>
        <v>0</v>
      </c>
      <c r="E48" s="1">
        <f t="shared" si="24"/>
        <v>0</v>
      </c>
      <c r="F48" s="1">
        <f t="shared" si="24"/>
        <v>495137.38105002046</v>
      </c>
      <c r="G48" s="1">
        <f t="shared" si="24"/>
        <v>3172130.436800003</v>
      </c>
      <c r="H48" s="1">
        <f t="shared" si="24"/>
        <v>5260208.30399999</v>
      </c>
      <c r="I48" s="1">
        <f t="shared" si="24"/>
        <v>7410882.211200014</v>
      </c>
      <c r="J48" s="1">
        <f t="shared" si="24"/>
        <v>9626121.902800009</v>
      </c>
      <c r="K48" s="1">
        <f t="shared" si="24"/>
        <v>11907818.546000004</v>
      </c>
      <c r="L48" s="1">
        <f t="shared" si="24"/>
        <v>14257933.913599998</v>
      </c>
      <c r="M48" s="1">
        <f t="shared" si="24"/>
        <v>16678573.646799996</v>
      </c>
      <c r="N48" s="1">
        <f t="shared" si="24"/>
        <v>19171800.112399995</v>
      </c>
      <c r="O48" s="1">
        <f t="shared" si="24"/>
        <v>21739857.505600005</v>
      </c>
      <c r="P48" s="1">
        <f t="shared" si="24"/>
        <v>24384984.707200006</v>
      </c>
      <c r="Q48" s="1">
        <f t="shared" si="24"/>
        <v>27109453.24360001</v>
      </c>
      <c r="R48" s="1">
        <f t="shared" si="24"/>
        <v>29915640.549600005</v>
      </c>
      <c r="S48" s="1">
        <f t="shared" si="24"/>
        <v>32805992.008400023</v>
      </c>
      <c r="T48" s="1">
        <f t="shared" si="24"/>
        <v>35783094.21440001</v>
      </c>
      <c r="U48" s="1">
        <f t="shared" si="24"/>
        <v>38849457.84200001</v>
      </c>
      <c r="V48" s="1">
        <f t="shared" si="24"/>
        <v>42007843.342400014</v>
      </c>
      <c r="W48" s="1">
        <f t="shared" si="24"/>
        <v>46334922.189499974</v>
      </c>
    </row>
    <row r="49" spans="1:23" ht="17.25">
      <c r="A49" t="s">
        <v>69</v>
      </c>
      <c r="B49" s="6"/>
      <c r="C49" s="3">
        <f>C48/365</f>
        <v>0</v>
      </c>
      <c r="D49" s="3">
        <f aca="true" t="shared" si="25" ref="D49:W49">D48/365</f>
        <v>0</v>
      </c>
      <c r="E49" s="3">
        <f t="shared" si="25"/>
        <v>0</v>
      </c>
      <c r="F49" s="3">
        <f t="shared" si="25"/>
        <v>1356.540770000056</v>
      </c>
      <c r="G49" s="3">
        <f t="shared" si="25"/>
        <v>8690.768320000008</v>
      </c>
      <c r="H49" s="3">
        <f t="shared" si="25"/>
        <v>14411.529599999973</v>
      </c>
      <c r="I49" s="3">
        <f t="shared" si="25"/>
        <v>20303.786880000036</v>
      </c>
      <c r="J49" s="3">
        <f t="shared" si="25"/>
        <v>26372.936720000023</v>
      </c>
      <c r="K49" s="3">
        <f t="shared" si="25"/>
        <v>32624.16040000001</v>
      </c>
      <c r="L49" s="3">
        <f t="shared" si="25"/>
        <v>39062.83263999999</v>
      </c>
      <c r="M49" s="3">
        <f t="shared" si="25"/>
        <v>45694.72231999999</v>
      </c>
      <c r="N49" s="3">
        <f t="shared" si="25"/>
        <v>52525.47975999999</v>
      </c>
      <c r="O49" s="3">
        <f t="shared" si="25"/>
        <v>59561.253440000015</v>
      </c>
      <c r="P49" s="3">
        <f t="shared" si="25"/>
        <v>66808.17728000002</v>
      </c>
      <c r="Q49" s="3">
        <f t="shared" si="25"/>
        <v>74272.47464000003</v>
      </c>
      <c r="R49" s="3">
        <f t="shared" si="25"/>
        <v>81960.65904000001</v>
      </c>
      <c r="S49" s="3">
        <f t="shared" si="25"/>
        <v>89879.43016000006</v>
      </c>
      <c r="T49" s="3">
        <f t="shared" si="25"/>
        <v>98035.87456000003</v>
      </c>
      <c r="U49" s="3">
        <f t="shared" si="25"/>
        <v>106436.87080000002</v>
      </c>
      <c r="V49" s="3">
        <f t="shared" si="25"/>
        <v>115089.98176000004</v>
      </c>
      <c r="W49" s="3">
        <f t="shared" si="25"/>
        <v>126944.99229999993</v>
      </c>
    </row>
    <row r="50" spans="1:23" ht="15">
      <c r="A50" t="s">
        <v>53</v>
      </c>
      <c r="B50" s="6"/>
      <c r="C50" s="1"/>
      <c r="D50" s="1"/>
      <c r="E50" s="1"/>
      <c r="F50" s="1"/>
      <c r="G50" s="2">
        <f>G57/Data!$B55</f>
        <v>0.09087276081270003</v>
      </c>
      <c r="H50" s="2">
        <f>H57/Data!$B55</f>
        <v>0.11358060761849989</v>
      </c>
      <c r="I50" s="2">
        <f>I57/Data!$B55</f>
        <v>0.13696918635930014</v>
      </c>
      <c r="J50" s="2">
        <f>J57/Data!$B55</f>
        <v>0.16105991800545008</v>
      </c>
      <c r="K50" s="2">
        <f>K57/Data!$B55</f>
        <v>0.18587336900025003</v>
      </c>
      <c r="L50" s="2">
        <f>L57/Data!$B55</f>
        <v>0.21143087362289997</v>
      </c>
      <c r="M50" s="2">
        <f>M57/Data!$B55</f>
        <v>0.23775533072144994</v>
      </c>
      <c r="N50" s="2">
        <f>N57/Data!$B55</f>
        <v>0.26486916853484993</v>
      </c>
      <c r="O50" s="2">
        <f>O57/Data!$B55</f>
        <v>0.2927967926859001</v>
      </c>
      <c r="P50" s="2">
        <f>P57/Data!$B55</f>
        <v>0.32156255100330006</v>
      </c>
      <c r="Q50" s="2">
        <f>Q57/Data!$B55</f>
        <v>0.3511911463366501</v>
      </c>
      <c r="R50" s="2">
        <f>R57/Data!$B55</f>
        <v>0.3817084332894001</v>
      </c>
      <c r="S50" s="2">
        <f>S57/Data!$B55</f>
        <v>0.41314100540385024</v>
      </c>
      <c r="T50" s="2">
        <f>T57/Data!$B55</f>
        <v>0.44551699189410005</v>
      </c>
      <c r="U50" s="2">
        <f>U57/Data!$B55</f>
        <v>0.4788636963442501</v>
      </c>
      <c r="V50" s="2">
        <f>V57/Data!$B55</f>
        <v>0.5132111386611001</v>
      </c>
      <c r="W50" s="2">
        <f>W57/Data!$B55</f>
        <v>0.5602681211233123</v>
      </c>
    </row>
    <row r="51" spans="2:23" ht="15">
      <c r="B51" s="6"/>
      <c r="C51" s="1"/>
      <c r="D51" s="1"/>
      <c r="E51" s="1"/>
      <c r="F51" s="1"/>
      <c r="G51" s="2"/>
      <c r="H51" s="2"/>
      <c r="I51" s="2"/>
      <c r="J51" s="2"/>
      <c r="K51" s="2"/>
      <c r="L51" s="2"/>
      <c r="M51" s="2"/>
      <c r="N51" s="2"/>
      <c r="O51" s="2"/>
      <c r="P51" s="2"/>
      <c r="Q51" s="2"/>
      <c r="R51" s="2"/>
      <c r="S51" s="2"/>
      <c r="T51" s="2"/>
      <c r="U51" s="2"/>
      <c r="V51" s="2"/>
      <c r="W51" s="2"/>
    </row>
    <row r="52" spans="2:23" ht="15">
      <c r="B52" s="20" t="s">
        <v>30</v>
      </c>
      <c r="C52" s="5">
        <v>0</v>
      </c>
      <c r="D52" s="5">
        <v>1</v>
      </c>
      <c r="E52" s="5">
        <v>2</v>
      </c>
      <c r="F52" s="5">
        <v>3</v>
      </c>
      <c r="G52" s="5">
        <v>4</v>
      </c>
      <c r="H52" s="5">
        <v>5</v>
      </c>
      <c r="I52" s="5">
        <v>6</v>
      </c>
      <c r="J52" s="5">
        <v>7</v>
      </c>
      <c r="K52" s="5">
        <v>8</v>
      </c>
      <c r="L52" s="5">
        <v>9</v>
      </c>
      <c r="M52" s="5">
        <v>10</v>
      </c>
      <c r="N52" s="5">
        <v>11</v>
      </c>
      <c r="O52" s="5">
        <v>12</v>
      </c>
      <c r="P52" s="5">
        <v>13</v>
      </c>
      <c r="Q52" s="5">
        <v>14</v>
      </c>
      <c r="R52" s="5">
        <v>15</v>
      </c>
      <c r="S52" s="5">
        <v>16</v>
      </c>
      <c r="T52" s="5">
        <v>17</v>
      </c>
      <c r="U52" s="5">
        <v>18</v>
      </c>
      <c r="V52" s="5">
        <v>19</v>
      </c>
      <c r="W52" s="5">
        <v>20</v>
      </c>
    </row>
    <row r="53" spans="2:23" ht="15">
      <c r="B53" s="20" t="s">
        <v>8</v>
      </c>
      <c r="C53" s="5">
        <v>2010</v>
      </c>
      <c r="D53" s="24">
        <v>2011</v>
      </c>
      <c r="E53" s="24">
        <v>2012</v>
      </c>
      <c r="F53" s="24">
        <v>2013</v>
      </c>
      <c r="G53" s="24">
        <v>2014</v>
      </c>
      <c r="H53" s="24">
        <v>2015</v>
      </c>
      <c r="I53" s="5">
        <v>2016</v>
      </c>
      <c r="J53" s="5">
        <v>2017</v>
      </c>
      <c r="K53" s="5">
        <v>2018</v>
      </c>
      <c r="L53" s="5">
        <v>2019</v>
      </c>
      <c r="M53" s="5">
        <v>2020</v>
      </c>
      <c r="N53" s="5">
        <v>2021</v>
      </c>
      <c r="O53" s="5">
        <v>2022</v>
      </c>
      <c r="P53" s="5">
        <v>2023</v>
      </c>
      <c r="Q53" s="5">
        <v>2024</v>
      </c>
      <c r="R53" s="5">
        <v>2025</v>
      </c>
      <c r="S53" s="5">
        <v>2026</v>
      </c>
      <c r="T53" s="5">
        <v>2027</v>
      </c>
      <c r="U53" s="5">
        <v>2028</v>
      </c>
      <c r="V53" s="5">
        <v>2029</v>
      </c>
      <c r="W53" s="5">
        <v>2030</v>
      </c>
    </row>
    <row r="54" spans="1:23" ht="15">
      <c r="A54" t="s">
        <v>55</v>
      </c>
      <c r="B54" s="6"/>
      <c r="C54" s="3"/>
      <c r="D54" s="3"/>
      <c r="E54" s="3"/>
      <c r="F54" s="3"/>
      <c r="G54" s="3">
        <v>0</v>
      </c>
      <c r="H54" s="3">
        <v>0</v>
      </c>
      <c r="I54" s="3">
        <v>0</v>
      </c>
      <c r="J54" s="3">
        <v>0</v>
      </c>
      <c r="K54" s="3">
        <v>0</v>
      </c>
      <c r="L54" s="3">
        <v>0</v>
      </c>
      <c r="M54" s="3">
        <v>0</v>
      </c>
      <c r="N54" s="3">
        <v>0</v>
      </c>
      <c r="O54" s="3">
        <v>0</v>
      </c>
      <c r="P54" s="3">
        <v>0</v>
      </c>
      <c r="Q54" s="3">
        <v>0</v>
      </c>
      <c r="R54" s="3">
        <v>0</v>
      </c>
      <c r="S54" s="3">
        <v>0</v>
      </c>
      <c r="T54" s="3">
        <v>0</v>
      </c>
      <c r="U54" s="3">
        <v>0</v>
      </c>
      <c r="V54" s="3">
        <v>0</v>
      </c>
      <c r="W54" s="3">
        <v>0</v>
      </c>
    </row>
    <row r="55" spans="1:23" ht="15">
      <c r="A55" s="13" t="s">
        <v>56</v>
      </c>
      <c r="B55" s="14"/>
      <c r="C55" s="15">
        <f>C54*2.3</f>
        <v>0</v>
      </c>
      <c r="D55" s="15">
        <f aca="true" t="shared" si="26" ref="D55:W55">D54*2.3</f>
        <v>0</v>
      </c>
      <c r="E55" s="15">
        <f t="shared" si="26"/>
        <v>0</v>
      </c>
      <c r="F55" s="15">
        <f t="shared" si="26"/>
        <v>0</v>
      </c>
      <c r="G55" s="15">
        <f t="shared" si="26"/>
        <v>0</v>
      </c>
      <c r="H55" s="15">
        <f t="shared" si="26"/>
        <v>0</v>
      </c>
      <c r="I55" s="15">
        <f t="shared" si="26"/>
        <v>0</v>
      </c>
      <c r="J55" s="15">
        <f t="shared" si="26"/>
        <v>0</v>
      </c>
      <c r="K55" s="15">
        <f t="shared" si="26"/>
        <v>0</v>
      </c>
      <c r="L55" s="15">
        <f t="shared" si="26"/>
        <v>0</v>
      </c>
      <c r="M55" s="15">
        <f t="shared" si="26"/>
        <v>0</v>
      </c>
      <c r="N55" s="15">
        <f t="shared" si="26"/>
        <v>0</v>
      </c>
      <c r="O55" s="15">
        <f t="shared" si="26"/>
        <v>0</v>
      </c>
      <c r="P55" s="15">
        <f t="shared" si="26"/>
        <v>0</v>
      </c>
      <c r="Q55" s="15">
        <f t="shared" si="26"/>
        <v>0</v>
      </c>
      <c r="R55" s="15">
        <f t="shared" si="26"/>
        <v>0</v>
      </c>
      <c r="S55" s="15">
        <f t="shared" si="26"/>
        <v>0</v>
      </c>
      <c r="T55" s="15">
        <f t="shared" si="26"/>
        <v>0</v>
      </c>
      <c r="U55" s="15">
        <f t="shared" si="26"/>
        <v>0</v>
      </c>
      <c r="V55" s="15">
        <f t="shared" si="26"/>
        <v>0</v>
      </c>
      <c r="W55" s="15">
        <f t="shared" si="26"/>
        <v>0</v>
      </c>
    </row>
    <row r="56" ht="5.25" customHeight="1"/>
    <row r="57" spans="1:25" ht="15">
      <c r="A57" t="s">
        <v>70</v>
      </c>
      <c r="B57" s="6"/>
      <c r="C57" s="1">
        <v>0</v>
      </c>
      <c r="D57" s="1">
        <f>(D44-$C44)*0.87</f>
        <v>1598520.9784500021</v>
      </c>
      <c r="E57" s="1">
        <f>(E44-$C44)*0.87</f>
        <v>3244981.232428501</v>
      </c>
      <c r="F57" s="1">
        <f>(F44-$C44)*0.87</f>
        <v>4940836.906513518</v>
      </c>
      <c r="G57" s="1">
        <f aca="true" t="shared" si="27" ref="G57:W57">(G44-$C44)*0.87</f>
        <v>7269820.865016002</v>
      </c>
      <c r="H57" s="1">
        <f t="shared" si="27"/>
        <v>9086448.609479992</v>
      </c>
      <c r="I57" s="1">
        <f t="shared" si="27"/>
        <v>10957534.908744011</v>
      </c>
      <c r="J57" s="1">
        <f t="shared" si="27"/>
        <v>12884793.440436007</v>
      </c>
      <c r="K57" s="1">
        <f t="shared" si="27"/>
        <v>14869869.520020002</v>
      </c>
      <c r="L57" s="1">
        <f t="shared" si="27"/>
        <v>16914469.889831997</v>
      </c>
      <c r="M57" s="1">
        <f t="shared" si="27"/>
        <v>19020426.457715996</v>
      </c>
      <c r="N57" s="1">
        <f t="shared" si="27"/>
        <v>21189533.482787997</v>
      </c>
      <c r="O57" s="1">
        <f t="shared" si="27"/>
        <v>23423743.414872006</v>
      </c>
      <c r="P57" s="1">
        <f t="shared" si="27"/>
        <v>25725004.080264006</v>
      </c>
      <c r="Q57" s="1">
        <f t="shared" si="27"/>
        <v>28095291.70693201</v>
      </c>
      <c r="R57" s="1">
        <f t="shared" si="27"/>
        <v>30536674.663152006</v>
      </c>
      <c r="S57" s="1">
        <f t="shared" si="27"/>
        <v>33051280.43230802</v>
      </c>
      <c r="T57" s="1">
        <f t="shared" si="27"/>
        <v>35641359.351528004</v>
      </c>
      <c r="U57" s="1">
        <f t="shared" si="27"/>
        <v>38309095.707540005</v>
      </c>
      <c r="V57" s="1">
        <f t="shared" si="27"/>
        <v>41056891.09288801</v>
      </c>
      <c r="W57" s="1">
        <f t="shared" si="27"/>
        <v>44821449.68986498</v>
      </c>
      <c r="Y57" s="4"/>
    </row>
    <row r="58" spans="1:25" ht="15">
      <c r="A58" t="s">
        <v>116</v>
      </c>
      <c r="B58" s="6"/>
      <c r="C58" s="1"/>
      <c r="D58" s="1">
        <f>IF(D57&gt;D52*Agriculture!$B$12,D52*Agriculture!$B$12,Sept_Proj_Streams!D57)</f>
        <v>1598520.9784500021</v>
      </c>
      <c r="E58" s="1">
        <f>IF(E57&gt;E52*Agriculture!$B12,E52*Agriculture!$B12,Sept_Proj_Streams!E57)</f>
        <v>3244981.232428501</v>
      </c>
      <c r="F58" s="1">
        <f>IF(F57&gt;F52*Agriculture!$B12,F52*Agriculture!$B12,Sept_Proj_Streams!F57)</f>
        <v>4940836.906513518</v>
      </c>
      <c r="G58" s="1">
        <f>IF(G57&gt;G52*Agriculture!$B12,G52*Agriculture!$B12,Sept_Proj_Streams!G57)</f>
        <v>7132121.09090908</v>
      </c>
      <c r="H58" s="1">
        <f>G58*0.66</f>
        <v>4707199.9199999925</v>
      </c>
      <c r="I58" s="1">
        <f>H58*0.66</f>
        <v>3106751.947199995</v>
      </c>
      <c r="J58" s="1">
        <f aca="true" t="shared" si="28" ref="J58:W58">I58*0.66</f>
        <v>2050456.2851519969</v>
      </c>
      <c r="K58" s="1">
        <f t="shared" si="28"/>
        <v>1353301.148200318</v>
      </c>
      <c r="L58" s="1">
        <v>0</v>
      </c>
      <c r="M58" s="1">
        <f t="shared" si="28"/>
        <v>0</v>
      </c>
      <c r="N58" s="1">
        <f t="shared" si="28"/>
        <v>0</v>
      </c>
      <c r="O58" s="1">
        <f t="shared" si="28"/>
        <v>0</v>
      </c>
      <c r="P58" s="1">
        <f t="shared" si="28"/>
        <v>0</v>
      </c>
      <c r="Q58" s="1">
        <f t="shared" si="28"/>
        <v>0</v>
      </c>
      <c r="R58" s="1">
        <f t="shared" si="28"/>
        <v>0</v>
      </c>
      <c r="S58" s="1">
        <f t="shared" si="28"/>
        <v>0</v>
      </c>
      <c r="T58" s="1">
        <f t="shared" si="28"/>
        <v>0</v>
      </c>
      <c r="U58" s="1">
        <f t="shared" si="28"/>
        <v>0</v>
      </c>
      <c r="V58" s="1">
        <f t="shared" si="28"/>
        <v>0</v>
      </c>
      <c r="W58" s="1">
        <f t="shared" si="28"/>
        <v>0</v>
      </c>
      <c r="Y58" s="4"/>
    </row>
    <row r="59" spans="1:25" ht="15">
      <c r="A59" t="s">
        <v>117</v>
      </c>
      <c r="B59" s="6"/>
      <c r="C59" s="3">
        <f>C58/Agriculture!$B12*Agriculture!$B13</f>
        <v>0</v>
      </c>
      <c r="D59" s="3">
        <f>D58/Agriculture!$B$12*Agriculture!$B$13</f>
        <v>228.36013977857172</v>
      </c>
      <c r="E59" s="3">
        <f>E58/Agriculture!$B12*Agriculture!$B13</f>
        <v>463.56874748978584</v>
      </c>
      <c r="F59" s="3">
        <f>F58/Agriculture!$B12*Agriculture!$B13</f>
        <v>705.8338437876454</v>
      </c>
      <c r="G59" s="3">
        <f>G58/Agriculture!$B12*Agriculture!$B13</f>
        <v>1018.8744415584399</v>
      </c>
      <c r="H59" s="3">
        <f>H58/Agriculture!$B12*Agriculture!$B13</f>
        <v>672.4571314285704</v>
      </c>
      <c r="I59" s="3">
        <f>I58/Agriculture!$B12*Agriculture!$B13</f>
        <v>443.8217067428564</v>
      </c>
      <c r="J59" s="3">
        <f>J58/Agriculture!$B12*Agriculture!$B13</f>
        <v>292.92232645028525</v>
      </c>
      <c r="K59" s="3">
        <f>K58/Agriculture!$B12*Agriculture!$B13</f>
        <v>193.32873545718826</v>
      </c>
      <c r="L59" s="3">
        <f>L58/Agriculture!$B12*Agriculture!$B13</f>
        <v>0</v>
      </c>
      <c r="M59" s="3">
        <f>M58/Agriculture!$B12*Agriculture!$B13</f>
        <v>0</v>
      </c>
      <c r="N59" s="3">
        <f>N58/Agriculture!$B12*Agriculture!$B13</f>
        <v>0</v>
      </c>
      <c r="O59" s="3">
        <f>O58/Agriculture!$B12*Agriculture!$B13</f>
        <v>0</v>
      </c>
      <c r="P59" s="3">
        <f>P58/Agriculture!$B12*Agriculture!$B13</f>
        <v>0</v>
      </c>
      <c r="Q59" s="3">
        <f>Q58/Agriculture!$B12*Agriculture!$B13</f>
        <v>0</v>
      </c>
      <c r="R59" s="3">
        <f>R58/Agriculture!$B12*Agriculture!$B13</f>
        <v>0</v>
      </c>
      <c r="S59" s="3">
        <f>S58/Agriculture!$B12*Agriculture!$B13</f>
        <v>0</v>
      </c>
      <c r="T59" s="3">
        <f>T58/Agriculture!$B12*Agriculture!$B13</f>
        <v>0</v>
      </c>
      <c r="U59" s="1"/>
      <c r="V59" s="1"/>
      <c r="W59" s="1"/>
      <c r="Y59" s="4"/>
    </row>
    <row r="60" spans="1:25" ht="15">
      <c r="A60" t="s">
        <v>118</v>
      </c>
      <c r="B60" s="6"/>
      <c r="C60" s="1"/>
      <c r="D60" s="1">
        <f aca="true" t="shared" si="29" ref="D60:W60">D59*VA_ha_citrus</f>
        <v>1461504.894582859</v>
      </c>
      <c r="E60" s="1">
        <f t="shared" si="29"/>
        <v>2966839.9839346292</v>
      </c>
      <c r="F60" s="1">
        <f t="shared" si="29"/>
        <v>4517336.60024093</v>
      </c>
      <c r="G60" s="1">
        <f t="shared" si="29"/>
        <v>6520796.425974015</v>
      </c>
      <c r="H60" s="1">
        <f t="shared" si="29"/>
        <v>4303725.641142851</v>
      </c>
      <c r="I60" s="1">
        <f t="shared" si="29"/>
        <v>2840458.923154281</v>
      </c>
      <c r="J60" s="1">
        <f t="shared" si="29"/>
        <v>1874702.8892818256</v>
      </c>
      <c r="K60" s="1">
        <f t="shared" si="29"/>
        <v>1237303.906926005</v>
      </c>
      <c r="L60" s="1">
        <f t="shared" si="29"/>
        <v>0</v>
      </c>
      <c r="M60" s="1">
        <f t="shared" si="29"/>
        <v>0</v>
      </c>
      <c r="N60" s="1">
        <f t="shared" si="29"/>
        <v>0</v>
      </c>
      <c r="O60" s="1">
        <f t="shared" si="29"/>
        <v>0</v>
      </c>
      <c r="P60" s="1">
        <f t="shared" si="29"/>
        <v>0</v>
      </c>
      <c r="Q60" s="1">
        <f t="shared" si="29"/>
        <v>0</v>
      </c>
      <c r="R60" s="1">
        <f t="shared" si="29"/>
        <v>0</v>
      </c>
      <c r="S60" s="1">
        <f t="shared" si="29"/>
        <v>0</v>
      </c>
      <c r="T60" s="1">
        <f t="shared" si="29"/>
        <v>0</v>
      </c>
      <c r="U60" s="1">
        <f t="shared" si="29"/>
        <v>0</v>
      </c>
      <c r="V60" s="1">
        <f t="shared" si="29"/>
        <v>0</v>
      </c>
      <c r="W60" s="1">
        <f t="shared" si="29"/>
        <v>0</v>
      </c>
      <c r="Y60" s="4"/>
    </row>
    <row r="61" spans="2:25" ht="15">
      <c r="B61" s="6"/>
      <c r="C61" s="1"/>
      <c r="D61" s="1"/>
      <c r="E61" s="1"/>
      <c r="F61" s="1"/>
      <c r="G61" s="1"/>
      <c r="H61" s="1"/>
      <c r="I61" s="1"/>
      <c r="J61" s="1"/>
      <c r="K61" s="1"/>
      <c r="L61" s="1"/>
      <c r="M61" s="1"/>
      <c r="N61" s="1"/>
      <c r="O61" s="1"/>
      <c r="P61" s="1"/>
      <c r="Q61" s="1"/>
      <c r="R61" s="1"/>
      <c r="S61" s="1"/>
      <c r="T61" s="1"/>
      <c r="U61" s="1"/>
      <c r="V61" s="1"/>
      <c r="W61" s="1"/>
      <c r="Y61" s="4"/>
    </row>
    <row r="62" spans="1:23" ht="15">
      <c r="A62" t="s">
        <v>71</v>
      </c>
      <c r="B62" s="6"/>
      <c r="C62" s="1"/>
      <c r="D62" s="1"/>
      <c r="E62" s="1"/>
      <c r="F62" s="1"/>
      <c r="G62" s="2">
        <v>0.1</v>
      </c>
      <c r="H62" s="2">
        <v>0.2</v>
      </c>
      <c r="I62" s="2">
        <v>0.33</v>
      </c>
      <c r="J62" s="2">
        <v>0.5</v>
      </c>
      <c r="K62" s="2">
        <v>0.75</v>
      </c>
      <c r="L62" s="2">
        <v>1</v>
      </c>
      <c r="M62" s="2">
        <v>1</v>
      </c>
      <c r="N62" s="2">
        <v>1</v>
      </c>
      <c r="O62" s="2">
        <v>1</v>
      </c>
      <c r="P62" s="2">
        <v>1</v>
      </c>
      <c r="Q62" s="2">
        <v>1</v>
      </c>
      <c r="R62" s="2">
        <v>1</v>
      </c>
      <c r="S62" s="2">
        <v>1</v>
      </c>
      <c r="T62" s="2">
        <v>1</v>
      </c>
      <c r="U62" s="2">
        <v>1</v>
      </c>
      <c r="V62" s="2">
        <v>1</v>
      </c>
      <c r="W62" s="2">
        <v>1</v>
      </c>
    </row>
    <row r="63" spans="1:23" ht="15">
      <c r="A63" t="s">
        <v>72</v>
      </c>
      <c r="B63" s="6"/>
      <c r="C63" s="1"/>
      <c r="D63" s="1"/>
      <c r="E63" s="1"/>
      <c r="F63" s="1"/>
      <c r="G63" s="2">
        <f>1-G62</f>
        <v>0.9</v>
      </c>
      <c r="H63" s="2">
        <f aca="true" t="shared" si="30" ref="H63:W63">1-H62</f>
        <v>0.8</v>
      </c>
      <c r="I63" s="2">
        <f t="shared" si="30"/>
        <v>0.6699999999999999</v>
      </c>
      <c r="J63" s="2">
        <f t="shared" si="30"/>
        <v>0.5</v>
      </c>
      <c r="K63" s="2">
        <f t="shared" si="30"/>
        <v>0.25</v>
      </c>
      <c r="L63" s="2">
        <f t="shared" si="30"/>
        <v>0</v>
      </c>
      <c r="M63" s="2">
        <f t="shared" si="30"/>
        <v>0</v>
      </c>
      <c r="N63" s="2">
        <f t="shared" si="30"/>
        <v>0</v>
      </c>
      <c r="O63" s="2">
        <f t="shared" si="30"/>
        <v>0</v>
      </c>
      <c r="P63" s="2">
        <f t="shared" si="30"/>
        <v>0</v>
      </c>
      <c r="Q63" s="2">
        <f t="shared" si="30"/>
        <v>0</v>
      </c>
      <c r="R63" s="2">
        <f t="shared" si="30"/>
        <v>0</v>
      </c>
      <c r="S63" s="2">
        <f t="shared" si="30"/>
        <v>0</v>
      </c>
      <c r="T63" s="2">
        <f t="shared" si="30"/>
        <v>0</v>
      </c>
      <c r="U63" s="2">
        <f t="shared" si="30"/>
        <v>0</v>
      </c>
      <c r="V63" s="2">
        <f t="shared" si="30"/>
        <v>0</v>
      </c>
      <c r="W63" s="2">
        <f t="shared" si="30"/>
        <v>0</v>
      </c>
    </row>
    <row r="64" spans="1:23" ht="15">
      <c r="A64" s="13" t="s">
        <v>75</v>
      </c>
      <c r="B64" s="15"/>
      <c r="C64" s="15"/>
      <c r="D64" s="15"/>
      <c r="E64" s="15"/>
      <c r="F64" s="15"/>
      <c r="G64" s="15">
        <f>G57/Water_Req*(G62*Ag_VA_Low+G63*Ag_VA_High)*0.75</f>
        <v>3314762.1880009915</v>
      </c>
      <c r="H64" s="15">
        <f aca="true" t="shared" si="31" ref="H64:W64">H57/Water_Req*(H62*Ag_VA_Low+H63*Ag_VA_High)*0.75</f>
        <v>3761314.4679839965</v>
      </c>
      <c r="I64" s="15">
        <f>I57/Water_Req*(I62*Ag_VA_Low+I63*Ag_VA_High)*0.75</f>
        <v>3937360.920906143</v>
      </c>
      <c r="J64" s="15">
        <f t="shared" si="31"/>
        <v>3709593.005617433</v>
      </c>
      <c r="K64" s="15">
        <f t="shared" si="31"/>
        <v>2719237.1137365345</v>
      </c>
      <c r="L64" s="15">
        <f t="shared" si="31"/>
        <v>1316506.0624090906</v>
      </c>
      <c r="M64" s="15">
        <f t="shared" si="31"/>
        <v>1480419.2448409088</v>
      </c>
      <c r="N64" s="15">
        <f t="shared" si="31"/>
        <v>1649247.6247499997</v>
      </c>
      <c r="O64" s="15">
        <f t="shared" si="31"/>
        <v>1823143.1674090917</v>
      </c>
      <c r="P64" s="15">
        <f t="shared" si="31"/>
        <v>2002257.4782272733</v>
      </c>
      <c r="Q64" s="15">
        <f t="shared" si="31"/>
        <v>2186744.373204546</v>
      </c>
      <c r="R64" s="15">
        <f t="shared" si="31"/>
        <v>2376764.839909091</v>
      </c>
      <c r="S64" s="15">
        <f t="shared" si="31"/>
        <v>2572484.4670227286</v>
      </c>
      <c r="T64" s="15">
        <f t="shared" si="31"/>
        <v>2774078.405318182</v>
      </c>
      <c r="U64" s="15">
        <f t="shared" si="31"/>
        <v>2981716.6646590913</v>
      </c>
      <c r="V64" s="15">
        <f t="shared" si="31"/>
        <v>3195586.1685000006</v>
      </c>
      <c r="W64" s="15">
        <f t="shared" si="31"/>
        <v>3488593.531278408</v>
      </c>
    </row>
    <row r="65" spans="1:23" ht="15">
      <c r="A65" t="s">
        <v>78</v>
      </c>
      <c r="B65" s="6"/>
      <c r="C65" s="3"/>
      <c r="D65" s="3"/>
      <c r="E65" s="3"/>
      <c r="F65" s="3"/>
      <c r="G65" s="3"/>
      <c r="H65" s="3"/>
      <c r="I65" s="3"/>
      <c r="J65" s="3"/>
      <c r="K65" s="3"/>
      <c r="L65" s="3"/>
      <c r="M65" s="3"/>
      <c r="N65" s="3"/>
      <c r="O65" s="3"/>
      <c r="P65" s="3"/>
      <c r="Q65" s="3"/>
      <c r="R65" s="3"/>
      <c r="S65" s="3"/>
      <c r="T65" s="3"/>
      <c r="U65" s="3"/>
      <c r="V65" s="3"/>
      <c r="W65" s="3"/>
    </row>
    <row r="66" spans="1:23" ht="15">
      <c r="A66" t="s">
        <v>71</v>
      </c>
      <c r="B66" s="6"/>
      <c r="C66" s="3"/>
      <c r="D66" s="3"/>
      <c r="E66" s="3"/>
      <c r="F66" s="3"/>
      <c r="G66" s="2">
        <f>G62</f>
        <v>0.1</v>
      </c>
      <c r="H66" s="2">
        <f aca="true" t="shared" si="32" ref="H66:W66">H62</f>
        <v>0.2</v>
      </c>
      <c r="I66" s="2">
        <f t="shared" si="32"/>
        <v>0.33</v>
      </c>
      <c r="J66" s="2">
        <f t="shared" si="32"/>
        <v>0.5</v>
      </c>
      <c r="K66" s="2">
        <f t="shared" si="32"/>
        <v>0.75</v>
      </c>
      <c r="L66" s="2">
        <f t="shared" si="32"/>
        <v>1</v>
      </c>
      <c r="M66" s="2">
        <f t="shared" si="32"/>
        <v>1</v>
      </c>
      <c r="N66" s="2">
        <f t="shared" si="32"/>
        <v>1</v>
      </c>
      <c r="O66" s="2">
        <f t="shared" si="32"/>
        <v>1</v>
      </c>
      <c r="P66" s="2">
        <f t="shared" si="32"/>
        <v>1</v>
      </c>
      <c r="Q66" s="2">
        <f t="shared" si="32"/>
        <v>1</v>
      </c>
      <c r="R66" s="2">
        <f t="shared" si="32"/>
        <v>1</v>
      </c>
      <c r="S66" s="2">
        <f t="shared" si="32"/>
        <v>1</v>
      </c>
      <c r="T66" s="2">
        <f t="shared" si="32"/>
        <v>1</v>
      </c>
      <c r="U66" s="2">
        <f t="shared" si="32"/>
        <v>1</v>
      </c>
      <c r="V66" s="2">
        <f t="shared" si="32"/>
        <v>1</v>
      </c>
      <c r="W66" s="2">
        <f t="shared" si="32"/>
        <v>1</v>
      </c>
    </row>
    <row r="67" spans="1:23" ht="15">
      <c r="A67" t="s">
        <v>72</v>
      </c>
      <c r="B67" s="6"/>
      <c r="C67" s="3"/>
      <c r="D67" s="3"/>
      <c r="E67" s="3"/>
      <c r="F67" s="3"/>
      <c r="G67" s="2">
        <f>1-G66</f>
        <v>0.9</v>
      </c>
      <c r="H67" s="2">
        <f aca="true" t="shared" si="33" ref="H67:W67">1-H66</f>
        <v>0.8</v>
      </c>
      <c r="I67" s="2">
        <f t="shared" si="33"/>
        <v>0.6699999999999999</v>
      </c>
      <c r="J67" s="2">
        <f t="shared" si="33"/>
        <v>0.5</v>
      </c>
      <c r="K67" s="2">
        <f t="shared" si="33"/>
        <v>0.25</v>
      </c>
      <c r="L67" s="2">
        <f t="shared" si="33"/>
        <v>0</v>
      </c>
      <c r="M67" s="2">
        <f t="shared" si="33"/>
        <v>0</v>
      </c>
      <c r="N67" s="2">
        <f t="shared" si="33"/>
        <v>0</v>
      </c>
      <c r="O67" s="2">
        <f t="shared" si="33"/>
        <v>0</v>
      </c>
      <c r="P67" s="2">
        <f t="shared" si="33"/>
        <v>0</v>
      </c>
      <c r="Q67" s="2">
        <f t="shared" si="33"/>
        <v>0</v>
      </c>
      <c r="R67" s="2">
        <f t="shared" si="33"/>
        <v>0</v>
      </c>
      <c r="S67" s="2">
        <f t="shared" si="33"/>
        <v>0</v>
      </c>
      <c r="T67" s="2">
        <f t="shared" si="33"/>
        <v>0</v>
      </c>
      <c r="U67" s="2">
        <f t="shared" si="33"/>
        <v>0</v>
      </c>
      <c r="V67" s="2">
        <f t="shared" si="33"/>
        <v>0</v>
      </c>
      <c r="W67" s="2">
        <f t="shared" si="33"/>
        <v>0</v>
      </c>
    </row>
    <row r="68" spans="1:23" ht="15">
      <c r="A68" s="13" t="s">
        <v>77</v>
      </c>
      <c r="B68" s="15"/>
      <c r="C68" s="15"/>
      <c r="D68" s="15"/>
      <c r="E68" s="15"/>
      <c r="F68" s="15"/>
      <c r="G68" s="15">
        <f aca="true" t="shared" si="34" ref="G68:W68">AgArea*(G66*Ag_VA_Low+G67*Ag_VA_High)</f>
        <v>33684650</v>
      </c>
      <c r="H68" s="15">
        <f t="shared" si="34"/>
        <v>30580800.000000004</v>
      </c>
      <c r="I68" s="15">
        <f t="shared" si="34"/>
        <v>26545795</v>
      </c>
      <c r="J68" s="15">
        <f t="shared" si="34"/>
        <v>21269250</v>
      </c>
      <c r="K68" s="15">
        <f t="shared" si="34"/>
        <v>13509625</v>
      </c>
      <c r="L68" s="15">
        <f t="shared" si="34"/>
        <v>5750000</v>
      </c>
      <c r="M68" s="15">
        <f t="shared" si="34"/>
        <v>5750000</v>
      </c>
      <c r="N68" s="15">
        <f t="shared" si="34"/>
        <v>5750000</v>
      </c>
      <c r="O68" s="15">
        <f t="shared" si="34"/>
        <v>5750000</v>
      </c>
      <c r="P68" s="15">
        <f t="shared" si="34"/>
        <v>5750000</v>
      </c>
      <c r="Q68" s="15">
        <f t="shared" si="34"/>
        <v>5750000</v>
      </c>
      <c r="R68" s="15">
        <f t="shared" si="34"/>
        <v>5750000</v>
      </c>
      <c r="S68" s="15">
        <f t="shared" si="34"/>
        <v>5750000</v>
      </c>
      <c r="T68" s="15">
        <f t="shared" si="34"/>
        <v>5750000</v>
      </c>
      <c r="U68" s="15">
        <f t="shared" si="34"/>
        <v>5750000</v>
      </c>
      <c r="V68" s="15">
        <f t="shared" si="34"/>
        <v>5750000</v>
      </c>
      <c r="W68" s="15">
        <f t="shared" si="34"/>
        <v>5750000</v>
      </c>
    </row>
    <row r="69" spans="2:23" ht="15">
      <c r="B69" s="6"/>
      <c r="C69" s="3"/>
      <c r="D69" s="3"/>
      <c r="E69" s="3"/>
      <c r="F69" s="3"/>
      <c r="G69" s="3"/>
      <c r="H69" s="3"/>
      <c r="I69" s="3"/>
      <c r="J69" s="3"/>
      <c r="K69" s="3"/>
      <c r="L69" s="3"/>
      <c r="M69" s="3"/>
      <c r="N69" s="3"/>
      <c r="O69" s="3"/>
      <c r="P69" s="3"/>
      <c r="Q69" s="3"/>
      <c r="R69" s="3"/>
      <c r="S69" s="3"/>
      <c r="T69" s="3"/>
      <c r="U69" s="3"/>
      <c r="V69" s="3"/>
      <c r="W69" s="3"/>
    </row>
    <row r="70" spans="1:23" ht="15">
      <c r="A70" s="13" t="s">
        <v>76</v>
      </c>
      <c r="B70" s="15"/>
      <c r="C70" s="15"/>
      <c r="D70" s="15">
        <f>D60+D55+D64+D68</f>
        <v>1461504.894582859</v>
      </c>
      <c r="E70" s="15">
        <f>E60+E55+E64+E68</f>
        <v>2966839.9839346292</v>
      </c>
      <c r="F70" s="15">
        <f>F60+F55+F64+F68</f>
        <v>4517336.60024093</v>
      </c>
      <c r="G70" s="15">
        <f>G60+G55+G64+G68</f>
        <v>43520208.613975</v>
      </c>
      <c r="H70" s="15">
        <f aca="true" t="shared" si="35" ref="H70:W70">H60+H55+H64+H68</f>
        <v>38645840.10912685</v>
      </c>
      <c r="I70" s="15">
        <f t="shared" si="35"/>
        <v>33323614.844060425</v>
      </c>
      <c r="J70" s="15">
        <f t="shared" si="35"/>
        <v>26853545.894899257</v>
      </c>
      <c r="K70" s="15">
        <f t="shared" si="35"/>
        <v>17466166.02066254</v>
      </c>
      <c r="L70" s="15">
        <f t="shared" si="35"/>
        <v>7066506.062409091</v>
      </c>
      <c r="M70" s="15">
        <f t="shared" si="35"/>
        <v>7230419.244840909</v>
      </c>
      <c r="N70" s="15">
        <f t="shared" si="35"/>
        <v>7399247.6247499995</v>
      </c>
      <c r="O70" s="15">
        <f t="shared" si="35"/>
        <v>7573143.167409092</v>
      </c>
      <c r="P70" s="15">
        <f t="shared" si="35"/>
        <v>7752257.478227274</v>
      </c>
      <c r="Q70" s="15">
        <f t="shared" si="35"/>
        <v>7936744.373204546</v>
      </c>
      <c r="R70" s="15">
        <f t="shared" si="35"/>
        <v>8126764.839909092</v>
      </c>
      <c r="S70" s="15">
        <f t="shared" si="35"/>
        <v>8322484.467022728</v>
      </c>
      <c r="T70" s="15">
        <f t="shared" si="35"/>
        <v>8524078.405318182</v>
      </c>
      <c r="U70" s="15">
        <f t="shared" si="35"/>
        <v>8731716.66465909</v>
      </c>
      <c r="V70" s="15">
        <f t="shared" si="35"/>
        <v>8945586.1685</v>
      </c>
      <c r="W70" s="15">
        <f t="shared" si="35"/>
        <v>9238593.531278409</v>
      </c>
    </row>
    <row r="71" spans="2:23" ht="15">
      <c r="B71" s="6"/>
      <c r="C71" s="3"/>
      <c r="D71" s="3"/>
      <c r="E71" s="3"/>
      <c r="F71" s="3"/>
      <c r="G71" s="3"/>
      <c r="H71" s="3"/>
      <c r="I71" s="3"/>
      <c r="J71" s="3"/>
      <c r="K71" s="3"/>
      <c r="L71" s="3"/>
      <c r="M71" s="3"/>
      <c r="N71" s="3"/>
      <c r="O71" s="3"/>
      <c r="P71" s="3"/>
      <c r="Q71" s="3"/>
      <c r="R71" s="3"/>
      <c r="S71" s="3"/>
      <c r="T71" s="3"/>
      <c r="U71" s="3"/>
      <c r="V71" s="3"/>
      <c r="W71" s="3"/>
    </row>
    <row r="72" spans="1:23" ht="15">
      <c r="A72" s="13" t="s">
        <v>84</v>
      </c>
      <c r="B72" s="15"/>
      <c r="C72" s="15"/>
      <c r="D72" s="15"/>
      <c r="E72" s="15"/>
      <c r="F72" s="15"/>
      <c r="G72" s="15">
        <f aca="true" t="shared" si="36" ref="G72:W72">G44*Excess_hydro_charge</f>
        <v>10062713.043680001</v>
      </c>
      <c r="H72" s="15">
        <f t="shared" si="36"/>
        <v>10271520.8304</v>
      </c>
      <c r="I72" s="15">
        <f t="shared" si="36"/>
        <v>10486588.221120002</v>
      </c>
      <c r="J72" s="15">
        <f t="shared" si="36"/>
        <v>10708112.190280002</v>
      </c>
      <c r="K72" s="15">
        <f t="shared" si="36"/>
        <v>10936281.854600001</v>
      </c>
      <c r="L72" s="15">
        <f t="shared" si="36"/>
        <v>11171293.39136</v>
      </c>
      <c r="M72" s="15">
        <f t="shared" si="36"/>
        <v>11413357.36468</v>
      </c>
      <c r="N72" s="15">
        <f t="shared" si="36"/>
        <v>11662680.01124</v>
      </c>
      <c r="O72" s="15">
        <f t="shared" si="36"/>
        <v>11919485.75056</v>
      </c>
      <c r="P72" s="15">
        <f t="shared" si="36"/>
        <v>12183998.47072</v>
      </c>
      <c r="Q72" s="15">
        <f t="shared" si="36"/>
        <v>12456445.324360002</v>
      </c>
      <c r="R72" s="15">
        <f t="shared" si="36"/>
        <v>12737064.054960001</v>
      </c>
      <c r="S72" s="15">
        <f t="shared" si="36"/>
        <v>13026099.200840004</v>
      </c>
      <c r="T72" s="15">
        <f t="shared" si="36"/>
        <v>13323809.421440002</v>
      </c>
      <c r="U72" s="15">
        <f t="shared" si="36"/>
        <v>13630445.784200002</v>
      </c>
      <c r="V72" s="15">
        <f t="shared" si="36"/>
        <v>13946284.334240003</v>
      </c>
      <c r="W72" s="15">
        <f t="shared" si="36"/>
        <v>14378992.218949998</v>
      </c>
    </row>
    <row r="73" spans="2:23" ht="15">
      <c r="B73" s="6"/>
      <c r="C73" s="6"/>
      <c r="D73" s="3"/>
      <c r="E73" s="3"/>
      <c r="F73" s="3"/>
      <c r="G73" s="3"/>
      <c r="H73" s="3"/>
      <c r="I73" s="3"/>
      <c r="J73" s="3"/>
      <c r="K73" s="3"/>
      <c r="L73" s="3"/>
      <c r="M73" s="3"/>
      <c r="N73" s="3"/>
      <c r="O73" s="3"/>
      <c r="P73" s="3"/>
      <c r="Q73" s="3"/>
      <c r="R73" s="3"/>
      <c r="S73" s="3"/>
      <c r="T73" s="3"/>
      <c r="U73" s="3"/>
      <c r="V73" s="3"/>
      <c r="W73" s="3"/>
    </row>
    <row r="74" spans="2:23" ht="15">
      <c r="B74" s="20" t="s">
        <v>30</v>
      </c>
      <c r="C74" s="5">
        <v>0</v>
      </c>
      <c r="D74" s="5">
        <v>1</v>
      </c>
      <c r="E74" s="5">
        <v>2</v>
      </c>
      <c r="F74" s="5">
        <v>3</v>
      </c>
      <c r="G74" s="5">
        <v>4</v>
      </c>
      <c r="H74" s="5">
        <v>5</v>
      </c>
      <c r="I74" s="5">
        <v>6</v>
      </c>
      <c r="J74" s="5">
        <v>7</v>
      </c>
      <c r="K74" s="5">
        <v>8</v>
      </c>
      <c r="L74" s="5">
        <v>9</v>
      </c>
      <c r="M74" s="5">
        <v>10</v>
      </c>
      <c r="N74" s="5">
        <v>11</v>
      </c>
      <c r="O74" s="5">
        <v>12</v>
      </c>
      <c r="P74" s="5">
        <v>13</v>
      </c>
      <c r="Q74" s="5">
        <v>14</v>
      </c>
      <c r="R74" s="5">
        <v>15</v>
      </c>
      <c r="S74" s="5">
        <v>16</v>
      </c>
      <c r="T74" s="5">
        <v>17</v>
      </c>
      <c r="U74" s="5">
        <v>18</v>
      </c>
      <c r="V74" s="5">
        <v>19</v>
      </c>
      <c r="W74" s="5">
        <v>20</v>
      </c>
    </row>
    <row r="75" spans="2:23" ht="15">
      <c r="B75" s="20" t="s">
        <v>8</v>
      </c>
      <c r="C75" s="5">
        <v>2010</v>
      </c>
      <c r="D75" s="24">
        <v>2011</v>
      </c>
      <c r="E75" s="24">
        <v>2012</v>
      </c>
      <c r="F75" s="24">
        <v>2013</v>
      </c>
      <c r="G75" s="24">
        <v>2014</v>
      </c>
      <c r="H75" s="24">
        <v>2015</v>
      </c>
      <c r="I75" s="5">
        <v>2016</v>
      </c>
      <c r="J75" s="5">
        <v>2017</v>
      </c>
      <c r="K75" s="5">
        <v>2018</v>
      </c>
      <c r="L75" s="5">
        <v>2019</v>
      </c>
      <c r="M75" s="5">
        <v>2020</v>
      </c>
      <c r="N75" s="5">
        <v>2021</v>
      </c>
      <c r="O75" s="5">
        <v>2022</v>
      </c>
      <c r="P75" s="5">
        <v>2023</v>
      </c>
      <c r="Q75" s="5">
        <v>2024</v>
      </c>
      <c r="R75" s="5">
        <v>2025</v>
      </c>
      <c r="S75" s="5">
        <v>2026</v>
      </c>
      <c r="T75" s="5">
        <v>2027</v>
      </c>
      <c r="U75" s="5">
        <v>2028</v>
      </c>
      <c r="V75" s="5">
        <v>2029</v>
      </c>
      <c r="W75" s="5">
        <v>2030</v>
      </c>
    </row>
    <row r="76" spans="1:23" ht="15">
      <c r="A76" s="7" t="s">
        <v>92</v>
      </c>
      <c r="B76" s="6"/>
      <c r="C76" s="1"/>
      <c r="D76" s="3"/>
      <c r="E76" s="3"/>
      <c r="F76" s="3"/>
      <c r="G76" s="3"/>
      <c r="H76" s="3"/>
      <c r="I76" s="3"/>
      <c r="J76" s="3"/>
      <c r="K76" s="3"/>
      <c r="L76" s="3"/>
      <c r="M76" s="3"/>
      <c r="N76" s="3"/>
      <c r="O76" s="3"/>
      <c r="P76" s="3"/>
      <c r="Q76" s="3"/>
      <c r="R76" s="3"/>
      <c r="S76" s="3"/>
      <c r="T76" s="3"/>
      <c r="U76" s="3"/>
      <c r="V76" s="3"/>
      <c r="W76" s="3"/>
    </row>
    <row r="77" spans="1:23" ht="15">
      <c r="A77" t="s">
        <v>94</v>
      </c>
      <c r="B77" s="6"/>
      <c r="C77" s="1">
        <f>C44+C38</f>
        <v>92271014.5</v>
      </c>
      <c r="D77" s="1">
        <f>D44+D38</f>
        <v>94108394.935</v>
      </c>
      <c r="E77" s="1">
        <f>E44+E38</f>
        <v>96000877.98555</v>
      </c>
      <c r="F77" s="1">
        <f>F44+F38</f>
        <v>97950137.38105002</v>
      </c>
      <c r="G77" s="1">
        <f>G44+G40</f>
        <v>120341106.82710001</v>
      </c>
      <c r="H77" s="1">
        <f>H44+H40</f>
        <v>123951347.77859999</v>
      </c>
      <c r="I77" s="1">
        <f>I44+I40</f>
        <v>127669883.37600002</v>
      </c>
      <c r="J77" s="1">
        <f>J44+J40</f>
        <v>131499973.4562</v>
      </c>
      <c r="K77" s="1">
        <f>K44+K40</f>
        <v>135444967.7775</v>
      </c>
      <c r="L77" s="1">
        <f>L44+L40-L26</f>
        <v>80687933.91360001</v>
      </c>
      <c r="M77" s="1">
        <f aca="true" t="shared" si="37" ref="M77:W77">M44+M40-M26</f>
        <v>83108573.64679998</v>
      </c>
      <c r="N77" s="1">
        <f t="shared" si="37"/>
        <v>85601800.11240001</v>
      </c>
      <c r="O77" s="1">
        <f t="shared" si="37"/>
        <v>88169857.5056</v>
      </c>
      <c r="P77" s="1">
        <f t="shared" si="37"/>
        <v>90814984.7072</v>
      </c>
      <c r="Q77" s="1">
        <f t="shared" si="37"/>
        <v>93539453.24360001</v>
      </c>
      <c r="R77" s="1">
        <f t="shared" si="37"/>
        <v>96345640.5496</v>
      </c>
      <c r="S77" s="1">
        <f t="shared" si="37"/>
        <v>99235992.00840002</v>
      </c>
      <c r="T77" s="1">
        <f t="shared" si="37"/>
        <v>102213094.21440001</v>
      </c>
      <c r="U77" s="1">
        <f t="shared" si="37"/>
        <v>105279457.84200001</v>
      </c>
      <c r="V77" s="1">
        <f t="shared" si="37"/>
        <v>108437843.34240001</v>
      </c>
      <c r="W77" s="1">
        <f t="shared" si="37"/>
        <v>112764922.18949997</v>
      </c>
    </row>
    <row r="78" spans="1:23" ht="17.25">
      <c r="A78" t="s">
        <v>95</v>
      </c>
      <c r="B78" s="6"/>
      <c r="C78" s="3">
        <f>C77/365</f>
        <v>252797.3</v>
      </c>
      <c r="D78" s="3">
        <f>D77/365</f>
        <v>257831.219</v>
      </c>
      <c r="E78" s="3">
        <f>E77/365</f>
        <v>263016.10407</v>
      </c>
      <c r="F78" s="3">
        <f>F77/365</f>
        <v>268356.5407700001</v>
      </c>
      <c r="G78" s="3">
        <f>G77/365</f>
        <v>329701.66254000005</v>
      </c>
      <c r="H78" s="3">
        <f>H77/365</f>
        <v>339592.73364</v>
      </c>
      <c r="I78" s="3">
        <f>I77/365</f>
        <v>349780.50240000006</v>
      </c>
      <c r="J78" s="3">
        <f>J77/365</f>
        <v>360273.89988</v>
      </c>
      <c r="K78" s="3">
        <f>K77/365</f>
        <v>371082.1035</v>
      </c>
      <c r="L78" s="3">
        <f>L77/365</f>
        <v>221062.83264000004</v>
      </c>
      <c r="M78" s="3">
        <f>M77/365</f>
        <v>227694.72231999994</v>
      </c>
      <c r="N78" s="3">
        <f>N77/365</f>
        <v>234525.47976000002</v>
      </c>
      <c r="O78" s="3">
        <f>O77/365</f>
        <v>241561.25344</v>
      </c>
      <c r="P78" s="3">
        <f>P77/365</f>
        <v>248808.17728</v>
      </c>
      <c r="Q78" s="3">
        <f>Q77/365</f>
        <v>256272.47464000003</v>
      </c>
      <c r="R78" s="3">
        <f>R77/365</f>
        <v>263960.65904</v>
      </c>
      <c r="S78" s="3">
        <f>S77/365</f>
        <v>271879.43016000005</v>
      </c>
      <c r="T78" s="3">
        <f>T77/365</f>
        <v>280035.87456</v>
      </c>
      <c r="U78" s="3">
        <f>U77/365</f>
        <v>288436.87080000003</v>
      </c>
      <c r="V78" s="3">
        <f>V77/365</f>
        <v>297089.98176000005</v>
      </c>
      <c r="W78" s="3">
        <f>W77/365</f>
        <v>308944.9922999999</v>
      </c>
    </row>
    <row r="79" spans="1:23" ht="15">
      <c r="A79" t="s">
        <v>186</v>
      </c>
      <c r="B79" s="6"/>
      <c r="C79" s="3"/>
      <c r="D79" s="3"/>
      <c r="E79" s="3"/>
      <c r="F79" s="3"/>
      <c r="G79" s="3"/>
      <c r="H79" s="3"/>
      <c r="I79" s="3"/>
      <c r="J79" s="3"/>
      <c r="K79" s="3"/>
      <c r="L79" s="11">
        <f>L26</f>
        <v>57774137.274000004</v>
      </c>
      <c r="M79" s="11">
        <f aca="true" t="shared" si="38" ref="M79:W79">M26</f>
        <v>59507335.102</v>
      </c>
      <c r="N79" s="11">
        <f t="shared" si="38"/>
        <v>61292561.489999995</v>
      </c>
      <c r="O79" s="11">
        <f t="shared" si="38"/>
        <v>63131328.706</v>
      </c>
      <c r="P79" s="11">
        <f t="shared" si="38"/>
        <v>65025251.3056</v>
      </c>
      <c r="Q79" s="11">
        <f t="shared" si="38"/>
        <v>67784595.738</v>
      </c>
      <c r="R79" s="11">
        <f t="shared" si="38"/>
        <v>69818123.3186</v>
      </c>
      <c r="S79" s="11">
        <f t="shared" si="38"/>
        <v>71912661.2478</v>
      </c>
      <c r="T79" s="11">
        <f t="shared" si="38"/>
        <v>74070027.4446</v>
      </c>
      <c r="U79" s="11">
        <f t="shared" si="38"/>
        <v>76292142.74340001</v>
      </c>
      <c r="V79" s="11">
        <f t="shared" si="38"/>
        <v>79049604.243</v>
      </c>
      <c r="W79" s="11">
        <f t="shared" si="38"/>
        <v>82282889.5246</v>
      </c>
    </row>
    <row r="80" spans="1:23" ht="15">
      <c r="A80" t="s">
        <v>187</v>
      </c>
      <c r="B80" s="6"/>
      <c r="C80" s="3"/>
      <c r="D80" s="3"/>
      <c r="E80" s="3"/>
      <c r="F80" s="3"/>
      <c r="G80" s="3"/>
      <c r="H80" s="3"/>
      <c r="I80" s="3"/>
      <c r="J80" s="3"/>
      <c r="K80" s="3"/>
      <c r="L80" s="31">
        <f>L79/365</f>
        <v>158285.3076</v>
      </c>
      <c r="M80" s="31">
        <f aca="true" t="shared" si="39" ref="M80:W80">M79/365</f>
        <v>163033.7948</v>
      </c>
      <c r="N80" s="31">
        <f t="shared" si="39"/>
        <v>167924.82599999997</v>
      </c>
      <c r="O80" s="31">
        <f t="shared" si="39"/>
        <v>172962.5444</v>
      </c>
      <c r="P80" s="31">
        <f t="shared" si="39"/>
        <v>178151.37344</v>
      </c>
      <c r="Q80" s="31">
        <f t="shared" si="39"/>
        <v>185711.22120000003</v>
      </c>
      <c r="R80" s="31">
        <f t="shared" si="39"/>
        <v>191282.52964</v>
      </c>
      <c r="S80" s="31">
        <f t="shared" si="39"/>
        <v>197020.98971999998</v>
      </c>
      <c r="T80" s="31">
        <f t="shared" si="39"/>
        <v>202931.58204</v>
      </c>
      <c r="U80" s="31">
        <f t="shared" si="39"/>
        <v>209019.56916</v>
      </c>
      <c r="V80" s="31">
        <f t="shared" si="39"/>
        <v>216574.2582</v>
      </c>
      <c r="W80" s="31">
        <f t="shared" si="39"/>
        <v>225432.57404</v>
      </c>
    </row>
    <row r="81" spans="1:23" ht="15">
      <c r="A81" t="s">
        <v>70</v>
      </c>
      <c r="B81" s="6"/>
      <c r="C81" s="3">
        <v>0</v>
      </c>
      <c r="D81" s="1">
        <f>(D77-$C77)*0.87</f>
        <v>1598520.9784500021</v>
      </c>
      <c r="E81" s="1">
        <f>(E77-$C77)*0.87</f>
        <v>3244981.232428501</v>
      </c>
      <c r="F81" s="1">
        <f aca="true" t="shared" si="40" ref="F81:K81">(F77-$C77)*0.87</f>
        <v>4940836.906513518</v>
      </c>
      <c r="G81" s="1">
        <f t="shared" si="40"/>
        <v>24420980.324577007</v>
      </c>
      <c r="H81" s="1">
        <f t="shared" si="40"/>
        <v>27561889.952381995</v>
      </c>
      <c r="I81" s="1">
        <f t="shared" si="40"/>
        <v>30797015.922120016</v>
      </c>
      <c r="J81" s="1">
        <f t="shared" si="40"/>
        <v>34129194.291894004</v>
      </c>
      <c r="K81" s="1">
        <f t="shared" si="40"/>
        <v>37561339.351425</v>
      </c>
      <c r="L81" s="11">
        <f>(L77+L79-$C77)*0.87</f>
        <v>40186219.31821202</v>
      </c>
      <c r="M81" s="11">
        <f aca="true" t="shared" si="41" ref="M81:W81">(M77+M79-$C77)*0.87</f>
        <v>43800057.99645598</v>
      </c>
      <c r="N81" s="11">
        <f t="shared" si="41"/>
        <v>47522311.979088</v>
      </c>
      <c r="O81" s="11">
        <f t="shared" si="41"/>
        <v>51356249.389092006</v>
      </c>
      <c r="P81" s="11">
        <f t="shared" si="41"/>
        <v>55305222.71613601</v>
      </c>
      <c r="Q81" s="11">
        <f t="shared" si="41"/>
        <v>60076139.99899201</v>
      </c>
      <c r="R81" s="11">
        <f t="shared" si="41"/>
        <v>64286691.950334005</v>
      </c>
      <c r="S81" s="11">
        <f t="shared" si="41"/>
        <v>68623545.71789402</v>
      </c>
      <c r="T81" s="11">
        <f t="shared" si="41"/>
        <v>73090533.22833</v>
      </c>
      <c r="U81" s="11">
        <f t="shared" si="41"/>
        <v>77691509.89429802</v>
      </c>
      <c r="V81" s="11">
        <f t="shared" si="41"/>
        <v>82838296.78429802</v>
      </c>
      <c r="W81" s="11">
        <f t="shared" si="41"/>
        <v>89415813.57626697</v>
      </c>
    </row>
    <row r="82" spans="1:23" ht="15">
      <c r="A82" t="s">
        <v>116</v>
      </c>
      <c r="B82" s="6"/>
      <c r="C82" s="3"/>
      <c r="D82" s="1">
        <f>IF(D81&gt;D74*Agriculture!$B$12,D74*Agriculture!$B$12,Sept_Proj_Streams!D81)</f>
        <v>1598520.9784500021</v>
      </c>
      <c r="E82" s="1">
        <f>IF(E81&gt;E74*Agriculture!$B$12,E74*Agriculture!$B$12,Sept_Proj_Streams!E81)</f>
        <v>3244981.232428501</v>
      </c>
      <c r="F82" s="1">
        <f>IF(F81&gt;F74*Agriculture!$B$12,F74*Agriculture!$B$12,Sept_Proj_Streams!F81)</f>
        <v>4940836.906513518</v>
      </c>
      <c r="G82" s="1">
        <f>IF(G81&gt;G74*Agriculture!$B$12,G74*Agriculture!$B$12,Sept_Proj_Streams!G81)</f>
        <v>7132121.09090908</v>
      </c>
      <c r="H82" s="1">
        <f>G82</f>
        <v>7132121.09090908</v>
      </c>
      <c r="I82" s="1">
        <f aca="true" t="shared" si="42" ref="I82:W82">H82</f>
        <v>7132121.09090908</v>
      </c>
      <c r="J82" s="1">
        <f t="shared" si="42"/>
        <v>7132121.09090908</v>
      </c>
      <c r="K82" s="1">
        <f t="shared" si="42"/>
        <v>7132121.09090908</v>
      </c>
      <c r="L82" s="1">
        <f t="shared" si="42"/>
        <v>7132121.09090908</v>
      </c>
      <c r="M82" s="1">
        <f t="shared" si="42"/>
        <v>7132121.09090908</v>
      </c>
      <c r="N82" s="1">
        <f t="shared" si="42"/>
        <v>7132121.09090908</v>
      </c>
      <c r="O82" s="1">
        <f t="shared" si="42"/>
        <v>7132121.09090908</v>
      </c>
      <c r="P82" s="1">
        <f t="shared" si="42"/>
        <v>7132121.09090908</v>
      </c>
      <c r="Q82" s="1">
        <f t="shared" si="42"/>
        <v>7132121.09090908</v>
      </c>
      <c r="R82" s="1">
        <f t="shared" si="42"/>
        <v>7132121.09090908</v>
      </c>
      <c r="S82" s="1">
        <f t="shared" si="42"/>
        <v>7132121.09090908</v>
      </c>
      <c r="T82" s="1">
        <f t="shared" si="42"/>
        <v>7132121.09090908</v>
      </c>
      <c r="U82" s="1">
        <f t="shared" si="42"/>
        <v>7132121.09090908</v>
      </c>
      <c r="V82" s="1">
        <f t="shared" si="42"/>
        <v>7132121.09090908</v>
      </c>
      <c r="W82" s="1">
        <f t="shared" si="42"/>
        <v>7132121.09090908</v>
      </c>
    </row>
    <row r="83" spans="1:23" ht="15">
      <c r="A83" t="s">
        <v>117</v>
      </c>
      <c r="B83" s="6"/>
      <c r="C83" s="3"/>
      <c r="D83" s="3">
        <f>D82/Agriculture!$B$12*Agriculture!$B$13</f>
        <v>228.36013977857172</v>
      </c>
      <c r="E83" s="3">
        <f>E82/Agriculture!$B$12*Agriculture!$B$13</f>
        <v>463.56874748978584</v>
      </c>
      <c r="F83" s="3">
        <f>F82/Agriculture!$B$12*Agriculture!$B$13</f>
        <v>705.8338437876454</v>
      </c>
      <c r="G83" s="3">
        <f>G82/Agriculture!$B$12*Agriculture!$B$13</f>
        <v>1018.8744415584399</v>
      </c>
      <c r="H83" s="3">
        <f>H82/Agriculture!$B$12*Agriculture!$B$13</f>
        <v>1018.8744415584399</v>
      </c>
      <c r="I83" s="3">
        <f>I82/Agriculture!$B$12*Agriculture!$B$13</f>
        <v>1018.8744415584399</v>
      </c>
      <c r="J83" s="3">
        <f>J82/Agriculture!$B$12*Agriculture!$B$13</f>
        <v>1018.8744415584399</v>
      </c>
      <c r="K83" s="3">
        <f>K82/Agriculture!$B$12*Agriculture!$B$13</f>
        <v>1018.8744415584399</v>
      </c>
      <c r="L83" s="3">
        <f>L82/Agriculture!$B$12*Agriculture!$B$13</f>
        <v>1018.8744415584399</v>
      </c>
      <c r="M83" s="3">
        <f>M82/Agriculture!$B$12*Agriculture!$B$13</f>
        <v>1018.8744415584399</v>
      </c>
      <c r="N83" s="3">
        <f>N82/Agriculture!$B$12*Agriculture!$B$13</f>
        <v>1018.8744415584399</v>
      </c>
      <c r="O83" s="3">
        <f>O82/Agriculture!$B$12*Agriculture!$B$13</f>
        <v>1018.8744415584399</v>
      </c>
      <c r="P83" s="3">
        <f>P82/Agriculture!$B$12*Agriculture!$B$13</f>
        <v>1018.8744415584399</v>
      </c>
      <c r="Q83" s="3">
        <f>Q82/Agriculture!$B$12*Agriculture!$B$13</f>
        <v>1018.8744415584399</v>
      </c>
      <c r="R83" s="3">
        <f>R82/Agriculture!$B$12*Agriculture!$B$13</f>
        <v>1018.8744415584399</v>
      </c>
      <c r="S83" s="3">
        <f>S82/Agriculture!$B$12*Agriculture!$B$13</f>
        <v>1018.8744415584399</v>
      </c>
      <c r="T83" s="3">
        <f>T82/Agriculture!$B$12*Agriculture!$B$13</f>
        <v>1018.8744415584399</v>
      </c>
      <c r="U83" s="3">
        <f>U82/Agriculture!$B$12*Agriculture!$B$13</f>
        <v>1018.8744415584399</v>
      </c>
      <c r="V83" s="3">
        <f>V82/Agriculture!$B$12*Agriculture!$B$13</f>
        <v>1018.8744415584399</v>
      </c>
      <c r="W83" s="3">
        <f>W82/Agriculture!$B$12*Agriculture!$B$13</f>
        <v>1018.8744415584399</v>
      </c>
    </row>
    <row r="84" spans="1:23" ht="15">
      <c r="A84" t="s">
        <v>118</v>
      </c>
      <c r="B84" s="6"/>
      <c r="C84" s="3"/>
      <c r="D84" s="1">
        <f aca="true" t="shared" si="43" ref="D84:W84">D83*VA_ha_citrus</f>
        <v>1461504.894582859</v>
      </c>
      <c r="E84" s="1">
        <f t="shared" si="43"/>
        <v>2966839.9839346292</v>
      </c>
      <c r="F84" s="1">
        <f t="shared" si="43"/>
        <v>4517336.60024093</v>
      </c>
      <c r="G84" s="1">
        <f t="shared" si="43"/>
        <v>6520796.425974015</v>
      </c>
      <c r="H84" s="1">
        <f t="shared" si="43"/>
        <v>6520796.425974015</v>
      </c>
      <c r="I84" s="1">
        <f t="shared" si="43"/>
        <v>6520796.425974015</v>
      </c>
      <c r="J84" s="1">
        <f t="shared" si="43"/>
        <v>6520796.425974015</v>
      </c>
      <c r="K84" s="1">
        <f t="shared" si="43"/>
        <v>6520796.425974015</v>
      </c>
      <c r="L84" s="1">
        <f t="shared" si="43"/>
        <v>6520796.425974015</v>
      </c>
      <c r="M84" s="1">
        <f t="shared" si="43"/>
        <v>6520796.425974015</v>
      </c>
      <c r="N84" s="1">
        <f t="shared" si="43"/>
        <v>6520796.425974015</v>
      </c>
      <c r="O84" s="1">
        <f t="shared" si="43"/>
        <v>6520796.425974015</v>
      </c>
      <c r="P84" s="1">
        <f t="shared" si="43"/>
        <v>6520796.425974015</v>
      </c>
      <c r="Q84" s="1">
        <f t="shared" si="43"/>
        <v>6520796.425974015</v>
      </c>
      <c r="R84" s="1">
        <f t="shared" si="43"/>
        <v>6520796.425974015</v>
      </c>
      <c r="S84" s="1">
        <f t="shared" si="43"/>
        <v>6520796.425974015</v>
      </c>
      <c r="T84" s="1">
        <f t="shared" si="43"/>
        <v>6520796.425974015</v>
      </c>
      <c r="U84" s="1">
        <f t="shared" si="43"/>
        <v>6520796.425974015</v>
      </c>
      <c r="V84" s="1">
        <f t="shared" si="43"/>
        <v>6520796.425974015</v>
      </c>
      <c r="W84" s="1">
        <f t="shared" si="43"/>
        <v>6520796.425974015</v>
      </c>
    </row>
    <row r="85" spans="2:23" ht="15">
      <c r="B85" s="6"/>
      <c r="C85" s="3"/>
      <c r="D85" s="1"/>
      <c r="E85" s="1"/>
      <c r="F85" s="1"/>
      <c r="G85" s="1"/>
      <c r="H85" s="1"/>
      <c r="I85" s="1"/>
      <c r="J85" s="1"/>
      <c r="K85" s="1"/>
      <c r="L85" s="1"/>
      <c r="M85" s="1"/>
      <c r="N85" s="1"/>
      <c r="O85" s="1"/>
      <c r="P85" s="1"/>
      <c r="Q85" s="1"/>
      <c r="R85" s="1"/>
      <c r="S85" s="1"/>
      <c r="T85" s="1"/>
      <c r="U85" s="1"/>
      <c r="V85" s="1"/>
      <c r="W85" s="1"/>
    </row>
    <row r="86" spans="1:23" ht="15">
      <c r="A86" t="s">
        <v>93</v>
      </c>
      <c r="B86" s="6"/>
      <c r="C86" s="3"/>
      <c r="D86" s="3"/>
      <c r="E86" s="3"/>
      <c r="F86" s="1"/>
      <c r="G86" s="1">
        <v>5000000</v>
      </c>
      <c r="H86" s="1">
        <v>6000000</v>
      </c>
      <c r="I86" s="1">
        <v>7000000</v>
      </c>
      <c r="J86" s="1">
        <v>8000000</v>
      </c>
      <c r="K86" s="1">
        <v>9000000</v>
      </c>
      <c r="L86" s="1">
        <v>10000000</v>
      </c>
      <c r="M86" s="1">
        <v>10000000</v>
      </c>
      <c r="N86" s="1">
        <v>10000000</v>
      </c>
      <c r="O86" s="1">
        <v>10000000</v>
      </c>
      <c r="P86" s="1">
        <v>10000000</v>
      </c>
      <c r="Q86" s="1">
        <v>10000000</v>
      </c>
      <c r="R86" s="1">
        <v>10000000</v>
      </c>
      <c r="S86" s="1">
        <v>10000000</v>
      </c>
      <c r="T86" s="1">
        <v>10000000</v>
      </c>
      <c r="U86" s="1">
        <v>10000000</v>
      </c>
      <c r="V86" s="1">
        <v>10000000</v>
      </c>
      <c r="W86" s="1">
        <v>10000000</v>
      </c>
    </row>
    <row r="87" spans="1:23" ht="15">
      <c r="A87" s="13" t="s">
        <v>96</v>
      </c>
      <c r="B87" s="14"/>
      <c r="C87" s="15">
        <f>C86*(2.35-0.6)</f>
        <v>0</v>
      </c>
      <c r="D87" s="15">
        <f aca="true" t="shared" si="44" ref="D87:W87">D86*(2.35-0.6)</f>
        <v>0</v>
      </c>
      <c r="E87" s="15">
        <f t="shared" si="44"/>
        <v>0</v>
      </c>
      <c r="F87" s="15">
        <f t="shared" si="44"/>
        <v>0</v>
      </c>
      <c r="G87" s="15">
        <f t="shared" si="44"/>
        <v>8750000</v>
      </c>
      <c r="H87" s="15">
        <f t="shared" si="44"/>
        <v>10500000</v>
      </c>
      <c r="I87" s="15">
        <f t="shared" si="44"/>
        <v>12250000</v>
      </c>
      <c r="J87" s="15">
        <f t="shared" si="44"/>
        <v>14000000</v>
      </c>
      <c r="K87" s="15">
        <f t="shared" si="44"/>
        <v>15750000</v>
      </c>
      <c r="L87" s="15">
        <f t="shared" si="44"/>
        <v>17500000</v>
      </c>
      <c r="M87" s="15">
        <f t="shared" si="44"/>
        <v>17500000</v>
      </c>
      <c r="N87" s="15">
        <f t="shared" si="44"/>
        <v>17500000</v>
      </c>
      <c r="O87" s="15">
        <f t="shared" si="44"/>
        <v>17500000</v>
      </c>
      <c r="P87" s="15">
        <f t="shared" si="44"/>
        <v>17500000</v>
      </c>
      <c r="Q87" s="15">
        <f t="shared" si="44"/>
        <v>17500000</v>
      </c>
      <c r="R87" s="15">
        <f t="shared" si="44"/>
        <v>17500000</v>
      </c>
      <c r="S87" s="15">
        <f t="shared" si="44"/>
        <v>17500000</v>
      </c>
      <c r="T87" s="15">
        <f t="shared" si="44"/>
        <v>17500000</v>
      </c>
      <c r="U87" s="15">
        <f t="shared" si="44"/>
        <v>17500000</v>
      </c>
      <c r="V87" s="15">
        <f t="shared" si="44"/>
        <v>17500000</v>
      </c>
      <c r="W87" s="15">
        <f t="shared" si="44"/>
        <v>17500000</v>
      </c>
    </row>
    <row r="89" spans="1:23" ht="15">
      <c r="A89" t="s">
        <v>124</v>
      </c>
      <c r="G89" s="1">
        <f>IF(G81-G82-G86&lt;Agriculture!$B$26,G81-G82-G86,Agriculture!$B$26)</f>
        <v>12288859.233667929</v>
      </c>
      <c r="H89" s="1">
        <f>IF(H81-H82-H86&lt;Agriculture!$B$26,H81-H82-H86,Agriculture!$B$26)</f>
        <v>14429768.861472916</v>
      </c>
      <c r="I89" s="1">
        <f>IF(I81-I82-I86&lt;Agriculture!$B$26,I81-I82-I86,Agriculture!$B$26)</f>
        <v>16664894.831210937</v>
      </c>
      <c r="J89" s="1">
        <f>IF(J81-J82-J86&lt;Agriculture!$B$26,J81-J82-J86,Agriculture!$B$26)</f>
        <v>18997073.200984925</v>
      </c>
      <c r="K89" s="1">
        <f>IF(K81-K82-K86&lt;Agriculture!$B$26,K81-K82-K86,Agriculture!$B$26)</f>
        <v>21429218.26051592</v>
      </c>
      <c r="L89" s="1">
        <f>IF(L81-L82-L86&lt;Agriculture!$B$26,L81-L82-L86,Agriculture!$B$26)</f>
        <v>23054098.22730294</v>
      </c>
      <c r="M89" s="1">
        <f>IF(M81-M82-M86&lt;Agriculture!$B$26,M81-M82-M86,Agriculture!$B$26)</f>
        <v>26667936.905546904</v>
      </c>
      <c r="N89" s="1">
        <f>IF(N81-N82-N86&lt;Agriculture!$B$26,N81-N82-N86,Agriculture!$B$26)</f>
        <v>28543000</v>
      </c>
      <c r="O89" s="1">
        <f>IF(O81-O82-O86&lt;Agriculture!$B$26,O81-O82-O86,Agriculture!$B$26)</f>
        <v>28543000</v>
      </c>
      <c r="P89" s="1">
        <f>IF(P81-P82-P86&lt;Agriculture!$B$26,P81-P82-P86,Agriculture!$B$26)</f>
        <v>28543000</v>
      </c>
      <c r="Q89" s="1">
        <f>IF(Q81-Q82-Q86&lt;Agriculture!$B$26,Q81-Q82-Q86,Agriculture!$B$26)</f>
        <v>28543000</v>
      </c>
      <c r="R89" s="1">
        <f>IF(R81-R82-R86&lt;Agriculture!$B$26,R81-R82-R86,Agriculture!$B$26)</f>
        <v>28543000</v>
      </c>
      <c r="S89" s="1">
        <f>IF(S81-S82-S86&lt;Agriculture!$B$26,S81-S82-S86,Agriculture!$B$26)</f>
        <v>28543000</v>
      </c>
      <c r="T89" s="1">
        <f>IF(T81-T82-T86&lt;Agriculture!$B$26,T81-T82-T86,Agriculture!$B$26)</f>
        <v>28543000</v>
      </c>
      <c r="U89" s="1">
        <f>IF(U81-U82-U86&lt;Agriculture!$B$26,U81-U82-U86,Agriculture!$B$26)</f>
        <v>28543000</v>
      </c>
      <c r="V89" s="1">
        <f>IF(V81-V82-V86&lt;Agriculture!$B$26,V81-V82-V86,Agriculture!$B$26)</f>
        <v>28543000</v>
      </c>
      <c r="W89" s="1">
        <f>IF(W81-W82-W86&lt;Agriculture!$B$26,W81-W82-W86,Agriculture!$B$26)</f>
        <v>28543000</v>
      </c>
    </row>
    <row r="90" spans="1:23" ht="15">
      <c r="A90" s="13" t="s">
        <v>75</v>
      </c>
      <c r="B90" s="14"/>
      <c r="C90" s="15"/>
      <c r="D90" s="15"/>
      <c r="E90" s="15"/>
      <c r="F90" s="15"/>
      <c r="G90" s="15">
        <f>G89*Agriculture!$B33</f>
        <v>4079707.4188982677</v>
      </c>
      <c r="H90" s="15">
        <f>H89*Agriculture!$B33</f>
        <v>4790455.644235353</v>
      </c>
      <c r="I90" s="15">
        <f>I89*Agriculture!$B33</f>
        <v>5532482.208908654</v>
      </c>
      <c r="J90" s="15">
        <f>J89*Agriculture!$B33</f>
        <v>6306728.639471853</v>
      </c>
      <c r="K90" s="15">
        <f>K89*Agriculture!$B33</f>
        <v>7114162.434141805</v>
      </c>
      <c r="L90" s="15">
        <f>L89*Agriculture!$B33</f>
        <v>7653596.951965764</v>
      </c>
      <c r="M90" s="15">
        <f>M89*Agriculture!$B33</f>
        <v>8853334.387800388</v>
      </c>
      <c r="N90" s="15">
        <f>N89*Agriculture!$B33</f>
        <v>9475825.757575758</v>
      </c>
      <c r="O90" s="15">
        <f>O89*Agriculture!$B33</f>
        <v>9475825.757575758</v>
      </c>
      <c r="P90" s="15">
        <f>P89*Agriculture!$B33</f>
        <v>9475825.757575758</v>
      </c>
      <c r="Q90" s="15">
        <f>Q89*Agriculture!$B33</f>
        <v>9475825.757575758</v>
      </c>
      <c r="R90" s="15">
        <f>R89*Agriculture!$B33</f>
        <v>9475825.757575758</v>
      </c>
      <c r="S90" s="15">
        <f>S89*Agriculture!$B33</f>
        <v>9475825.757575758</v>
      </c>
      <c r="T90" s="15">
        <f>T89*Agriculture!$B33</f>
        <v>9475825.757575758</v>
      </c>
      <c r="U90" s="15">
        <f>U89*Agriculture!$B33</f>
        <v>9475825.757575758</v>
      </c>
      <c r="V90" s="15">
        <f>V89*Agriculture!$B33</f>
        <v>9475825.757575758</v>
      </c>
      <c r="W90" s="15">
        <f>W89*Agriculture!$B33</f>
        <v>9475825.757575758</v>
      </c>
    </row>
    <row r="92" spans="1:23" ht="15">
      <c r="A92" s="13" t="s">
        <v>123</v>
      </c>
      <c r="B92" s="14"/>
      <c r="C92" s="15"/>
      <c r="D92" s="15"/>
      <c r="E92" s="15"/>
      <c r="F92" s="15"/>
      <c r="G92" s="15">
        <f aca="true" t="shared" si="45" ref="G92:W92">AgArea*Ag_VA_High</f>
        <v>36788500</v>
      </c>
      <c r="H92" s="15">
        <f t="shared" si="45"/>
        <v>36788500</v>
      </c>
      <c r="I92" s="15">
        <f t="shared" si="45"/>
        <v>36788500</v>
      </c>
      <c r="J92" s="15">
        <f t="shared" si="45"/>
        <v>36788500</v>
      </c>
      <c r="K92" s="15">
        <f t="shared" si="45"/>
        <v>36788500</v>
      </c>
      <c r="L92" s="15">
        <f t="shared" si="45"/>
        <v>36788500</v>
      </c>
      <c r="M92" s="15">
        <f t="shared" si="45"/>
        <v>36788500</v>
      </c>
      <c r="N92" s="15">
        <f t="shared" si="45"/>
        <v>36788500</v>
      </c>
      <c r="O92" s="15">
        <f t="shared" si="45"/>
        <v>36788500</v>
      </c>
      <c r="P92" s="15">
        <f t="shared" si="45"/>
        <v>36788500</v>
      </c>
      <c r="Q92" s="15">
        <f t="shared" si="45"/>
        <v>36788500</v>
      </c>
      <c r="R92" s="15">
        <f t="shared" si="45"/>
        <v>36788500</v>
      </c>
      <c r="S92" s="15">
        <f t="shared" si="45"/>
        <v>36788500</v>
      </c>
      <c r="T92" s="15">
        <f t="shared" si="45"/>
        <v>36788500</v>
      </c>
      <c r="U92" s="15">
        <f t="shared" si="45"/>
        <v>36788500</v>
      </c>
      <c r="V92" s="15">
        <f t="shared" si="45"/>
        <v>36788500</v>
      </c>
      <c r="W92" s="15">
        <f t="shared" si="45"/>
        <v>36788500</v>
      </c>
    </row>
    <row r="93" spans="1:23" ht="15">
      <c r="A93" s="2"/>
      <c r="B93" s="2"/>
      <c r="C93" s="2"/>
      <c r="D93" s="2"/>
      <c r="E93" s="2"/>
      <c r="F93" s="2"/>
      <c r="G93" s="2"/>
      <c r="H93" s="2"/>
      <c r="I93" s="2"/>
      <c r="J93" s="2"/>
      <c r="K93" s="2"/>
      <c r="L93" s="2"/>
      <c r="M93" s="2"/>
      <c r="N93" s="2"/>
      <c r="O93" s="2"/>
      <c r="P93" s="2"/>
      <c r="Q93" s="2"/>
      <c r="R93" s="2"/>
      <c r="S93" s="2"/>
      <c r="T93" s="2"/>
      <c r="U93" s="2"/>
      <c r="V93" s="2"/>
      <c r="W93" s="2"/>
    </row>
    <row r="94" spans="1:23" ht="15">
      <c r="A94" s="13" t="s">
        <v>154</v>
      </c>
      <c r="B94" s="14"/>
      <c r="C94" s="15">
        <f aca="true" t="shared" si="46" ref="C94:W94">C84+C87+C90+C92</f>
        <v>0</v>
      </c>
      <c r="D94" s="15">
        <f t="shared" si="46"/>
        <v>1461504.894582859</v>
      </c>
      <c r="E94" s="15">
        <f t="shared" si="46"/>
        <v>2966839.9839346292</v>
      </c>
      <c r="F94" s="15">
        <f t="shared" si="46"/>
        <v>4517336.60024093</v>
      </c>
      <c r="G94" s="15">
        <f t="shared" si="46"/>
        <v>56139003.84487228</v>
      </c>
      <c r="H94" s="15">
        <f t="shared" si="46"/>
        <v>58599752.07020937</v>
      </c>
      <c r="I94" s="15">
        <f t="shared" si="46"/>
        <v>61091778.63488267</v>
      </c>
      <c r="J94" s="15">
        <f t="shared" si="46"/>
        <v>63616025.06544587</v>
      </c>
      <c r="K94" s="15">
        <f t="shared" si="46"/>
        <v>66173458.86011582</v>
      </c>
      <c r="L94" s="15">
        <f t="shared" si="46"/>
        <v>68462893.37793978</v>
      </c>
      <c r="M94" s="15">
        <f t="shared" si="46"/>
        <v>69662630.8137744</v>
      </c>
      <c r="N94" s="15">
        <f t="shared" si="46"/>
        <v>70285122.18354978</v>
      </c>
      <c r="O94" s="15">
        <f t="shared" si="46"/>
        <v>70285122.18354978</v>
      </c>
      <c r="P94" s="15">
        <f t="shared" si="46"/>
        <v>70285122.18354978</v>
      </c>
      <c r="Q94" s="15">
        <f t="shared" si="46"/>
        <v>70285122.18354978</v>
      </c>
      <c r="R94" s="15">
        <f t="shared" si="46"/>
        <v>70285122.18354978</v>
      </c>
      <c r="S94" s="15">
        <f t="shared" si="46"/>
        <v>70285122.18354978</v>
      </c>
      <c r="T94" s="15">
        <f t="shared" si="46"/>
        <v>70285122.18354978</v>
      </c>
      <c r="U94" s="15">
        <f t="shared" si="46"/>
        <v>70285122.18354978</v>
      </c>
      <c r="V94" s="15">
        <f t="shared" si="46"/>
        <v>70285122.18354978</v>
      </c>
      <c r="W94" s="15">
        <f t="shared" si="46"/>
        <v>70285122.18354978</v>
      </c>
    </row>
    <row r="95" spans="1:23" ht="15">
      <c r="A95" s="2" t="s">
        <v>147</v>
      </c>
      <c r="B95" s="2"/>
      <c r="C95" s="2"/>
      <c r="D95" s="2"/>
      <c r="E95" s="2"/>
      <c r="F95" s="2"/>
      <c r="G95" s="2"/>
      <c r="H95" s="2"/>
      <c r="I95" s="2"/>
      <c r="J95" s="2"/>
      <c r="K95" s="2"/>
      <c r="L95" s="2"/>
      <c r="M95" s="2"/>
      <c r="N95" s="2"/>
      <c r="O95" s="2"/>
      <c r="P95" s="2"/>
      <c r="Q95" s="2"/>
      <c r="R95" s="2"/>
      <c r="S95" s="2"/>
      <c r="T95" s="2"/>
      <c r="U95" s="2"/>
      <c r="V95" s="2"/>
      <c r="W95" s="2"/>
    </row>
    <row r="96" spans="1:23" ht="15">
      <c r="A96" s="13" t="s">
        <v>189</v>
      </c>
      <c r="B96" s="15"/>
      <c r="C96" s="15"/>
      <c r="D96" s="15"/>
      <c r="E96" s="15"/>
      <c r="F96" s="15"/>
      <c r="G96" s="15">
        <f>(G77+G79)*Excess_hydro_charge</f>
        <v>12034110.682710001</v>
      </c>
      <c r="H96" s="15">
        <f>(H77+H79)*Excess_hydro_charge</f>
        <v>12395134.77786</v>
      </c>
      <c r="I96" s="15">
        <f>(I77+I79)*Excess_hydro_charge</f>
        <v>12766988.337600002</v>
      </c>
      <c r="J96" s="15">
        <f>(J77+J79)*Excess_hydro_charge</f>
        <v>13149997.34562</v>
      </c>
      <c r="K96" s="15">
        <f>(K77+K79)*Excess_hydro_charge</f>
        <v>13544496.77775</v>
      </c>
      <c r="L96" s="15">
        <f aca="true" t="shared" si="47" ref="L96:W96">(L77+L79)*OM_expansion</f>
        <v>11076965.695008002</v>
      </c>
      <c r="M96" s="15">
        <f t="shared" si="47"/>
        <v>11409272.699903999</v>
      </c>
      <c r="N96" s="15">
        <f t="shared" si="47"/>
        <v>11751548.928192</v>
      </c>
      <c r="O96" s="15">
        <f t="shared" si="47"/>
        <v>12104094.896928001</v>
      </c>
      <c r="P96" s="15">
        <f t="shared" si="47"/>
        <v>12467218.881024001</v>
      </c>
      <c r="Q96" s="15">
        <f t="shared" si="47"/>
        <v>12905923.918528002</v>
      </c>
      <c r="R96" s="15">
        <f t="shared" si="47"/>
        <v>13293101.109456</v>
      </c>
      <c r="S96" s="15">
        <f t="shared" si="47"/>
        <v>13691892.260496002</v>
      </c>
      <c r="T96" s="15">
        <f t="shared" si="47"/>
        <v>14102649.73272</v>
      </c>
      <c r="U96" s="15">
        <f t="shared" si="47"/>
        <v>14525728.046832</v>
      </c>
      <c r="V96" s="15">
        <f t="shared" si="47"/>
        <v>14998995.806832</v>
      </c>
      <c r="W96" s="15">
        <f t="shared" si="47"/>
        <v>15603824.937127998</v>
      </c>
    </row>
    <row r="97" spans="1:23" ht="15">
      <c r="A97" s="13" t="s">
        <v>190</v>
      </c>
      <c r="B97" s="15"/>
      <c r="C97" s="15"/>
      <c r="D97" s="15"/>
      <c r="E97" s="15"/>
      <c r="F97" s="15"/>
      <c r="G97" s="15">
        <f aca="true" t="shared" si="48" ref="G97:W97">Sept_Volume*Sept_OM</f>
        <v>1001300</v>
      </c>
      <c r="H97" s="15">
        <f t="shared" si="48"/>
        <v>1001300</v>
      </c>
      <c r="I97" s="15">
        <f t="shared" si="48"/>
        <v>1001300</v>
      </c>
      <c r="J97" s="15">
        <f t="shared" si="48"/>
        <v>1001300</v>
      </c>
      <c r="K97" s="15">
        <f t="shared" si="48"/>
        <v>1001300</v>
      </c>
      <c r="L97" s="15">
        <f t="shared" si="48"/>
        <v>1001300</v>
      </c>
      <c r="M97" s="15">
        <f t="shared" si="48"/>
        <v>1001300</v>
      </c>
      <c r="N97" s="15">
        <f t="shared" si="48"/>
        <v>1001300</v>
      </c>
      <c r="O97" s="15">
        <f t="shared" si="48"/>
        <v>1001300</v>
      </c>
      <c r="P97" s="15">
        <f t="shared" si="48"/>
        <v>1001300</v>
      </c>
      <c r="Q97" s="15">
        <f t="shared" si="48"/>
        <v>1001300</v>
      </c>
      <c r="R97" s="15">
        <f t="shared" si="48"/>
        <v>1001300</v>
      </c>
      <c r="S97" s="15">
        <f t="shared" si="48"/>
        <v>1001300</v>
      </c>
      <c r="T97" s="15">
        <f t="shared" si="48"/>
        <v>1001300</v>
      </c>
      <c r="U97" s="15">
        <f t="shared" si="48"/>
        <v>1001300</v>
      </c>
      <c r="V97" s="15">
        <f t="shared" si="48"/>
        <v>1001300</v>
      </c>
      <c r="W97" s="15">
        <f t="shared" si="48"/>
        <v>1001300</v>
      </c>
    </row>
    <row r="98" spans="1:23" ht="15">
      <c r="A98" s="13" t="s">
        <v>192</v>
      </c>
      <c r="B98" s="15"/>
      <c r="C98" s="15"/>
      <c r="D98" s="15"/>
      <c r="E98" s="15"/>
      <c r="F98" s="15"/>
      <c r="G98" s="15">
        <f>G96+G97</f>
        <v>13035410.682710001</v>
      </c>
      <c r="H98" s="15">
        <f aca="true" t="shared" si="49" ref="H98:W98">H96+H97</f>
        <v>13396434.77786</v>
      </c>
      <c r="I98" s="15">
        <f t="shared" si="49"/>
        <v>13768288.337600002</v>
      </c>
      <c r="J98" s="15">
        <f t="shared" si="49"/>
        <v>14151297.34562</v>
      </c>
      <c r="K98" s="15">
        <f t="shared" si="49"/>
        <v>14545796.77775</v>
      </c>
      <c r="L98" s="15">
        <f t="shared" si="49"/>
        <v>12078265.695008002</v>
      </c>
      <c r="M98" s="15">
        <f t="shared" si="49"/>
        <v>12410572.699903999</v>
      </c>
      <c r="N98" s="15">
        <f t="shared" si="49"/>
        <v>12752848.928192</v>
      </c>
      <c r="O98" s="15">
        <f t="shared" si="49"/>
        <v>13105394.896928001</v>
      </c>
      <c r="P98" s="15">
        <f t="shared" si="49"/>
        <v>13468518.881024001</v>
      </c>
      <c r="Q98" s="15">
        <f t="shared" si="49"/>
        <v>13907223.918528002</v>
      </c>
      <c r="R98" s="15">
        <f t="shared" si="49"/>
        <v>14294401.109456</v>
      </c>
      <c r="S98" s="15">
        <f t="shared" si="49"/>
        <v>14693192.260496002</v>
      </c>
      <c r="T98" s="15">
        <f t="shared" si="49"/>
        <v>15103949.73272</v>
      </c>
      <c r="U98" s="15">
        <f t="shared" si="49"/>
        <v>15527028.046832</v>
      </c>
      <c r="V98" s="15">
        <f t="shared" si="49"/>
        <v>16000295.806832</v>
      </c>
      <c r="W98" s="15">
        <f t="shared" si="49"/>
        <v>16605124.937127998</v>
      </c>
    </row>
    <row r="99" spans="1:23" ht="15">
      <c r="A99" s="13"/>
      <c r="B99" s="15"/>
      <c r="C99" s="15"/>
      <c r="D99" s="15"/>
      <c r="E99" s="15"/>
      <c r="F99" s="15"/>
      <c r="G99" s="15"/>
      <c r="H99" s="15"/>
      <c r="I99" s="15"/>
      <c r="J99" s="15"/>
      <c r="K99" s="15"/>
      <c r="L99" s="15"/>
      <c r="M99" s="15"/>
      <c r="N99" s="15"/>
      <c r="O99" s="15"/>
      <c r="P99" s="15"/>
      <c r="Q99" s="15"/>
      <c r="R99" s="15"/>
      <c r="S99" s="15"/>
      <c r="T99" s="15"/>
      <c r="U99" s="15"/>
      <c r="V99" s="15"/>
      <c r="W99" s="15"/>
    </row>
    <row r="100" spans="1:23" ht="15">
      <c r="A100" s="18" t="s">
        <v>155</v>
      </c>
      <c r="B100" s="10"/>
      <c r="C100" s="11">
        <f aca="true" t="shared" si="50" ref="C100:W100">C94-C70</f>
        <v>0</v>
      </c>
      <c r="D100" s="11">
        <f t="shared" si="50"/>
        <v>0</v>
      </c>
      <c r="E100" s="11">
        <f t="shared" si="50"/>
        <v>0</v>
      </c>
      <c r="F100" s="11">
        <f t="shared" si="50"/>
        <v>0</v>
      </c>
      <c r="G100" s="11">
        <f t="shared" si="50"/>
        <v>12618795.230897278</v>
      </c>
      <c r="H100" s="11">
        <f t="shared" si="50"/>
        <v>19953911.961082518</v>
      </c>
      <c r="I100" s="11">
        <f t="shared" si="50"/>
        <v>27768163.79082225</v>
      </c>
      <c r="J100" s="11">
        <f t="shared" si="50"/>
        <v>36762479.17054661</v>
      </c>
      <c r="K100" s="11">
        <f t="shared" si="50"/>
        <v>48707292.83945328</v>
      </c>
      <c r="L100" s="11">
        <f t="shared" si="50"/>
        <v>61396387.31553069</v>
      </c>
      <c r="M100" s="11">
        <f t="shared" si="50"/>
        <v>62432211.5689335</v>
      </c>
      <c r="N100" s="11">
        <f t="shared" si="50"/>
        <v>62885874.55879977</v>
      </c>
      <c r="O100" s="11">
        <f t="shared" si="50"/>
        <v>62711979.016140684</v>
      </c>
      <c r="P100" s="11">
        <f t="shared" si="50"/>
        <v>62532864.705322504</v>
      </c>
      <c r="Q100" s="11">
        <f t="shared" si="50"/>
        <v>62348377.81034523</v>
      </c>
      <c r="R100" s="11">
        <f t="shared" si="50"/>
        <v>62158357.343640685</v>
      </c>
      <c r="S100" s="11">
        <f t="shared" si="50"/>
        <v>61962637.716527045</v>
      </c>
      <c r="T100" s="11">
        <f t="shared" si="50"/>
        <v>61761043.77823159</v>
      </c>
      <c r="U100" s="11">
        <f t="shared" si="50"/>
        <v>61553405.51889069</v>
      </c>
      <c r="V100" s="11">
        <f t="shared" si="50"/>
        <v>61339536.01504978</v>
      </c>
      <c r="W100" s="11">
        <f t="shared" si="50"/>
        <v>61046528.65227137</v>
      </c>
    </row>
    <row r="101" spans="1:23" ht="15">
      <c r="A101" s="2"/>
      <c r="B101" s="2"/>
      <c r="C101" s="2"/>
      <c r="D101" s="2"/>
      <c r="E101" s="2"/>
      <c r="F101" s="2"/>
      <c r="G101" s="2"/>
      <c r="H101" s="2"/>
      <c r="I101" s="2"/>
      <c r="J101" s="2"/>
      <c r="K101" s="2"/>
      <c r="L101" s="2"/>
      <c r="M101" s="2"/>
      <c r="N101" s="2"/>
      <c r="O101" s="2"/>
      <c r="P101" s="2"/>
      <c r="Q101" s="2"/>
      <c r="R101" s="2"/>
      <c r="S101" s="2"/>
      <c r="T101" s="2"/>
      <c r="U101" s="2"/>
      <c r="V101" s="2"/>
      <c r="W101" s="2"/>
    </row>
    <row r="102" spans="1:27" ht="15">
      <c r="A102" s="7" t="s">
        <v>156</v>
      </c>
      <c r="B102" s="6"/>
      <c r="C102" s="2"/>
      <c r="D102" s="2"/>
      <c r="E102" s="2"/>
      <c r="F102" s="2"/>
      <c r="G102" s="2"/>
      <c r="H102" s="2"/>
      <c r="I102" s="2"/>
      <c r="J102" s="2"/>
      <c r="K102" s="2"/>
      <c r="L102" s="2"/>
      <c r="M102" s="2"/>
      <c r="N102" s="2"/>
      <c r="O102" s="2"/>
      <c r="P102" s="2"/>
      <c r="Q102" s="2"/>
      <c r="R102" s="2"/>
      <c r="S102" s="2"/>
      <c r="T102" s="2"/>
      <c r="U102" s="2"/>
      <c r="V102" s="2"/>
      <c r="W102" s="2"/>
      <c r="AA102" s="1"/>
    </row>
    <row r="103" spans="1:27" ht="15">
      <c r="A103" s="7" t="s">
        <v>143</v>
      </c>
      <c r="B103" s="6"/>
      <c r="C103" s="2"/>
      <c r="D103" s="2"/>
      <c r="E103" s="2"/>
      <c r="F103" s="2"/>
      <c r="G103" s="2"/>
      <c r="H103" s="2"/>
      <c r="I103" s="2"/>
      <c r="J103" s="2"/>
      <c r="K103" s="2"/>
      <c r="L103" s="2"/>
      <c r="M103" s="2"/>
      <c r="N103" s="2"/>
      <c r="O103" s="2"/>
      <c r="P103" s="2"/>
      <c r="Q103" s="2"/>
      <c r="R103" s="2"/>
      <c r="S103" s="2"/>
      <c r="T103" s="2"/>
      <c r="U103" s="2"/>
      <c r="V103" s="2"/>
      <c r="W103" s="2"/>
      <c r="AA103" s="1"/>
    </row>
    <row r="104" spans="1:28" ht="15">
      <c r="A104" s="13" t="s">
        <v>185</v>
      </c>
      <c r="B104" s="13"/>
      <c r="C104" s="15">
        <v>0</v>
      </c>
      <c r="D104" s="15">
        <f>0.33*Sept_Invest</f>
        <v>9428571.428571431</v>
      </c>
      <c r="E104" s="15">
        <f>0.33*Sept_Invest</f>
        <v>9428571.428571431</v>
      </c>
      <c r="F104" s="15">
        <f>0.34*Sept_Invest</f>
        <v>9714285.714285716</v>
      </c>
      <c r="G104" s="13"/>
      <c r="H104" s="13"/>
      <c r="I104" s="13"/>
      <c r="J104" s="13"/>
      <c r="K104" s="15">
        <f>Data!B37</f>
        <v>235714285.71428573</v>
      </c>
      <c r="L104" s="13"/>
      <c r="M104" s="13"/>
      <c r="N104" s="15"/>
      <c r="O104" s="13"/>
      <c r="P104" s="13"/>
      <c r="Q104" s="13"/>
      <c r="R104" s="13"/>
      <c r="S104" s="13"/>
      <c r="T104" s="13"/>
      <c r="U104" s="13"/>
      <c r="V104" s="13"/>
      <c r="W104" s="13"/>
      <c r="AB104" s="1"/>
    </row>
    <row r="105" spans="1:28" ht="15">
      <c r="A105" s="13" t="s">
        <v>173</v>
      </c>
      <c r="B105" s="13"/>
      <c r="C105" s="15">
        <f>C104</f>
        <v>0</v>
      </c>
      <c r="D105" s="15">
        <f aca="true" t="shared" si="51" ref="D105:W105">D104</f>
        <v>9428571.428571431</v>
      </c>
      <c r="E105" s="15">
        <f t="shared" si="51"/>
        <v>9428571.428571431</v>
      </c>
      <c r="F105" s="15">
        <f t="shared" si="51"/>
        <v>9714285.714285716</v>
      </c>
      <c r="G105" s="15">
        <f t="shared" si="51"/>
        <v>0</v>
      </c>
      <c r="H105" s="15">
        <f t="shared" si="51"/>
        <v>0</v>
      </c>
      <c r="I105" s="15">
        <f t="shared" si="51"/>
        <v>0</v>
      </c>
      <c r="J105" s="15">
        <f t="shared" si="51"/>
        <v>0</v>
      </c>
      <c r="K105" s="15">
        <f t="shared" si="51"/>
        <v>235714285.71428573</v>
      </c>
      <c r="L105" s="15">
        <f t="shared" si="51"/>
        <v>0</v>
      </c>
      <c r="M105" s="15">
        <f t="shared" si="51"/>
        <v>0</v>
      </c>
      <c r="N105" s="15">
        <f t="shared" si="51"/>
        <v>0</v>
      </c>
      <c r="O105" s="15">
        <f t="shared" si="51"/>
        <v>0</v>
      </c>
      <c r="P105" s="15">
        <f t="shared" si="51"/>
        <v>0</v>
      </c>
      <c r="Q105" s="15">
        <f t="shared" si="51"/>
        <v>0</v>
      </c>
      <c r="R105" s="15">
        <f t="shared" si="51"/>
        <v>0</v>
      </c>
      <c r="S105" s="15">
        <f t="shared" si="51"/>
        <v>0</v>
      </c>
      <c r="T105" s="15">
        <f t="shared" si="51"/>
        <v>0</v>
      </c>
      <c r="U105" s="15">
        <f t="shared" si="51"/>
        <v>0</v>
      </c>
      <c r="V105" s="15">
        <f t="shared" si="51"/>
        <v>0</v>
      </c>
      <c r="W105" s="15">
        <f t="shared" si="51"/>
        <v>0</v>
      </c>
      <c r="AB105" s="1"/>
    </row>
    <row r="106" spans="1:28" ht="15">
      <c r="A106" s="27" t="s">
        <v>147</v>
      </c>
      <c r="B106" s="13"/>
      <c r="C106" s="15"/>
      <c r="D106" s="15"/>
      <c r="E106" s="15"/>
      <c r="F106" s="15"/>
      <c r="G106" s="13"/>
      <c r="H106" s="13"/>
      <c r="I106" s="13"/>
      <c r="J106" s="13"/>
      <c r="K106" s="13"/>
      <c r="L106" s="13"/>
      <c r="M106" s="13"/>
      <c r="N106" s="15"/>
      <c r="O106" s="13"/>
      <c r="P106" s="13"/>
      <c r="Q106" s="13"/>
      <c r="R106" s="13"/>
      <c r="S106" s="13"/>
      <c r="T106" s="13"/>
      <c r="U106" s="13"/>
      <c r="V106" s="13"/>
      <c r="W106" s="13"/>
      <c r="AB106" s="1"/>
    </row>
    <row r="107" spans="1:28" ht="15">
      <c r="A107" s="13" t="s">
        <v>171</v>
      </c>
      <c r="B107" s="13"/>
      <c r="C107" s="15"/>
      <c r="D107" s="15"/>
      <c r="E107" s="15">
        <v>0</v>
      </c>
      <c r="F107" s="15">
        <v>0</v>
      </c>
      <c r="G107" s="15">
        <f>G98-G72</f>
        <v>2972697.63903</v>
      </c>
      <c r="H107" s="15">
        <f aca="true" t="shared" si="52" ref="H107:W107">H98-H72</f>
        <v>3124913.9474600013</v>
      </c>
      <c r="I107" s="15">
        <f t="shared" si="52"/>
        <v>3281700.1164800003</v>
      </c>
      <c r="J107" s="15">
        <f t="shared" si="52"/>
        <v>3443185.155339999</v>
      </c>
      <c r="K107" s="15">
        <f t="shared" si="52"/>
        <v>3609514.923149999</v>
      </c>
      <c r="L107" s="15">
        <f t="shared" si="52"/>
        <v>906972.3036480024</v>
      </c>
      <c r="M107" s="15">
        <f t="shared" si="52"/>
        <v>997215.3352239989</v>
      </c>
      <c r="N107" s="15">
        <f t="shared" si="52"/>
        <v>1090168.916952001</v>
      </c>
      <c r="O107" s="15">
        <f t="shared" si="52"/>
        <v>1185909.1463680007</v>
      </c>
      <c r="P107" s="15">
        <f t="shared" si="52"/>
        <v>1284520.4103040006</v>
      </c>
      <c r="Q107" s="15">
        <f t="shared" si="52"/>
        <v>1450778.594168</v>
      </c>
      <c r="R107" s="15">
        <f t="shared" si="52"/>
        <v>1557337.0544959996</v>
      </c>
      <c r="S107" s="15">
        <f t="shared" si="52"/>
        <v>1667093.059655998</v>
      </c>
      <c r="T107" s="15">
        <f t="shared" si="52"/>
        <v>1780140.311279999</v>
      </c>
      <c r="U107" s="15">
        <f t="shared" si="52"/>
        <v>1896582.2626319993</v>
      </c>
      <c r="V107" s="15">
        <f t="shared" si="52"/>
        <v>2054011.472591998</v>
      </c>
      <c r="W107" s="15">
        <f t="shared" si="52"/>
        <v>2226132.7181780003</v>
      </c>
      <c r="Z107" s="17"/>
      <c r="AA107" s="1"/>
      <c r="AB107" s="1"/>
    </row>
    <row r="108" spans="1:28" ht="15">
      <c r="A108" s="13" t="s">
        <v>193</v>
      </c>
      <c r="B108" s="13"/>
      <c r="C108" s="28"/>
      <c r="D108" s="28"/>
      <c r="E108" s="29"/>
      <c r="F108" s="29"/>
      <c r="G108" s="29">
        <f>Sludge_removal</f>
        <v>7857142.857142857</v>
      </c>
      <c r="H108" s="29">
        <f>Sludge_removal</f>
        <v>7857142.857142857</v>
      </c>
      <c r="I108" s="29">
        <f>Sludge_removal</f>
        <v>7857142.857142857</v>
      </c>
      <c r="J108" s="29">
        <f>Sludge_removal</f>
        <v>7857142.857142857</v>
      </c>
      <c r="K108" s="29">
        <f>Sludge_removal</f>
        <v>7857142.857142857</v>
      </c>
      <c r="L108" s="29">
        <f aca="true" t="shared" si="53" ref="L108:W108">Sludge_removal</f>
        <v>7857142.857142857</v>
      </c>
      <c r="M108" s="29">
        <f t="shared" si="53"/>
        <v>7857142.857142857</v>
      </c>
      <c r="N108" s="29">
        <f t="shared" si="53"/>
        <v>7857142.857142857</v>
      </c>
      <c r="O108" s="29">
        <f t="shared" si="53"/>
        <v>7857142.857142857</v>
      </c>
      <c r="P108" s="29">
        <f t="shared" si="53"/>
        <v>7857142.857142857</v>
      </c>
      <c r="Q108" s="29">
        <f t="shared" si="53"/>
        <v>7857142.857142857</v>
      </c>
      <c r="R108" s="29">
        <f t="shared" si="53"/>
        <v>7857142.857142857</v>
      </c>
      <c r="S108" s="29">
        <f t="shared" si="53"/>
        <v>7857142.857142857</v>
      </c>
      <c r="T108" s="29">
        <f t="shared" si="53"/>
        <v>7857142.857142857</v>
      </c>
      <c r="U108" s="29">
        <f t="shared" si="53"/>
        <v>7857142.857142857</v>
      </c>
      <c r="V108" s="29">
        <f t="shared" si="53"/>
        <v>7857142.857142857</v>
      </c>
      <c r="W108" s="29">
        <f t="shared" si="53"/>
        <v>7857142.857142857</v>
      </c>
      <c r="Z108" s="17"/>
      <c r="AA108" s="1"/>
      <c r="AB108" s="1"/>
    </row>
    <row r="109" spans="1:28" ht="15">
      <c r="A109" s="13" t="s">
        <v>170</v>
      </c>
      <c r="B109" s="13"/>
      <c r="C109" s="1">
        <f>C107+C108</f>
        <v>0</v>
      </c>
      <c r="D109" s="1">
        <f aca="true" t="shared" si="54" ref="D109:W109">D107+D108</f>
        <v>0</v>
      </c>
      <c r="E109" s="1">
        <f t="shared" si="54"/>
        <v>0</v>
      </c>
      <c r="F109" s="1">
        <f t="shared" si="54"/>
        <v>0</v>
      </c>
      <c r="G109" s="1">
        <f t="shared" si="54"/>
        <v>10829840.496172857</v>
      </c>
      <c r="H109" s="1">
        <f t="shared" si="54"/>
        <v>10982056.804602858</v>
      </c>
      <c r="I109" s="1">
        <f t="shared" si="54"/>
        <v>11138842.973622859</v>
      </c>
      <c r="J109" s="1">
        <f t="shared" si="54"/>
        <v>11300328.012482855</v>
      </c>
      <c r="K109" s="1">
        <f t="shared" si="54"/>
        <v>11466657.780292857</v>
      </c>
      <c r="L109" s="1">
        <f t="shared" si="54"/>
        <v>8764115.16079086</v>
      </c>
      <c r="M109" s="1">
        <f t="shared" si="54"/>
        <v>8854358.192366857</v>
      </c>
      <c r="N109" s="1">
        <f t="shared" si="54"/>
        <v>8947311.774094857</v>
      </c>
      <c r="O109" s="1">
        <f t="shared" si="54"/>
        <v>9043052.003510859</v>
      </c>
      <c r="P109" s="1">
        <f t="shared" si="54"/>
        <v>9141663.267446857</v>
      </c>
      <c r="Q109" s="1">
        <f t="shared" si="54"/>
        <v>9307921.451310858</v>
      </c>
      <c r="R109" s="1">
        <f t="shared" si="54"/>
        <v>9414479.911638856</v>
      </c>
      <c r="S109" s="1">
        <f t="shared" si="54"/>
        <v>9524235.916798856</v>
      </c>
      <c r="T109" s="1">
        <f t="shared" si="54"/>
        <v>9637283.168422855</v>
      </c>
      <c r="U109" s="1">
        <f t="shared" si="54"/>
        <v>9753725.119774856</v>
      </c>
      <c r="V109" s="1">
        <f t="shared" si="54"/>
        <v>9911154.329734854</v>
      </c>
      <c r="W109" s="1">
        <f t="shared" si="54"/>
        <v>10083275.575320859</v>
      </c>
      <c r="Z109" s="17"/>
      <c r="AA109" s="1"/>
      <c r="AB109" s="1"/>
    </row>
    <row r="110" spans="1:23" ht="15">
      <c r="A110" s="18" t="s">
        <v>158</v>
      </c>
      <c r="B110" s="10"/>
      <c r="C110" s="11">
        <f>C105+C109</f>
        <v>0</v>
      </c>
      <c r="D110" s="11">
        <f aca="true" t="shared" si="55" ref="D110:W110">D105+D109</f>
        <v>9428571.428571431</v>
      </c>
      <c r="E110" s="11">
        <f t="shared" si="55"/>
        <v>9428571.428571431</v>
      </c>
      <c r="F110" s="11">
        <f t="shared" si="55"/>
        <v>9714285.714285716</v>
      </c>
      <c r="G110" s="11">
        <f t="shared" si="55"/>
        <v>10829840.496172857</v>
      </c>
      <c r="H110" s="11">
        <f t="shared" si="55"/>
        <v>10982056.804602858</v>
      </c>
      <c r="I110" s="11">
        <f t="shared" si="55"/>
        <v>11138842.973622859</v>
      </c>
      <c r="J110" s="11">
        <f t="shared" si="55"/>
        <v>11300328.012482855</v>
      </c>
      <c r="K110" s="11">
        <f t="shared" si="55"/>
        <v>247180943.4945786</v>
      </c>
      <c r="L110" s="11">
        <f t="shared" si="55"/>
        <v>8764115.16079086</v>
      </c>
      <c r="M110" s="11">
        <f t="shared" si="55"/>
        <v>8854358.192366857</v>
      </c>
      <c r="N110" s="11">
        <f t="shared" si="55"/>
        <v>8947311.774094857</v>
      </c>
      <c r="O110" s="11">
        <f t="shared" si="55"/>
        <v>9043052.003510859</v>
      </c>
      <c r="P110" s="11">
        <f t="shared" si="55"/>
        <v>9141663.267446857</v>
      </c>
      <c r="Q110" s="11">
        <f t="shared" si="55"/>
        <v>9307921.451310858</v>
      </c>
      <c r="R110" s="11">
        <f t="shared" si="55"/>
        <v>9414479.911638856</v>
      </c>
      <c r="S110" s="11">
        <f t="shared" si="55"/>
        <v>9524235.916798856</v>
      </c>
      <c r="T110" s="11">
        <f t="shared" si="55"/>
        <v>9637283.168422855</v>
      </c>
      <c r="U110" s="11">
        <f t="shared" si="55"/>
        <v>9753725.119774856</v>
      </c>
      <c r="V110" s="11">
        <f t="shared" si="55"/>
        <v>9911154.329734854</v>
      </c>
      <c r="W110" s="11">
        <f t="shared" si="55"/>
        <v>10083275.575320859</v>
      </c>
    </row>
    <row r="112" spans="1:23" ht="15">
      <c r="A112" s="18" t="s">
        <v>159</v>
      </c>
      <c r="B112" s="10"/>
      <c r="C112" s="10"/>
      <c r="D112" s="11">
        <f aca="true" t="shared" si="56" ref="D112:W112">D100-D110</f>
        <v>-9428571.428571431</v>
      </c>
      <c r="E112" s="11">
        <f t="shared" si="56"/>
        <v>-9428571.428571431</v>
      </c>
      <c r="F112" s="11">
        <f t="shared" si="56"/>
        <v>-9714285.714285716</v>
      </c>
      <c r="G112" s="11">
        <f t="shared" si="56"/>
        <v>1788954.734724421</v>
      </c>
      <c r="H112" s="11">
        <f t="shared" si="56"/>
        <v>8971855.15647966</v>
      </c>
      <c r="I112" s="11">
        <f t="shared" si="56"/>
        <v>16629320.81719939</v>
      </c>
      <c r="J112" s="11">
        <f t="shared" si="56"/>
        <v>25462151.15806376</v>
      </c>
      <c r="K112" s="11">
        <f t="shared" si="56"/>
        <v>-198473650.65512532</v>
      </c>
      <c r="L112" s="11">
        <f t="shared" si="56"/>
        <v>52632272.15473983</v>
      </c>
      <c r="M112" s="11">
        <f t="shared" si="56"/>
        <v>53577853.37656665</v>
      </c>
      <c r="N112" s="11">
        <f t="shared" si="56"/>
        <v>53938562.784704916</v>
      </c>
      <c r="O112" s="11">
        <f t="shared" si="56"/>
        <v>53668927.01262982</v>
      </c>
      <c r="P112" s="11">
        <f t="shared" si="56"/>
        <v>53391201.43787564</v>
      </c>
      <c r="Q112" s="11">
        <f t="shared" si="56"/>
        <v>53040456.359034374</v>
      </c>
      <c r="R112" s="11">
        <f t="shared" si="56"/>
        <v>52743877.43200183</v>
      </c>
      <c r="S112" s="11">
        <f t="shared" si="56"/>
        <v>52438401.799728185</v>
      </c>
      <c r="T112" s="11">
        <f t="shared" si="56"/>
        <v>52123760.609808736</v>
      </c>
      <c r="U112" s="11">
        <f t="shared" si="56"/>
        <v>51799680.39911583</v>
      </c>
      <c r="V112" s="11">
        <f t="shared" si="56"/>
        <v>51428381.68531492</v>
      </c>
      <c r="W112" s="11">
        <f t="shared" si="56"/>
        <v>50963253.076950505</v>
      </c>
    </row>
    <row r="113" spans="1:3" ht="15">
      <c r="A113" t="s">
        <v>89</v>
      </c>
      <c r="C113" s="8">
        <f>IRR(D112:W112,0.1)</f>
        <v>0.22113682766360787</v>
      </c>
    </row>
    <row r="114" spans="3:5" ht="15">
      <c r="C114" s="8"/>
      <c r="E114" s="1"/>
    </row>
    <row r="115" spans="2:23" ht="15">
      <c r="B115" s="20" t="s">
        <v>30</v>
      </c>
      <c r="C115" s="5">
        <v>0</v>
      </c>
      <c r="D115" s="5">
        <v>1</v>
      </c>
      <c r="E115" s="5">
        <v>2</v>
      </c>
      <c r="F115" s="5">
        <v>3</v>
      </c>
      <c r="G115" s="5">
        <v>4</v>
      </c>
      <c r="H115" s="5">
        <v>5</v>
      </c>
      <c r="I115" s="5">
        <v>6</v>
      </c>
      <c r="J115" s="5">
        <v>7</v>
      </c>
      <c r="K115" s="5">
        <v>8</v>
      </c>
      <c r="L115" s="5">
        <v>9</v>
      </c>
      <c r="M115" s="5">
        <v>10</v>
      </c>
      <c r="N115" s="5">
        <v>11</v>
      </c>
      <c r="O115" s="5">
        <v>12</v>
      </c>
      <c r="P115" s="5">
        <v>13</v>
      </c>
      <c r="Q115" s="5">
        <v>14</v>
      </c>
      <c r="R115" s="5">
        <v>15</v>
      </c>
      <c r="S115" s="5">
        <v>16</v>
      </c>
      <c r="T115" s="5">
        <v>17</v>
      </c>
      <c r="U115" s="5">
        <v>18</v>
      </c>
      <c r="V115" s="5">
        <v>19</v>
      </c>
      <c r="W115" s="5">
        <v>20</v>
      </c>
    </row>
    <row r="116" spans="1:23" ht="15">
      <c r="A116" s="7" t="s">
        <v>175</v>
      </c>
      <c r="B116" s="20" t="s">
        <v>8</v>
      </c>
      <c r="C116" s="5">
        <v>2010</v>
      </c>
      <c r="D116" s="24">
        <v>2011</v>
      </c>
      <c r="E116" s="24">
        <v>2012</v>
      </c>
      <c r="F116" s="24">
        <v>2013</v>
      </c>
      <c r="G116" s="24">
        <v>2014</v>
      </c>
      <c r="H116" s="24">
        <v>2015</v>
      </c>
      <c r="I116" s="5">
        <v>2016</v>
      </c>
      <c r="J116" s="5">
        <v>2017</v>
      </c>
      <c r="K116" s="5">
        <v>2018</v>
      </c>
      <c r="L116" s="5">
        <v>2019</v>
      </c>
      <c r="M116" s="5">
        <v>2020</v>
      </c>
      <c r="N116" s="5">
        <v>2021</v>
      </c>
      <c r="O116" s="5">
        <v>2022</v>
      </c>
      <c r="P116" s="5">
        <v>2023</v>
      </c>
      <c r="Q116" s="5">
        <v>2024</v>
      </c>
      <c r="R116" s="5">
        <v>2025</v>
      </c>
      <c r="S116" s="5">
        <v>2026</v>
      </c>
      <c r="T116" s="5">
        <v>2027</v>
      </c>
      <c r="U116" s="5">
        <v>2028</v>
      </c>
      <c r="V116" s="5">
        <v>2029</v>
      </c>
      <c r="W116" s="5">
        <v>2030</v>
      </c>
    </row>
    <row r="117" spans="1:23" ht="15">
      <c r="A117" t="s">
        <v>160</v>
      </c>
      <c r="C117" s="8"/>
      <c r="D117" s="1">
        <f>'P2_Streams'!D28</f>
        <v>6380744.255744257</v>
      </c>
      <c r="E117" s="1">
        <f>'P2_Streams'!E28</f>
        <v>12761488.511488514</v>
      </c>
      <c r="F117" s="1">
        <f>'P2_Streams'!F28</f>
        <v>15496093.192521768</v>
      </c>
      <c r="G117" s="1">
        <f>'P2_Streams'!G28</f>
        <v>8659581.489938635</v>
      </c>
      <c r="H117" s="1">
        <f>'P2_Streams'!H28</f>
        <v>2278837.2341943774</v>
      </c>
      <c r="I117" s="1">
        <f>'P2_Streams'!I28</f>
        <v>0</v>
      </c>
      <c r="J117" s="1">
        <f>'P2_Streams'!J28</f>
        <v>0</v>
      </c>
      <c r="K117" s="1">
        <f>'P2_Streams'!K28</f>
        <v>0</v>
      </c>
      <c r="L117" s="1">
        <f>'P2_Streams'!L28</f>
        <v>0</v>
      </c>
      <c r="M117" s="1">
        <f>'P2_Streams'!M28</f>
        <v>0</v>
      </c>
      <c r="N117" s="1">
        <f>'P2_Streams'!N28</f>
        <v>0</v>
      </c>
      <c r="O117" s="1">
        <f>'P2_Streams'!O28</f>
        <v>0</v>
      </c>
      <c r="P117" s="1">
        <f>'P2_Streams'!P28</f>
        <v>0</v>
      </c>
      <c r="Q117" s="1">
        <f>'P2_Streams'!Q28</f>
        <v>0</v>
      </c>
      <c r="R117" s="1">
        <f>'P2_Streams'!R28</f>
        <v>0</v>
      </c>
      <c r="S117" s="1">
        <f>'P2_Streams'!S28</f>
        <v>0</v>
      </c>
      <c r="T117" s="1">
        <f>'P2_Streams'!T28</f>
        <v>0</v>
      </c>
      <c r="U117" s="1">
        <f>'P2_Streams'!U28</f>
        <v>0</v>
      </c>
      <c r="V117" s="1">
        <f>'P2_Streams'!V28</f>
        <v>0</v>
      </c>
      <c r="W117" s="1">
        <f>'P2_Streams'!W28</f>
        <v>0</v>
      </c>
    </row>
    <row r="118" spans="1:23" ht="15">
      <c r="A118" t="s">
        <v>161</v>
      </c>
      <c r="B118" s="5"/>
      <c r="C118" s="26"/>
      <c r="D118" s="25">
        <f>'P2_Streams'!D32</f>
        <v>0</v>
      </c>
      <c r="E118" s="25">
        <f>'P2_Streams'!E32</f>
        <v>0</v>
      </c>
      <c r="F118" s="25">
        <f>'P2_Streams'!F32</f>
        <v>0</v>
      </c>
      <c r="G118" s="25">
        <f>'P2_Streams'!G32</f>
        <v>-824602.335126</v>
      </c>
      <c r="H118" s="25">
        <f>'P2_Streams'!H32</f>
        <v>-779690.2735295</v>
      </c>
      <c r="I118" s="25">
        <f>'P2_Streams'!I32</f>
        <v>-732799.9286499999</v>
      </c>
      <c r="J118" s="25">
        <f>'P2_Streams'!J32</f>
        <v>-706168.5562900001</v>
      </c>
      <c r="K118" s="25">
        <f>'P2_Streams'!K32</f>
        <v>-678738.627805</v>
      </c>
      <c r="L118" s="25">
        <f>'P2_Streams'!L32+(0-'P2_Streams'!L10)</f>
        <v>-1262867.3147599997</v>
      </c>
      <c r="M118" s="25">
        <f>'P2_Streams'!M32+(0-'P2_Streams'!M10)</f>
        <v>-1233522.94047</v>
      </c>
      <c r="N118" s="25">
        <f>'P2_Streams'!N32+(0-'P2_Streams'!N10)</f>
        <v>-1203298.36576</v>
      </c>
      <c r="O118" s="25">
        <f>'P2_Streams'!O32+(0-'P2_Streams'!O10)</f>
        <v>-1172167.0887100003</v>
      </c>
      <c r="P118" s="25">
        <f>'P2_Streams'!P32+(0-'P2_Streams'!P10)</f>
        <v>-1140102.2321799998</v>
      </c>
      <c r="Q118" s="25">
        <f>'P2_Streams'!Q32+(0-'P2_Streams'!Q10)</f>
        <v>-1088252.442245</v>
      </c>
      <c r="R118" s="25">
        <f>'P2_Streams'!R32+(0-'P2_Streams'!R10)</f>
        <v>-1053670.18035</v>
      </c>
      <c r="S118" s="25">
        <f>'P2_Streams'!S32+(0-'P2_Streams'!S10)</f>
        <v>-1018050.1267299999</v>
      </c>
      <c r="T118" s="25">
        <f>'P2_Streams'!T32+(0-'P2_Streams'!T10)</f>
        <v>-981361.68453</v>
      </c>
      <c r="U118" s="25">
        <f>'P2_Streams'!U32+(0-'P2_Streams'!U10)</f>
        <v>-943572.336265</v>
      </c>
      <c r="V118" s="25">
        <f>'P2_Streams'!V32+(0-'P2_Streams'!V10)</f>
        <v>-893739.0775249999</v>
      </c>
      <c r="W118" s="25">
        <f>'P2_Streams'!W32+(0-'P2_Streams'!W10)</f>
        <v>-838141.2960399999</v>
      </c>
    </row>
    <row r="119" spans="1:23" ht="15">
      <c r="A119" s="18" t="s">
        <v>164</v>
      </c>
      <c r="B119" s="10"/>
      <c r="C119" s="11"/>
      <c r="D119" s="11">
        <f>D117+D118</f>
        <v>6380744.255744257</v>
      </c>
      <c r="E119" s="11">
        <f aca="true" t="shared" si="57" ref="E119:W119">E117+E118</f>
        <v>12761488.511488514</v>
      </c>
      <c r="F119" s="11">
        <f t="shared" si="57"/>
        <v>15496093.192521768</v>
      </c>
      <c r="G119" s="11">
        <f t="shared" si="57"/>
        <v>7834979.154812636</v>
      </c>
      <c r="H119" s="11">
        <f t="shared" si="57"/>
        <v>1499146.9606648774</v>
      </c>
      <c r="I119" s="11">
        <f t="shared" si="57"/>
        <v>-732799.9286499999</v>
      </c>
      <c r="J119" s="11">
        <f t="shared" si="57"/>
        <v>-706168.5562900001</v>
      </c>
      <c r="K119" s="11">
        <f t="shared" si="57"/>
        <v>-678738.627805</v>
      </c>
      <c r="L119" s="11">
        <f t="shared" si="57"/>
        <v>-1262867.3147599997</v>
      </c>
      <c r="M119" s="11">
        <f t="shared" si="57"/>
        <v>-1233522.94047</v>
      </c>
      <c r="N119" s="11">
        <f t="shared" si="57"/>
        <v>-1203298.36576</v>
      </c>
      <c r="O119" s="11">
        <f t="shared" si="57"/>
        <v>-1172167.0887100003</v>
      </c>
      <c r="P119" s="11">
        <f t="shared" si="57"/>
        <v>-1140102.2321799998</v>
      </c>
      <c r="Q119" s="11">
        <f t="shared" si="57"/>
        <v>-1088252.442245</v>
      </c>
      <c r="R119" s="11">
        <f t="shared" si="57"/>
        <v>-1053670.18035</v>
      </c>
      <c r="S119" s="11">
        <f t="shared" si="57"/>
        <v>-1018050.1267299999</v>
      </c>
      <c r="T119" s="11">
        <f t="shared" si="57"/>
        <v>-981361.68453</v>
      </c>
      <c r="U119" s="11">
        <f t="shared" si="57"/>
        <v>-943572.336265</v>
      </c>
      <c r="V119" s="11">
        <f t="shared" si="57"/>
        <v>-893739.0775249999</v>
      </c>
      <c r="W119" s="11">
        <f t="shared" si="57"/>
        <v>-838141.2960399999</v>
      </c>
    </row>
    <row r="120" spans="1:23" ht="15.75" thickBot="1">
      <c r="A120" t="s">
        <v>162</v>
      </c>
      <c r="C120" s="8"/>
      <c r="D120" s="23">
        <f>'P2_Streams'!D38</f>
        <v>0</v>
      </c>
      <c r="E120" s="23">
        <f>'P2_Streams'!E38</f>
        <v>0</v>
      </c>
      <c r="F120" s="23">
        <f>'P2_Streams'!F38</f>
        <v>0</v>
      </c>
      <c r="G120" s="23">
        <f>'P2_Streams'!G38</f>
        <v>1403181.3189919996</v>
      </c>
      <c r="H120" s="23">
        <f>'P2_Streams'!H38</f>
        <v>1762477.8117639995</v>
      </c>
      <c r="I120" s="23">
        <f>'P2_Streams'!I38</f>
        <v>2137600.5708000003</v>
      </c>
      <c r="J120" s="23">
        <f>'P2_Streams'!J38</f>
        <v>2350651.5496799992</v>
      </c>
      <c r="K120" s="23">
        <f>'P2_Streams'!K38</f>
        <v>2570090.977559999</v>
      </c>
      <c r="L120" s="23">
        <f>'P2_Streams'!L38</f>
        <v>2861061.4819200016</v>
      </c>
      <c r="M120" s="23">
        <f>'P2_Streams'!M38</f>
        <v>3095816.4762399998</v>
      </c>
      <c r="N120" s="23">
        <f>'P2_Streams'!N38</f>
        <v>3337613.07392</v>
      </c>
      <c r="O120" s="23">
        <f>'P2_Streams'!O38</f>
        <v>3586663.2903199983</v>
      </c>
      <c r="P120" s="23">
        <f>'P2_Streams'!P38</f>
        <v>3843182.1425600005</v>
      </c>
      <c r="Q120" s="23">
        <f>'P2_Streams'!Q38</f>
        <v>4257980.46204</v>
      </c>
      <c r="R120" s="23">
        <f>'P2_Streams'!R38</f>
        <v>4534638.557200001</v>
      </c>
      <c r="S120" s="23">
        <f>'P2_Streams'!S38</f>
        <v>4819598.986160001</v>
      </c>
      <c r="T120" s="23">
        <f>'P2_Streams'!T38</f>
        <v>5113106.523759999</v>
      </c>
      <c r="U120" s="23">
        <f>'P2_Streams'!U38</f>
        <v>5415421.30988</v>
      </c>
      <c r="V120" s="23">
        <f>'P2_Streams'!V38</f>
        <v>5814087.3798</v>
      </c>
      <c r="W120" s="23">
        <f>'P2_Streams'!W38</f>
        <v>6258869.63168</v>
      </c>
    </row>
    <row r="121" spans="1:23" ht="15.75" thickTop="1">
      <c r="A121" s="18" t="s">
        <v>163</v>
      </c>
      <c r="B121" s="10"/>
      <c r="C121" s="11"/>
      <c r="D121" s="11">
        <f aca="true" t="shared" si="58" ref="D121:W121">D120-D119</f>
        <v>-6380744.255744257</v>
      </c>
      <c r="E121" s="11">
        <f t="shared" si="58"/>
        <v>-12761488.511488514</v>
      </c>
      <c r="F121" s="11">
        <f t="shared" si="58"/>
        <v>-15496093.192521768</v>
      </c>
      <c r="G121" s="11">
        <f t="shared" si="58"/>
        <v>-6431797.835820636</v>
      </c>
      <c r="H121" s="11">
        <f t="shared" si="58"/>
        <v>263330.8510991221</v>
      </c>
      <c r="I121" s="11">
        <f t="shared" si="58"/>
        <v>2870400.49945</v>
      </c>
      <c r="J121" s="11">
        <f t="shared" si="58"/>
        <v>3056820.1059699995</v>
      </c>
      <c r="K121" s="11">
        <f t="shared" si="58"/>
        <v>3248829.6053649993</v>
      </c>
      <c r="L121" s="11">
        <f t="shared" si="58"/>
        <v>4123928.7966800015</v>
      </c>
      <c r="M121" s="11">
        <f t="shared" si="58"/>
        <v>4329339.41671</v>
      </c>
      <c r="N121" s="11">
        <f t="shared" si="58"/>
        <v>4540911.43968</v>
      </c>
      <c r="O121" s="11">
        <f t="shared" si="58"/>
        <v>4758830.379029999</v>
      </c>
      <c r="P121" s="11">
        <f t="shared" si="58"/>
        <v>4983284.374740001</v>
      </c>
      <c r="Q121" s="11">
        <f t="shared" si="58"/>
        <v>5346232.904285</v>
      </c>
      <c r="R121" s="11">
        <f t="shared" si="58"/>
        <v>5588308.737550001</v>
      </c>
      <c r="S121" s="11">
        <f t="shared" si="58"/>
        <v>5837649.11289</v>
      </c>
      <c r="T121" s="11">
        <f t="shared" si="58"/>
        <v>6094468.2082899995</v>
      </c>
      <c r="U121" s="11">
        <f t="shared" si="58"/>
        <v>6358993.646144999</v>
      </c>
      <c r="V121" s="11">
        <f t="shared" si="58"/>
        <v>6707826.457325</v>
      </c>
      <c r="W121" s="11">
        <f t="shared" si="58"/>
        <v>7097010.927719999</v>
      </c>
    </row>
    <row r="122" spans="3:5" ht="15">
      <c r="C122" s="8"/>
      <c r="E122" s="1"/>
    </row>
    <row r="123" spans="2:23" ht="15">
      <c r="B123" s="20" t="s">
        <v>30</v>
      </c>
      <c r="C123" s="5">
        <v>0</v>
      </c>
      <c r="D123" s="5">
        <v>1</v>
      </c>
      <c r="E123" s="5">
        <v>2</v>
      </c>
      <c r="F123" s="5">
        <v>3</v>
      </c>
      <c r="G123" s="5">
        <v>4</v>
      </c>
      <c r="H123" s="5">
        <v>5</v>
      </c>
      <c r="I123" s="5">
        <v>6</v>
      </c>
      <c r="J123" s="5">
        <v>7</v>
      </c>
      <c r="K123" s="5">
        <v>8</v>
      </c>
      <c r="L123" s="5">
        <v>9</v>
      </c>
      <c r="M123" s="5">
        <v>10</v>
      </c>
      <c r="N123" s="5">
        <v>11</v>
      </c>
      <c r="O123" s="5">
        <v>12</v>
      </c>
      <c r="P123" s="5">
        <v>13</v>
      </c>
      <c r="Q123" s="5">
        <v>14</v>
      </c>
      <c r="R123" s="5">
        <v>15</v>
      </c>
      <c r="S123" s="5">
        <v>16</v>
      </c>
      <c r="T123" s="5">
        <v>17</v>
      </c>
      <c r="U123" s="5">
        <v>18</v>
      </c>
      <c r="V123" s="5">
        <v>19</v>
      </c>
      <c r="W123" s="5">
        <v>20</v>
      </c>
    </row>
    <row r="124" spans="1:23" ht="15">
      <c r="A124" s="7" t="s">
        <v>165</v>
      </c>
      <c r="B124" s="20" t="s">
        <v>8</v>
      </c>
      <c r="C124" s="5">
        <v>2010</v>
      </c>
      <c r="D124" s="24">
        <v>2011</v>
      </c>
      <c r="E124" s="24">
        <v>2012</v>
      </c>
      <c r="F124" s="24">
        <v>2013</v>
      </c>
      <c r="G124" s="24">
        <v>2014</v>
      </c>
      <c r="H124" s="24">
        <v>2015</v>
      </c>
      <c r="I124" s="5">
        <v>2016</v>
      </c>
      <c r="J124" s="5">
        <v>2017</v>
      </c>
      <c r="K124" s="5">
        <v>2018</v>
      </c>
      <c r="L124" s="5">
        <v>2019</v>
      </c>
      <c r="M124" s="5">
        <v>2020</v>
      </c>
      <c r="N124" s="5">
        <v>2021</v>
      </c>
      <c r="O124" s="5">
        <v>2022</v>
      </c>
      <c r="P124" s="5">
        <v>2023</v>
      </c>
      <c r="Q124" s="5">
        <v>2024</v>
      </c>
      <c r="R124" s="5">
        <v>2025</v>
      </c>
      <c r="S124" s="5">
        <v>2026</v>
      </c>
      <c r="T124" s="5">
        <v>2027</v>
      </c>
      <c r="U124" s="5">
        <v>2028</v>
      </c>
      <c r="V124" s="5">
        <v>2029</v>
      </c>
      <c r="W124" s="5">
        <v>2030</v>
      </c>
    </row>
    <row r="125" spans="1:23" ht="15">
      <c r="A125" t="s">
        <v>166</v>
      </c>
      <c r="D125" s="1">
        <f aca="true" t="shared" si="59" ref="D125:W125">D104+D117</f>
        <v>15809315.684315689</v>
      </c>
      <c r="E125" s="1">
        <f t="shared" si="59"/>
        <v>22190059.940059945</v>
      </c>
      <c r="F125" s="1">
        <f t="shared" si="59"/>
        <v>25210378.906807482</v>
      </c>
      <c r="G125" s="1">
        <f t="shared" si="59"/>
        <v>8659581.489938635</v>
      </c>
      <c r="H125" s="1">
        <f t="shared" si="59"/>
        <v>2278837.2341943774</v>
      </c>
      <c r="I125" s="1">
        <f t="shared" si="59"/>
        <v>0</v>
      </c>
      <c r="J125" s="1">
        <f t="shared" si="59"/>
        <v>0</v>
      </c>
      <c r="K125" s="1">
        <f t="shared" si="59"/>
        <v>235714285.71428573</v>
      </c>
      <c r="L125" s="1">
        <f t="shared" si="59"/>
        <v>0</v>
      </c>
      <c r="M125" s="1">
        <f t="shared" si="59"/>
        <v>0</v>
      </c>
      <c r="N125" s="1">
        <f t="shared" si="59"/>
        <v>0</v>
      </c>
      <c r="O125" s="1">
        <f t="shared" si="59"/>
        <v>0</v>
      </c>
      <c r="P125" s="1">
        <f t="shared" si="59"/>
        <v>0</v>
      </c>
      <c r="Q125" s="1">
        <f t="shared" si="59"/>
        <v>0</v>
      </c>
      <c r="R125" s="1">
        <f t="shared" si="59"/>
        <v>0</v>
      </c>
      <c r="S125" s="1">
        <f t="shared" si="59"/>
        <v>0</v>
      </c>
      <c r="T125" s="1">
        <f t="shared" si="59"/>
        <v>0</v>
      </c>
      <c r="U125" s="1">
        <f t="shared" si="59"/>
        <v>0</v>
      </c>
      <c r="V125" s="1">
        <f t="shared" si="59"/>
        <v>0</v>
      </c>
      <c r="W125" s="1">
        <f t="shared" si="59"/>
        <v>0</v>
      </c>
    </row>
    <row r="126" spans="1:23" ht="15">
      <c r="A126" t="s">
        <v>167</v>
      </c>
      <c r="D126" s="25">
        <f aca="true" t="shared" si="60" ref="D126:W126">D109+D118</f>
        <v>0</v>
      </c>
      <c r="E126" s="25">
        <f t="shared" si="60"/>
        <v>0</v>
      </c>
      <c r="F126" s="25">
        <f t="shared" si="60"/>
        <v>0</v>
      </c>
      <c r="G126" s="25">
        <f t="shared" si="60"/>
        <v>10005238.161046857</v>
      </c>
      <c r="H126" s="25">
        <f t="shared" si="60"/>
        <v>10202366.531073358</v>
      </c>
      <c r="I126" s="25">
        <f t="shared" si="60"/>
        <v>10406043.04497286</v>
      </c>
      <c r="J126" s="25">
        <f t="shared" si="60"/>
        <v>10594159.456192855</v>
      </c>
      <c r="K126" s="25">
        <f t="shared" si="60"/>
        <v>10787919.152487857</v>
      </c>
      <c r="L126" s="25">
        <f t="shared" si="60"/>
        <v>7501247.846030861</v>
      </c>
      <c r="M126" s="25">
        <f t="shared" si="60"/>
        <v>7620835.251896857</v>
      </c>
      <c r="N126" s="25">
        <f t="shared" si="60"/>
        <v>7744013.408334857</v>
      </c>
      <c r="O126" s="25">
        <f t="shared" si="60"/>
        <v>7870884.914800858</v>
      </c>
      <c r="P126" s="25">
        <f t="shared" si="60"/>
        <v>8001561.035266858</v>
      </c>
      <c r="Q126" s="25">
        <f t="shared" si="60"/>
        <v>8219669.009065858</v>
      </c>
      <c r="R126" s="25">
        <f t="shared" si="60"/>
        <v>8360809.731288856</v>
      </c>
      <c r="S126" s="25">
        <f t="shared" si="60"/>
        <v>8506185.790068856</v>
      </c>
      <c r="T126" s="25">
        <f t="shared" si="60"/>
        <v>8655921.483892856</v>
      </c>
      <c r="U126" s="25">
        <f t="shared" si="60"/>
        <v>8810152.783509856</v>
      </c>
      <c r="V126" s="25">
        <f t="shared" si="60"/>
        <v>9017415.252209855</v>
      </c>
      <c r="W126" s="25">
        <f t="shared" si="60"/>
        <v>9245134.279280858</v>
      </c>
    </row>
    <row r="127" spans="1:23" ht="15">
      <c r="A127" s="18" t="s">
        <v>174</v>
      </c>
      <c r="B127" s="10"/>
      <c r="C127" s="11"/>
      <c r="D127" s="11">
        <f>D125+D126</f>
        <v>15809315.684315689</v>
      </c>
      <c r="E127" s="11">
        <f aca="true" t="shared" si="61" ref="E127:W127">E125+E126</f>
        <v>22190059.940059945</v>
      </c>
      <c r="F127" s="11">
        <f t="shared" si="61"/>
        <v>25210378.906807482</v>
      </c>
      <c r="G127" s="11">
        <f t="shared" si="61"/>
        <v>18664819.650985494</v>
      </c>
      <c r="H127" s="11">
        <f t="shared" si="61"/>
        <v>12481203.765267735</v>
      </c>
      <c r="I127" s="11">
        <f t="shared" si="61"/>
        <v>10406043.04497286</v>
      </c>
      <c r="J127" s="11">
        <f t="shared" si="61"/>
        <v>10594159.456192855</v>
      </c>
      <c r="K127" s="11">
        <f t="shared" si="61"/>
        <v>246502204.86677358</v>
      </c>
      <c r="L127" s="11">
        <f t="shared" si="61"/>
        <v>7501247.846030861</v>
      </c>
      <c r="M127" s="11">
        <f t="shared" si="61"/>
        <v>7620835.251896857</v>
      </c>
      <c r="N127" s="11">
        <f t="shared" si="61"/>
        <v>7744013.408334857</v>
      </c>
      <c r="O127" s="11">
        <f t="shared" si="61"/>
        <v>7870884.914800858</v>
      </c>
      <c r="P127" s="11">
        <f t="shared" si="61"/>
        <v>8001561.035266858</v>
      </c>
      <c r="Q127" s="11">
        <f t="shared" si="61"/>
        <v>8219669.009065858</v>
      </c>
      <c r="R127" s="11">
        <f t="shared" si="61"/>
        <v>8360809.731288856</v>
      </c>
      <c r="S127" s="11">
        <f t="shared" si="61"/>
        <v>8506185.790068856</v>
      </c>
      <c r="T127" s="11">
        <f t="shared" si="61"/>
        <v>8655921.483892856</v>
      </c>
      <c r="U127" s="11">
        <f t="shared" si="61"/>
        <v>8810152.783509856</v>
      </c>
      <c r="V127" s="11">
        <f t="shared" si="61"/>
        <v>9017415.252209855</v>
      </c>
      <c r="W127" s="11">
        <f t="shared" si="61"/>
        <v>9245134.279280858</v>
      </c>
    </row>
    <row r="128" spans="1:23" ht="15.75" thickBot="1">
      <c r="A128" t="s">
        <v>168</v>
      </c>
      <c r="D128" s="23">
        <f aca="true" t="shared" si="62" ref="D128:W128">D100+D120</f>
        <v>0</v>
      </c>
      <c r="E128" s="23">
        <f t="shared" si="62"/>
        <v>0</v>
      </c>
      <c r="F128" s="23">
        <f t="shared" si="62"/>
        <v>0</v>
      </c>
      <c r="G128" s="23">
        <f t="shared" si="62"/>
        <v>14021976.549889278</v>
      </c>
      <c r="H128" s="23">
        <f t="shared" si="62"/>
        <v>21716389.772846516</v>
      </c>
      <c r="I128" s="23">
        <f t="shared" si="62"/>
        <v>29905764.361622248</v>
      </c>
      <c r="J128" s="23">
        <f t="shared" si="62"/>
        <v>39113130.720226616</v>
      </c>
      <c r="K128" s="23">
        <f t="shared" si="62"/>
        <v>51277383.81701328</v>
      </c>
      <c r="L128" s="23">
        <f t="shared" si="62"/>
        <v>64257448.79745069</v>
      </c>
      <c r="M128" s="23">
        <f t="shared" si="62"/>
        <v>65528028.0451735</v>
      </c>
      <c r="N128" s="23">
        <f t="shared" si="62"/>
        <v>66223487.63271977</v>
      </c>
      <c r="O128" s="23">
        <f t="shared" si="62"/>
        <v>66298642.306460686</v>
      </c>
      <c r="P128" s="23">
        <f t="shared" si="62"/>
        <v>66376046.8478825</v>
      </c>
      <c r="Q128" s="23">
        <f t="shared" si="62"/>
        <v>66606358.27238523</v>
      </c>
      <c r="R128" s="23">
        <f t="shared" si="62"/>
        <v>66692995.900840685</v>
      </c>
      <c r="S128" s="23">
        <f t="shared" si="62"/>
        <v>66782236.70268705</v>
      </c>
      <c r="T128" s="23">
        <f t="shared" si="62"/>
        <v>66874150.30199159</v>
      </c>
      <c r="U128" s="23">
        <f t="shared" si="62"/>
        <v>66968826.82877068</v>
      </c>
      <c r="V128" s="23">
        <f t="shared" si="62"/>
        <v>67153623.39484978</v>
      </c>
      <c r="W128" s="23">
        <f t="shared" si="62"/>
        <v>67305398.28395137</v>
      </c>
    </row>
    <row r="129" spans="1:23" ht="15.75" thickTop="1">
      <c r="A129" s="18" t="s">
        <v>169</v>
      </c>
      <c r="B129" s="10"/>
      <c r="C129" s="11"/>
      <c r="D129" s="11">
        <f>D128-D127</f>
        <v>-15809315.684315689</v>
      </c>
      <c r="E129" s="11">
        <f aca="true" t="shared" si="63" ref="E129:W129">E128-E127</f>
        <v>-22190059.940059945</v>
      </c>
      <c r="F129" s="11">
        <f t="shared" si="63"/>
        <v>-25210378.906807482</v>
      </c>
      <c r="G129" s="11">
        <f t="shared" si="63"/>
        <v>-4642843.101096217</v>
      </c>
      <c r="H129" s="11">
        <f t="shared" si="63"/>
        <v>9235186.00757878</v>
      </c>
      <c r="I129" s="11">
        <f t="shared" si="63"/>
        <v>19499721.31664939</v>
      </c>
      <c r="J129" s="11">
        <f t="shared" si="63"/>
        <v>28518971.26403376</v>
      </c>
      <c r="K129" s="11">
        <f t="shared" si="63"/>
        <v>-195224821.04976028</v>
      </c>
      <c r="L129" s="11">
        <f t="shared" si="63"/>
        <v>56756200.95141983</v>
      </c>
      <c r="M129" s="11">
        <f t="shared" si="63"/>
        <v>57907192.793276645</v>
      </c>
      <c r="N129" s="11">
        <f t="shared" si="63"/>
        <v>58479474.22438491</v>
      </c>
      <c r="O129" s="11">
        <f t="shared" si="63"/>
        <v>58427757.391659826</v>
      </c>
      <c r="P129" s="11">
        <f t="shared" si="63"/>
        <v>58374485.81261565</v>
      </c>
      <c r="Q129" s="11">
        <f t="shared" si="63"/>
        <v>58386689.26331937</v>
      </c>
      <c r="R129" s="11">
        <f t="shared" si="63"/>
        <v>58332186.16955183</v>
      </c>
      <c r="S129" s="11">
        <f t="shared" si="63"/>
        <v>58276050.91261819</v>
      </c>
      <c r="T129" s="11">
        <f t="shared" si="63"/>
        <v>58218228.81809873</v>
      </c>
      <c r="U129" s="11">
        <f t="shared" si="63"/>
        <v>58158674.045260824</v>
      </c>
      <c r="V129" s="11">
        <f t="shared" si="63"/>
        <v>58136208.14263992</v>
      </c>
      <c r="W129" s="11">
        <f t="shared" si="63"/>
        <v>58060264.004670516</v>
      </c>
    </row>
    <row r="130" spans="2:3" ht="15">
      <c r="B130" s="6" t="s">
        <v>89</v>
      </c>
      <c r="C130" s="8">
        <f>IRR(D129:W129,0.1)</f>
        <v>0.1703357340536018</v>
      </c>
    </row>
    <row r="131" spans="2:3" ht="15">
      <c r="B131" s="6"/>
      <c r="C131" s="8"/>
    </row>
    <row r="132" spans="1:3" ht="15">
      <c r="A132" t="s">
        <v>177</v>
      </c>
      <c r="C132" s="2">
        <v>0.09</v>
      </c>
    </row>
    <row r="133" spans="1:3" ht="15">
      <c r="A133" t="s">
        <v>178</v>
      </c>
      <c r="C133" s="2">
        <f>(17000000/1.4)/P2_Invest_Cost</f>
        <v>0.2670856245090338</v>
      </c>
    </row>
    <row r="134" spans="1:8" ht="15">
      <c r="A134" t="s">
        <v>176</v>
      </c>
      <c r="D134" s="1">
        <f>(investcost+P2_Invest_Cost*(1-$C133))*$C132/5</f>
        <v>3088928.571428572</v>
      </c>
      <c r="E134" s="1">
        <f>(investcost+P2_Invest_Cost*(1-$C133))*$C132/5</f>
        <v>3088928.571428572</v>
      </c>
      <c r="F134" s="1">
        <f>(investcost+P2_Invest_Cost*(1-$C133))*$C132/5</f>
        <v>3088928.571428572</v>
      </c>
      <c r="G134" s="1">
        <f>(investcost+P2_Invest_Cost*(1-$C133))*$C132/5</f>
        <v>3088928.571428572</v>
      </c>
      <c r="H134" s="1">
        <f>(investcost+P2_Invest_Cost*(1-$C133))*$C132/5</f>
        <v>3088928.571428572</v>
      </c>
    </row>
    <row r="136" spans="1:23" ht="15">
      <c r="A136" s="18" t="s">
        <v>179</v>
      </c>
      <c r="B136" s="10"/>
      <c r="C136" s="11"/>
      <c r="D136" s="11">
        <f>D129-D134</f>
        <v>-18898244.25574426</v>
      </c>
      <c r="E136" s="11">
        <f aca="true" t="shared" si="64" ref="E136:W136">E129-E134</f>
        <v>-25278988.511488516</v>
      </c>
      <c r="F136" s="11">
        <f t="shared" si="64"/>
        <v>-28299307.478236053</v>
      </c>
      <c r="G136" s="11">
        <f t="shared" si="64"/>
        <v>-7731771.672524788</v>
      </c>
      <c r="H136" s="11">
        <f t="shared" si="64"/>
        <v>6146257.436150209</v>
      </c>
      <c r="I136" s="11">
        <f t="shared" si="64"/>
        <v>19499721.31664939</v>
      </c>
      <c r="J136" s="11">
        <f t="shared" si="64"/>
        <v>28518971.26403376</v>
      </c>
      <c r="K136" s="11">
        <f t="shared" si="64"/>
        <v>-195224821.04976028</v>
      </c>
      <c r="L136" s="11">
        <f t="shared" si="64"/>
        <v>56756200.95141983</v>
      </c>
      <c r="M136" s="11">
        <f t="shared" si="64"/>
        <v>57907192.793276645</v>
      </c>
      <c r="N136" s="11">
        <f t="shared" si="64"/>
        <v>58479474.22438491</v>
      </c>
      <c r="O136" s="11">
        <f t="shared" si="64"/>
        <v>58427757.391659826</v>
      </c>
      <c r="P136" s="11">
        <f t="shared" si="64"/>
        <v>58374485.81261565</v>
      </c>
      <c r="Q136" s="11">
        <f t="shared" si="64"/>
        <v>58386689.26331937</v>
      </c>
      <c r="R136" s="11">
        <f t="shared" si="64"/>
        <v>58332186.16955183</v>
      </c>
      <c r="S136" s="11">
        <f t="shared" si="64"/>
        <v>58276050.91261819</v>
      </c>
      <c r="T136" s="11">
        <f t="shared" si="64"/>
        <v>58218228.81809873</v>
      </c>
      <c r="U136" s="11">
        <f t="shared" si="64"/>
        <v>58158674.045260824</v>
      </c>
      <c r="V136" s="11">
        <f t="shared" si="64"/>
        <v>58136208.14263992</v>
      </c>
      <c r="W136" s="11">
        <f t="shared" si="64"/>
        <v>58060264.004670516</v>
      </c>
    </row>
    <row r="137" spans="2:3" ht="15">
      <c r="B137" s="6" t="s">
        <v>90</v>
      </c>
      <c r="C137" s="2">
        <f>IRR(D136:W136,0.1)</f>
        <v>0.15374840793447153</v>
      </c>
    </row>
  </sheetData>
  <sheetProtection/>
  <conditionalFormatting sqref="B1">
    <cfRule type="cellIs" priority="1" dxfId="14" operator="notEqual" stopIfTrue="1">
      <formula>0</formula>
    </cfRule>
    <cfRule type="cellIs" priority="2" dxfId="15" operator="equal" stopIfTrue="1">
      <formula>0</formula>
    </cfRule>
  </conditionalFormatting>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sheetPr codeName="Sheet8"/>
  <dimension ref="A1:H64"/>
  <sheetViews>
    <sheetView zoomScalePageLayoutView="0" workbookViewId="0" topLeftCell="A1">
      <selection activeCell="A1" sqref="A1:E2"/>
    </sheetView>
  </sheetViews>
  <sheetFormatPr defaultColWidth="9.140625" defaultRowHeight="15"/>
  <cols>
    <col min="1" max="1" width="57.00390625" style="0" customWidth="1"/>
    <col min="4" max="5" width="9.421875" style="0" bestFit="1" customWidth="1"/>
    <col min="6" max="6" width="9.57421875" style="0" bestFit="1" customWidth="1"/>
    <col min="7" max="7" width="10.57421875" style="0" bestFit="1" customWidth="1"/>
  </cols>
  <sheetData>
    <row r="1" spans="1:5" s="269" customFormat="1" ht="20.25" customHeight="1">
      <c r="A1" s="309" t="s">
        <v>425</v>
      </c>
      <c r="B1" s="309"/>
      <c r="C1" s="309"/>
      <c r="D1" s="309"/>
      <c r="E1" s="309"/>
    </row>
    <row r="2" spans="1:5" s="269" customFormat="1" ht="37.5" customHeight="1">
      <c r="A2" s="309"/>
      <c r="B2" s="309"/>
      <c r="C2" s="309"/>
      <c r="D2" s="309"/>
      <c r="E2" s="309"/>
    </row>
    <row r="3" ht="15">
      <c r="A3" s="218">
        <f>IF('ERR &amp; Sensitivity Analysis'!$I$15="N","Note: Current calculations are based on user input and are not the original MCC estimates.",IF('ERR &amp; Sensitivity Analysis'!$I$19="N","Note: Current calculations are based on user input and are not the original MCC estimates.",0))</f>
        <v>0</v>
      </c>
    </row>
    <row r="4" ht="15">
      <c r="A4" t="s">
        <v>136</v>
      </c>
    </row>
    <row r="6" spans="1:3" ht="15">
      <c r="A6" t="s">
        <v>101</v>
      </c>
      <c r="B6">
        <v>7</v>
      </c>
      <c r="C6" t="s">
        <v>137</v>
      </c>
    </row>
    <row r="7" spans="1:2" ht="15">
      <c r="A7" t="s">
        <v>102</v>
      </c>
      <c r="B7">
        <f>B6*200</f>
        <v>1400</v>
      </c>
    </row>
    <row r="8" spans="1:2" ht="15">
      <c r="A8" t="s">
        <v>103</v>
      </c>
      <c r="B8">
        <f>B7*10</f>
        <v>14000</v>
      </c>
    </row>
    <row r="9" spans="1:3" ht="15">
      <c r="A9" t="s">
        <v>110</v>
      </c>
      <c r="B9">
        <v>0.5</v>
      </c>
      <c r="C9" t="s">
        <v>137</v>
      </c>
    </row>
    <row r="10" spans="1:2" ht="15">
      <c r="A10" t="s">
        <v>107</v>
      </c>
      <c r="B10">
        <f>B8*B9</f>
        <v>7000</v>
      </c>
    </row>
    <row r="11" spans="1:2" ht="15">
      <c r="A11" t="s">
        <v>109</v>
      </c>
      <c r="B11">
        <f>B8-B10</f>
        <v>7000</v>
      </c>
    </row>
    <row r="12" spans="1:3" ht="15">
      <c r="A12" t="s">
        <v>139</v>
      </c>
      <c r="B12" s="21">
        <v>1783030.27272727</v>
      </c>
      <c r="C12" t="s">
        <v>138</v>
      </c>
    </row>
    <row r="13" spans="1:2" ht="15">
      <c r="A13" t="s">
        <v>112</v>
      </c>
      <c r="B13" s="3">
        <f>B12/B10</f>
        <v>254.71861038960998</v>
      </c>
    </row>
    <row r="14" ht="15">
      <c r="B14" s="3"/>
    </row>
    <row r="15" spans="1:3" ht="15">
      <c r="A15" t="s">
        <v>115</v>
      </c>
      <c r="B15" s="3">
        <f>1300</f>
        <v>1300</v>
      </c>
      <c r="C15" t="s">
        <v>137</v>
      </c>
    </row>
    <row r="16" spans="1:2" ht="15">
      <c r="A16" t="s">
        <v>140</v>
      </c>
      <c r="B16" s="21">
        <f>B15*B10</f>
        <v>9100000</v>
      </c>
    </row>
    <row r="18" spans="1:3" ht="15">
      <c r="A18" t="s">
        <v>104</v>
      </c>
      <c r="B18">
        <v>2</v>
      </c>
      <c r="C18" t="s">
        <v>137</v>
      </c>
    </row>
    <row r="19" spans="1:2" ht="15">
      <c r="A19" t="s">
        <v>105</v>
      </c>
      <c r="B19">
        <f>B18*365</f>
        <v>730</v>
      </c>
    </row>
    <row r="20" spans="1:2" ht="15">
      <c r="A20" t="s">
        <v>106</v>
      </c>
      <c r="B20">
        <f>B19*10</f>
        <v>7300</v>
      </c>
    </row>
    <row r="21" spans="1:2" ht="15">
      <c r="A21" t="s">
        <v>110</v>
      </c>
      <c r="B21" s="298">
        <f>'ERR &amp; Sensitivity Analysis'!G18</f>
        <v>0.66</v>
      </c>
    </row>
    <row r="22" spans="1:2" ht="15">
      <c r="A22" t="s">
        <v>108</v>
      </c>
      <c r="B22">
        <f>B20*B21</f>
        <v>4818</v>
      </c>
    </row>
    <row r="23" spans="1:2" ht="15">
      <c r="A23" t="s">
        <v>109</v>
      </c>
      <c r="B23">
        <f>B20-B22</f>
        <v>2482</v>
      </c>
    </row>
    <row r="24" spans="1:3" ht="15">
      <c r="A24" t="s">
        <v>111</v>
      </c>
      <c r="B24">
        <v>11500</v>
      </c>
      <c r="C24" t="s">
        <v>137</v>
      </c>
    </row>
    <row r="25" spans="1:2" ht="15">
      <c r="A25" t="s">
        <v>180</v>
      </c>
      <c r="B25" s="21">
        <f>B24*B20</f>
        <v>83950000</v>
      </c>
    </row>
    <row r="26" spans="1:2" ht="15">
      <c r="A26" t="s">
        <v>114</v>
      </c>
      <c r="B26" s="21">
        <f>B23*B24</f>
        <v>28543000</v>
      </c>
    </row>
    <row r="27" ht="15">
      <c r="B27" s="21"/>
    </row>
    <row r="28" spans="1:2" ht="15">
      <c r="A28" t="s">
        <v>119</v>
      </c>
      <c r="B28" s="21"/>
    </row>
    <row r="29" spans="1:2" ht="15">
      <c r="A29" t="s">
        <v>120</v>
      </c>
      <c r="B29" s="9">
        <f>(1-B21)/B21*0.5</f>
        <v>0.2575757575757575</v>
      </c>
    </row>
    <row r="30" ht="15">
      <c r="A30" t="s">
        <v>328</v>
      </c>
    </row>
    <row r="31" spans="1:3" ht="15">
      <c r="A31" t="s">
        <v>121</v>
      </c>
      <c r="B31" s="3">
        <f>Ag_VA_High*(1+(1-Agriculture!B21)/Agriculture!B21*0.5)</f>
        <v>4022.9848484848485</v>
      </c>
      <c r="C31" t="s">
        <v>197</v>
      </c>
    </row>
    <row r="32" spans="1:3" ht="15">
      <c r="A32" t="s">
        <v>339</v>
      </c>
      <c r="B32" s="4">
        <f>(B31-Ag_VA_High)/B23</f>
        <v>0.33198422581984227</v>
      </c>
      <c r="C32" t="s">
        <v>329</v>
      </c>
    </row>
    <row r="33" spans="1:2" ht="15">
      <c r="A33" t="s">
        <v>374</v>
      </c>
      <c r="B33" s="4">
        <f>B32</f>
        <v>0.33198422581984227</v>
      </c>
    </row>
    <row r="34" ht="15">
      <c r="A34" t="s">
        <v>128</v>
      </c>
    </row>
    <row r="36" spans="1:2" ht="15">
      <c r="A36" t="s">
        <v>330</v>
      </c>
      <c r="B36" s="4">
        <f>(Ag_VA_Low*(1+(1-B21)/B21*0.5)-Ag_VA_Low)/B23</f>
        <v>0.05188875051888749</v>
      </c>
    </row>
    <row r="38" ht="15">
      <c r="A38" t="s">
        <v>113</v>
      </c>
    </row>
    <row r="64" ht="15">
      <c r="H64" s="3"/>
    </row>
  </sheetData>
  <sheetProtection/>
  <mergeCells count="1">
    <mergeCell ref="A1:E2"/>
  </mergeCells>
  <conditionalFormatting sqref="A3">
    <cfRule type="cellIs" priority="1" dxfId="14" operator="notEqual" stopIfTrue="1">
      <formula>0</formula>
    </cfRule>
    <cfRule type="cellIs" priority="2" dxfId="15" operator="equal" stopIfTrue="1">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MCC Jordan Waste Water Collection ERR</dc:title>
  <dc:subject/>
  <dc:creator>Millennium Challenge Corporation</dc:creator>
  <cp:keywords/>
  <dc:description/>
  <cp:lastModifiedBy>Block, Marissa L (DPE/EE-EA/PSC)</cp:lastModifiedBy>
  <dcterms:created xsi:type="dcterms:W3CDTF">2009-10-19T14:58:28Z</dcterms:created>
  <dcterms:modified xsi:type="dcterms:W3CDTF">2015-03-27T15:25:11Z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