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06" yWindow="0" windowWidth="10440" windowHeight="11565" tabRatio="894" activeTab="0"/>
  </bookViews>
  <sheets>
    <sheet name="User's Guide" sheetId="1" r:id="rId1"/>
    <sheet name="Project Description" sheetId="2" r:id="rId2"/>
    <sheet name="CB_DATA_" sheetId="3" state="veryHidden" r:id="rId3"/>
    <sheet name="ERR &amp; Sensitivity Analysis" sheetId="4" r:id="rId4"/>
    <sheet name="Highway Summary ERR" sheetId="5" r:id="rId5"/>
    <sheet name="Logistical Corridor" sheetId="6" r:id="rId6"/>
    <sheet name="Secondary Roads" sheetId="7" r:id="rId7"/>
  </sheets>
  <externalReferences>
    <externalReference r:id="rId10"/>
  </externalReferences>
  <definedNames>
    <definedName name="CB_48c1927a4e06478d97544e2140b55bd0" localSheetId="3" hidden="1">'ERR &amp; Sensitivity Analysis'!$D$13</definedName>
    <definedName name="CB_af94c39062dc4ae490cd4fc66a474e1d" localSheetId="3" hidden="1">'ERR &amp; Sensitivity Analysis'!$D$20</definedName>
    <definedName name="CB_d383703a5eab496ba9f106f3027b2cd3" localSheetId="3" hidden="1">'ERR &amp; Sensitivity Analysis'!$D$15</definedName>
    <definedName name="CB_e9c4c23a324c487aa85350099a0e0ef5" localSheetId="3" hidden="1">'ERR &amp; Sensitivity Analysis'!$D$16</definedName>
    <definedName name="CB_ff05271e93bc4fa6ac4c7a498c079eb4" localSheetId="3" hidden="1">'ERR &amp; Sensitivity Analysis'!$D$14</definedName>
    <definedName name="CBWorkbookPriority" hidden="1">-1331047914</definedName>
    <definedName name="CBx_15fbb059af3d4bf088ccb284a4d9ddb6" localSheetId="2" hidden="1">"'CB_DATA_'!$A$1"</definedName>
    <definedName name="CBx_f91007ff298a4702a19059aa3f3a412a" localSheetId="2" hidden="1">"'ERR &amp; Sensitivity Analysis'!$A$1"</definedName>
    <definedName name="CBx_Sheet_Guid" localSheetId="2" hidden="1">"'15fbb059-af3d-4bf0-88cc-b284a4d9ddb6"</definedName>
    <definedName name="CBx_Sheet_Guid" localSheetId="3" hidden="1">"'f91007ff-298a-4702-a190-59aa3f3a412a"</definedName>
    <definedName name="Class1_wo_expt">#REF!</definedName>
    <definedName name="Class2_wo_expt">#REF!</definedName>
    <definedName name="Class3_wo_expt">#REF!</definedName>
    <definedName name="death_rate_stage_III_T">'[1]Diabetes Costs &amp; Benefits'!$C$26</definedName>
    <definedName name="death_rate_stage_III_UT">'[1]Diabetes Costs &amp; Benefits'!$C$25</definedName>
    <definedName name="death_rate_stage_IV_T">'[1]Hypertension Costs &amp; Benefits'!$C$28</definedName>
    <definedName name="death_rate_stage_IV_UT">'[1]Hypertension Costs &amp; Benefits'!$C$27</definedName>
    <definedName name="I_to_II_T_W">'[1]Hypertension Costs &amp; Benefits'!$J$82</definedName>
    <definedName name="I_to_II_T_WO">'[1]Hypertension Costs &amp; Benefits'!$J$32</definedName>
    <definedName name="I_to_II_UT">'[1]Hypertension Costs &amp; Benefits'!$E$32</definedName>
    <definedName name="II_t0_III_T_WO">'[1]Hypertension Costs &amp; Benefits'!$J$33</definedName>
    <definedName name="II_t0_III_UT">'[1]Hypertension Costs &amp; Benefits'!$E$33</definedName>
    <definedName name="II_to_III_T_W">'[1]Hypertension Costs &amp; Benefits'!$J$83</definedName>
    <definedName name="II_to_III_UT">'[1]Diabetes Costs &amp; Benefits'!$E$31</definedName>
    <definedName name="III_to_IV_T_W">'[1]Hypertension Costs &amp; Benefits'!$J$84</definedName>
    <definedName name="III_to_IV_T_WO">'[1]Hypertension Costs &amp; Benefits'!$J$34</definedName>
    <definedName name="III_to_IV_UT">'[1]Hypertension Costs &amp; Benefits'!$E$34</definedName>
    <definedName name="income_p">'[1]Hypertension Costs &amp; Benefits'!$E$6</definedName>
    <definedName name="pop_growth">'[1]Hypertension Costs &amp; Benefits'!$C$5</definedName>
  </definedNames>
  <calcPr fullCalcOnLoad="1"/>
</workbook>
</file>

<file path=xl/sharedStrings.xml><?xml version="1.0" encoding="utf-8"?>
<sst xmlns="http://schemas.openxmlformats.org/spreadsheetml/2006/main" count="258" uniqueCount="168">
  <si>
    <t>Savings in maintenance, vehicle operating costs and time</t>
  </si>
  <si>
    <t>Wages and salaries created by construction</t>
  </si>
  <si>
    <t>cost parameter</t>
  </si>
  <si>
    <t>benefit parameter</t>
  </si>
  <si>
    <t>total benefits</t>
  </si>
  <si>
    <t>total costs</t>
  </si>
  <si>
    <t>Cost</t>
  </si>
  <si>
    <t>None</t>
  </si>
  <si>
    <t>IRR</t>
  </si>
  <si>
    <t>3&amp;4</t>
  </si>
  <si>
    <t>of total construction costs</t>
  </si>
  <si>
    <t>time and voc 1</t>
  </si>
  <si>
    <t>time and voc 2</t>
  </si>
  <si>
    <t>time and voc 3</t>
  </si>
  <si>
    <t>wages to construction workers</t>
  </si>
  <si>
    <t>sum</t>
  </si>
  <si>
    <t>Ben-Costs</t>
  </si>
  <si>
    <t>Logistical Corridor</t>
  </si>
  <si>
    <t>Secondary Roads</t>
  </si>
  <si>
    <t>Weight Control</t>
  </si>
  <si>
    <t>Highway Project</t>
  </si>
  <si>
    <t xml:space="preserve">Cost </t>
  </si>
  <si>
    <t>km</t>
  </si>
  <si>
    <t>km funder per year</t>
  </si>
  <si>
    <t>year 3</t>
  </si>
  <si>
    <t>year 4</t>
  </si>
  <si>
    <t>total</t>
  </si>
  <si>
    <t>Spreadsheet version</t>
  </si>
  <si>
    <t>Date</t>
  </si>
  <si>
    <t>Amount of MCC funds</t>
  </si>
  <si>
    <t>Benefit streams included in ERR</t>
  </si>
  <si>
    <t>Costs included in ERR (other than costs borne by MCC)</t>
  </si>
  <si>
    <t>Estimated ERR and time horizon</t>
  </si>
  <si>
    <t>Project Description</t>
  </si>
  <si>
    <t>ERR &amp; Sensitivity Analysis</t>
  </si>
  <si>
    <t>Summary</t>
  </si>
  <si>
    <t>Components</t>
  </si>
  <si>
    <t>Economic Rationale</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</si>
  <si>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</si>
  <si>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</si>
  <si>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</si>
  <si>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</si>
  <si>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</si>
  <si>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</si>
  <si>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</si>
  <si>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</si>
  <si>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</si>
  <si>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</si>
  <si>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</si>
  <si>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</si>
  <si>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</si>
  <si>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</si>
  <si>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</si>
  <si>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r>
      <t xml:space="preserve">   </t>
    </r>
    <r>
      <rPr>
        <u val="single"/>
        <sz val="10"/>
        <color indexed="12"/>
        <rFont val="Arial"/>
        <family val="2"/>
      </rPr>
      <t>Project Description</t>
    </r>
  </si>
  <si>
    <r>
      <t xml:space="preserve">   </t>
    </r>
    <r>
      <rPr>
        <u val="single"/>
        <sz val="10"/>
        <color indexed="12"/>
        <rFont val="Arial"/>
        <family val="2"/>
      </rPr>
      <t>User's Guide</t>
    </r>
  </si>
  <si>
    <t>Saving in VOC and Time</t>
  </si>
  <si>
    <t>Wages and Salaries created by construction</t>
  </si>
  <si>
    <t>Year</t>
  </si>
  <si>
    <t>Benefit</t>
  </si>
  <si>
    <t>T2</t>
  </si>
  <si>
    <t>T1</t>
  </si>
  <si>
    <t>This sheet contains brief summary of the project's key parameters and ERR calculations, giving the user the opportunity to test the sensitivity to the ERR of various changes in parameters.</t>
  </si>
  <si>
    <t>Annual Average Daily Traffic (aadt)</t>
  </si>
  <si>
    <t>Total</t>
  </si>
  <si>
    <t>T3&amp;4</t>
  </si>
  <si>
    <t>Savings in Vehicle Operating Cost (voc) and time</t>
  </si>
  <si>
    <t>Maintenance Savings</t>
  </si>
  <si>
    <t>Construction Wages</t>
  </si>
  <si>
    <t>VOC Savings</t>
  </si>
  <si>
    <t>ERR</t>
  </si>
  <si>
    <t>with sensitivity parameter</t>
  </si>
  <si>
    <t>Net Benefit</t>
  </si>
  <si>
    <t>Location</t>
  </si>
  <si>
    <t>Department</t>
  </si>
  <si>
    <t>Vehicles Per day</t>
  </si>
  <si>
    <t>Return %</t>
  </si>
  <si>
    <t>Long. (Kms)</t>
  </si>
  <si>
    <t>Cost ($US mil.)</t>
  </si>
  <si>
    <t>Comayagua-Ajuterique-La Paz</t>
  </si>
  <si>
    <t>Comayagua</t>
  </si>
  <si>
    <t>Las Lomas - Santa María</t>
  </si>
  <si>
    <t>El Paraíso</t>
  </si>
  <si>
    <t>Baracoa - Finca Paleto</t>
  </si>
  <si>
    <t>Cortés</t>
  </si>
  <si>
    <t>Telica - San Francisco de la Paz</t>
  </si>
  <si>
    <t>Olancho</t>
  </si>
  <si>
    <t>CA-3- El Triunfo</t>
  </si>
  <si>
    <t>Choluteca</t>
  </si>
  <si>
    <t>CA-13 Sonaguera</t>
  </si>
  <si>
    <t>Colon</t>
  </si>
  <si>
    <t>CA3 - San Bernardo - Las Conchas</t>
  </si>
  <si>
    <t>Net Benefits</t>
  </si>
  <si>
    <t>Benefits</t>
  </si>
  <si>
    <t>Cost per Km US$/Km</t>
  </si>
  <si>
    <t>With cost and benefit parameter</t>
  </si>
  <si>
    <t>Activity 1: Logistical Corridor</t>
  </si>
  <si>
    <t>Activity 2: Secondary Roads</t>
  </si>
  <si>
    <t>Activity 3: Weight Control</t>
  </si>
  <si>
    <t>Combined Weighted ERR</t>
  </si>
  <si>
    <t>10 - 20%</t>
  </si>
  <si>
    <t>Wages and Salaries created by construction, as a percent of total construction costs</t>
  </si>
  <si>
    <t>Combined Total Net Benefits</t>
  </si>
  <si>
    <t>Highway Summary ERR</t>
  </si>
  <si>
    <t>This worksheet summarizes the costs and benefits associated with MCC investments. Benefits are summarized by year, and the associated ERR is computed over a 20-year timeframe</t>
  </si>
  <si>
    <t>This sheet should be read first, as it offers a summary of the project, a list of components, and states the economic rationale for the project.</t>
  </si>
  <si>
    <t>Secondary roads</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</si>
  <si>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</si>
  <si>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 xml:space="preserve">Total annual benefit </t>
  </si>
  <si>
    <t>With sensitivity parameter</t>
  </si>
  <si>
    <t>Highway Project Manager</t>
  </si>
  <si>
    <t>$/km</t>
  </si>
  <si>
    <t>total cost</t>
  </si>
  <si>
    <t>Total costs- all roads</t>
  </si>
  <si>
    <t>With cost parameter</t>
  </si>
  <si>
    <t>With benefit parameter</t>
  </si>
  <si>
    <t>total with parameter</t>
  </si>
  <si>
    <t>Savings in Vehicle Operating Costs and time, as a percentage of estimated savings</t>
  </si>
  <si>
    <t>Actual costs of Secondary Road Construction, as a percentage of estimated costs</t>
  </si>
  <si>
    <t>Actual cost of building each of the eight planned weight control stations</t>
  </si>
  <si>
    <t>24.1% over 20 years</t>
  </si>
  <si>
    <t>$450,000-700,000</t>
  </si>
  <si>
    <t>Last updated: 10/25/2005</t>
  </si>
  <si>
    <t>Last updated:  10/25/2005</t>
  </si>
  <si>
    <t xml:space="preserve">Program Costs </t>
  </si>
  <si>
    <t>HDM Inputs and Assumptions:</t>
  </si>
  <si>
    <t>Exchange rate</t>
  </si>
  <si>
    <t>Length of highway sections (km)</t>
  </si>
  <si>
    <t>Vehicle type</t>
  </si>
  <si>
    <t>Large Bus</t>
  </si>
  <si>
    <t>Truck, C-3</t>
  </si>
  <si>
    <t>Truck, C-2</t>
  </si>
  <si>
    <t>Truck, C2 - small</t>
  </si>
  <si>
    <t>Pick-Up</t>
  </si>
  <si>
    <t>"Rastra" T3-S2</t>
  </si>
  <si>
    <t>Car</t>
  </si>
  <si>
    <t>Annual Average Daily Traffic Counts</t>
  </si>
  <si>
    <t>days per year</t>
  </si>
  <si>
    <t>maintenance</t>
  </si>
  <si>
    <t>Costs</t>
  </si>
  <si>
    <t>HDM Output</t>
  </si>
  <si>
    <t>Logistical Corridor Input and Output Data - HDM-4</t>
  </si>
  <si>
    <t>Cost and Benefit Streams</t>
  </si>
  <si>
    <t>Road Section:</t>
  </si>
  <si>
    <t>Total kilometers by section</t>
  </si>
  <si>
    <t>Road Section</t>
  </si>
  <si>
    <t>Yearly Road Construction Plan:</t>
  </si>
  <si>
    <t>Net Benefits by year</t>
  </si>
  <si>
    <t>Section Number</t>
  </si>
  <si>
    <t>This worksheet shows the specific construction costs and net benefits for each of the secondary roads</t>
  </si>
  <si>
    <t>Honduras: Transportation</t>
  </si>
  <si>
    <t>$125.7 million</t>
  </si>
  <si>
    <t xml:space="preserve">You can find more information on HDM-4 and download the program here. </t>
  </si>
  <si>
    <r>
      <t xml:space="preserve">MCC Estimated ERR </t>
    </r>
    <r>
      <rPr>
        <b/>
        <sz val="8"/>
        <rFont val="Arial"/>
        <family val="2"/>
      </rPr>
      <t>(as of 10/25/2005)</t>
    </r>
    <r>
      <rPr>
        <b/>
        <sz val="10"/>
        <rFont val="Arial"/>
        <family val="2"/>
      </rPr>
      <t>:</t>
    </r>
  </si>
  <si>
    <t xml:space="preserve">health outcomes.  These indirect benefits have not been factored into the economic returns, so the ERR mentioned above is likely an underestimate of the gains from the Project.  </t>
  </si>
  <si>
    <t>This worksheet shows the HDM-4 output for the Logistical Corridor portion of the Transportation Project</t>
  </si>
  <si>
    <t xml:space="preserve">   The Transportation Project focuses on improving the efficiency of the highway network through the following activities:</t>
  </si>
  <si>
    <t xml:space="preserve">     The economic benefits from the Transportation Project derive both from the direct benefits of reduced transportation costs and from the stimulus to new investment from lower transport costs.  The return, estimated at 24.1% is the weighted average of the returns for the first two activities noted above.  No ERR was calculated for the weight control activity, although the weights used in calculating the ERR for the entire project do incorporate the cost of this activity (in other words, the activity was implicitly incorporated as having a 0% ERR).  The stimulation of new businesses and investments due to lower transport costs is more difficult to estimate, but is likely to be an important part of the economic benefits.  Sectors whose ratio of transport costs to production price is relatively high, such as the light manufacturing sector and agriculture, are likely to receive new investments from improved infrastructure.  If the improvements in the Logistical Corridor were to increase light manufacturing growth from 5 to 7% for the period 2007-2015, the return would increase by 7 percentage points to 28%.  Improved transportation can have additional benefits through increased school enrollment and improved            </t>
  </si>
  <si>
    <t xml:space="preserve">     The ERR for the Transportation Project is calculated using the World Bank's Highway Design and Maintenance (HDM-4) model, which originally was developed by the World Bank and is now widely used in highway planning.  HDM-4 estimates the total costs for different scenarios in road construction, maintenance and use so that users can determine the best strategy for road projects.  </t>
  </si>
  <si>
    <t xml:space="preserve">         1.      Improving two stretches of the CA-5 Norte Highway.</t>
  </si>
  <si>
    <t xml:space="preserve">         2.      Paving and upgrading key secondary routes to improve the access of rural communities to markets. The secondary roads 
                    were not selected at the time of the Compact, rather the Compact defined a selection process and set a budget.  This 
                    analysis looked at a pool of likely roads to demonstrate that sufficient investments with acceptable ERRs existed.</t>
  </si>
  <si>
    <t xml:space="preserve">         2.      Paving and upgrading key secondary routes to improve the access of rural communities to markets.</t>
  </si>
  <si>
    <t>The Transportation Project is designed to reduce transportation costs between Honduran production centers and national, regional and global markets. The key activities of the Transportation Project include:</t>
  </si>
  <si>
    <t xml:space="preserve">         3.      Constructing an effective weight control system and issuing contracts to operate it effectively.</t>
  </si>
  <si>
    <t xml:space="preserve">     The Transportation Project is designed to reduce transportation costs between Honduran production centers and national, regional and global markets. The key activities of the Transportation Project include:</t>
  </si>
  <si>
    <t xml:space="preserve">     High transportation costs are a significant impediment to economic growth in Honduras.  Of particular importance for commercial activity is the CA-5 Highway linking the Atlantic port of Puerto Cortes to the major production and consumption centers in Honduras as well as El Salvador and Nicaragua.  This road carries most of the country's import and export traffic and accounts for 23% of highway traffic volume.  After more than 30 years of service, the road needs improvements as service levels have declined drastically on some stretches and road safety is poor.  In addition, the lack of a system for controlling vehicle weights has contributed to the deterioration of roadways, increasing the cost of maintenance and reducing safety.  One study found that 23% of passenger and cargo vehicles carry excessive weight.</t>
  </si>
  <si>
    <t>Table of Contents</t>
  </si>
  <si>
    <r>
      <t>Original ERR</t>
    </r>
    <r>
      <rPr>
        <b/>
        <sz val="9"/>
        <rFont val="Arial"/>
        <family val="2"/>
      </rPr>
      <t>*</t>
    </r>
  </si>
  <si>
    <t>* Note: Closeout ERR to be calculated as part of the Impact Evaluation</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</si>
</sst>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0.00000000000"/>
    <numFmt numFmtId="177" formatCode="0.000000000000"/>
    <numFmt numFmtId="178" formatCode="0.0%"/>
    <numFmt numFmtId="179" formatCode="0.000%"/>
    <numFmt numFmtId="180" formatCode="&quot;$&quot;#,##0"/>
    <numFmt numFmtId="181" formatCode="&quot;$&quot;#,##0.0"/>
    <numFmt numFmtId="182" formatCode="&quot;$&quot;#,##0.00"/>
    <numFmt numFmtId="183" formatCode="[$L.-480A]\ #,##0"/>
    <numFmt numFmtId="184" formatCode="[$L.-480A]\ #,##0.00"/>
    <numFmt numFmtId="185" formatCode="[$€-2]\ #,##0.00_);[Red]\([$€-2]\ #,##0.00\)"/>
    <numFmt numFmtId="186" formatCode="_(* #,##0.000_);_(* \(#,##0.000\);_(* &quot;-&quot;??_);_(@_)"/>
    <numFmt numFmtId="187" formatCode="_(&quot;$&quot;* #,##0.000_);_(&quot;$&quot;* \(#,##0.000\);_(&quot;$&quot;* &quot;-&quot;??_);_(@_)"/>
    <numFmt numFmtId="188" formatCode="_(&quot;$&quot;* #,##0.0000_);_(&quot;$&quot;* \(#,##0.0000\);_(&quot;$&quot;* &quot;-&quot;??_);_(@_)"/>
    <numFmt numFmtId="189" formatCode="_(&quot;$&quot;* #,##0.0_);_(&quot;$&quot;* \(#,##0.0\);_(&quot;$&quot;* &quot;-&quot;??_);_(@_)"/>
    <numFmt numFmtId="190" formatCode="_(&quot;$&quot;* #,##0_);_(&quot;$&quot;* \(#,##0\);_(&quot;$&quot;* &quot;-&quot;??_);_(@_)"/>
    <numFmt numFmtId="191" formatCode="0.0000%"/>
    <numFmt numFmtId="192" formatCode="0.00000%"/>
    <numFmt numFmtId="193" formatCode="&quot;$&quot;#,##0.000"/>
    <numFmt numFmtId="194" formatCode="#,##0.0"/>
    <numFmt numFmtId="195" formatCode="[$L.-480A]\ #,##0.00_);\([$L.-480A]\ #,##0.00\)"/>
    <numFmt numFmtId="196" formatCode="&quot;$&quot;#,##0.0_);[Red]\(&quot;$&quot;#,##0.0\)"/>
    <numFmt numFmtId="197" formatCode="&quot;$&quot;#,##0.000_);[Red]\(&quot;$&quot;#,##0.000\)"/>
    <numFmt numFmtId="198" formatCode="_(* #,##0.0_);_(* \(#,##0.0\);_(* &quot;-&quot;??_);_(@_)"/>
    <numFmt numFmtId="199" formatCode="_(* #,##0_);_(* \(#,##0\);_(* &quot;-&quot;??_);_(@_)"/>
    <numFmt numFmtId="200" formatCode="[$-409]dddd\,\ mmmm\ dd\,\ yyyy"/>
    <numFmt numFmtId="201" formatCode="[$-409]h:mm:ss\ AM/PM"/>
    <numFmt numFmtId="202" formatCode="_(* #,##0.0_);_(* \(#,##0.0\);_(* &quot;-&quot;?_);_(@_)"/>
    <numFmt numFmtId="203" formatCode="_(* #,##0.0000_);_(* \(#,##0.0000\);_(* &quot;-&quot;_);_(@_)"/>
    <numFmt numFmtId="204" formatCode="#,##0.000"/>
    <numFmt numFmtId="205" formatCode="0_)"/>
    <numFmt numFmtId="206" formatCode="_(* #,##0.000_);_(* \(#,##0.000\);_(* &quot;-&quot;???_);_(@_)"/>
    <numFmt numFmtId="207" formatCode="_(* #,##0.0000_);_(* \(#,##0.0000\);_(* &quot;-&quot;????_);_(@_)"/>
    <numFmt numFmtId="208" formatCode="_(* #,##0.0000_);_(* \(#,##0.0000\);_(* &quot;-&quot;??_);_(@_)"/>
    <numFmt numFmtId="209" formatCode="#,##0.0000"/>
    <numFmt numFmtId="210" formatCode="0.00,,"/>
    <numFmt numFmtId="211" formatCode="0.0,,"/>
    <numFmt numFmtId="212" formatCode="_-* #,##0\ _€_-;\-* #,##0\ _€_-;_-* &quot;-&quot;??\ _€_-;_-@_-"/>
    <numFmt numFmtId="213" formatCode="_-* #,##0.0\ _€_-;\-* #,##0.0\ _€_-;_-* &quot;-&quot;??\ _€_-;_-@_-"/>
  </numFmts>
  <fonts count="69">
    <font>
      <sz val="10"/>
      <name val="Arial"/>
      <family val="0"/>
    </font>
    <font>
      <u val="single"/>
      <sz val="10"/>
      <color indexed="12"/>
      <name val="Arial"/>
      <family val="2"/>
    </font>
    <font>
      <u val="single"/>
      <sz val="10"/>
      <color indexed="20"/>
      <name val="Arial"/>
      <family val="2"/>
    </font>
    <font>
      <b/>
      <sz val="10"/>
      <color indexed="9"/>
      <name val="Arial"/>
      <family val="2"/>
    </font>
    <font>
      <b/>
      <sz val="10"/>
      <name val="Arial"/>
      <family val="2"/>
    </font>
    <font>
      <b/>
      <sz val="8"/>
      <name val="Arial"/>
      <family val="2"/>
    </font>
    <font>
      <b/>
      <sz val="12"/>
      <name val="Arial"/>
      <family val="2"/>
    </font>
    <font>
      <sz val="8"/>
      <name val="Arial"/>
      <family val="2"/>
    </font>
    <font>
      <sz val="10"/>
      <color indexed="9"/>
      <name val="Arial"/>
      <family val="2"/>
    </font>
    <font>
      <sz val="10"/>
      <color indexed="12"/>
      <name val="Arial"/>
      <family val="2"/>
    </font>
    <font>
      <sz val="10"/>
      <color indexed="10"/>
      <name val="Arial"/>
      <family val="2"/>
    </font>
    <font>
      <sz val="8"/>
      <color indexed="17"/>
      <name val="Arial"/>
      <family val="2"/>
    </font>
    <font>
      <b/>
      <sz val="16"/>
      <name val="Arial"/>
      <family val="2"/>
    </font>
    <font>
      <sz val="10"/>
      <color indexed="63"/>
      <name val="Arial"/>
      <family val="2"/>
    </font>
    <font>
      <sz val="14"/>
      <name val="Arial"/>
      <family val="2"/>
    </font>
    <font>
      <b/>
      <sz val="10"/>
      <color indexed="12"/>
      <name val="Arial"/>
      <family val="2"/>
    </font>
    <font>
      <sz val="10"/>
      <color indexed="23"/>
      <name val="Arial"/>
      <family val="2"/>
    </font>
    <font>
      <b/>
      <sz val="10"/>
      <color indexed="55"/>
      <name val="Arial"/>
      <family val="2"/>
    </font>
    <font>
      <sz val="9"/>
      <color indexed="55"/>
      <name val="Arial"/>
      <family val="2"/>
    </font>
    <font>
      <i/>
      <sz val="10"/>
      <name val="Arial"/>
      <family val="2"/>
    </font>
    <font>
      <b/>
      <u val="single"/>
      <sz val="10"/>
      <name val="Arial"/>
      <family val="2"/>
    </font>
    <font>
      <b/>
      <u val="single"/>
      <sz val="16"/>
      <name val="Arial"/>
      <family val="2"/>
    </font>
    <font>
      <b/>
      <sz val="14"/>
      <name val="Arial"/>
      <family val="2"/>
    </font>
    <font>
      <b/>
      <u val="single"/>
      <sz val="14"/>
      <name val="Arial"/>
      <family val="2"/>
    </font>
    <font>
      <b/>
      <u val="single"/>
      <sz val="12"/>
      <name val="Arial"/>
      <family val="2"/>
    </font>
    <font>
      <b/>
      <u val="single"/>
      <sz val="10"/>
      <color indexed="9"/>
      <name val="Arial"/>
      <family val="2"/>
    </font>
    <font>
      <b/>
      <sz val="9"/>
      <name val="Arial"/>
      <family val="2"/>
    </font>
    <font>
      <b/>
      <sz val="10"/>
      <color indexed="10"/>
      <name val="Arial"/>
      <family val="2"/>
    </font>
    <font>
      <sz val="14.5"/>
      <color indexed="8"/>
      <name val="Arial"/>
      <family val="2"/>
    </font>
    <font>
      <sz val="8"/>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75"/>
      <color indexed="8"/>
      <name val="Arial"/>
      <family val="2"/>
    </font>
    <font>
      <b/>
      <sz val="14.5"/>
      <color indexed="8"/>
      <name val="Arial"/>
      <family val="2"/>
    </font>
    <font>
      <b/>
      <sz val="8"/>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double"/>
      <top style="thin"/>
      <bottom style="thin"/>
    </border>
    <border>
      <left style="thin"/>
      <right style="double"/>
      <top>
        <color indexed="63"/>
      </top>
      <bottom style="thin"/>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thin"/>
      <top style="thin"/>
      <bottom style="thin"/>
    </border>
    <border>
      <left>
        <color indexed="63"/>
      </left>
      <right style="thin"/>
      <top style="thin"/>
      <bottom>
        <color indexed="63"/>
      </bottom>
    </border>
    <border>
      <left style="thin"/>
      <right style="medium"/>
      <top style="thin"/>
      <bottom style="thin"/>
    </border>
    <border>
      <left style="thin"/>
      <right style="medium"/>
      <top style="thin"/>
      <bottom style="double"/>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thin"/>
      <top style="thin"/>
      <bottom style="double"/>
    </border>
    <border>
      <left style="thin"/>
      <right style="thin"/>
      <top style="thin"/>
      <bottom style="double"/>
    </border>
    <border>
      <left style="medium"/>
      <right style="thin"/>
      <top>
        <color indexed="63"/>
      </top>
      <bottom style="medium"/>
    </border>
    <border>
      <left style="medium"/>
      <right>
        <color indexed="63"/>
      </right>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style="medium"/>
      <top style="medium"/>
      <bottom>
        <color indexed="63"/>
      </bottom>
    </border>
    <border>
      <left style="thin"/>
      <right style="double"/>
      <top style="thin"/>
      <bottom style="double"/>
    </border>
    <border>
      <left style="thin"/>
      <right style="double"/>
      <top style="thin"/>
      <bottom>
        <color indexed="63"/>
      </bottom>
    </border>
    <border>
      <left style="thin"/>
      <right style="double"/>
      <top>
        <color indexed="63"/>
      </top>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style="thin"/>
      <right style="double"/>
      <top style="double"/>
      <bottom style="thin"/>
    </border>
    <border>
      <left style="double"/>
      <right>
        <color indexed="63"/>
      </right>
      <top style="thin"/>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03">
    <xf numFmtId="0" fontId="0" fillId="0" borderId="0" xfId="0" applyAlignment="1">
      <alignment/>
    </xf>
    <xf numFmtId="0" fontId="0" fillId="33" borderId="10" xfId="0" applyFill="1" applyBorder="1" applyAlignment="1">
      <alignment/>
    </xf>
    <xf numFmtId="0" fontId="0" fillId="33" borderId="0" xfId="0" applyFill="1" applyBorder="1" applyAlignment="1">
      <alignment/>
    </xf>
    <xf numFmtId="0" fontId="0" fillId="0"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Alignment="1">
      <alignment wrapText="1"/>
    </xf>
    <xf numFmtId="0" fontId="4" fillId="0" borderId="0" xfId="0" applyFont="1" applyAlignment="1">
      <alignment horizontal="right"/>
    </xf>
    <xf numFmtId="0" fontId="0" fillId="0" borderId="0" xfId="0" applyBorder="1" applyAlignment="1">
      <alignment/>
    </xf>
    <xf numFmtId="0" fontId="0" fillId="34" borderId="0" xfId="0" applyFill="1" applyBorder="1" applyAlignment="1">
      <alignment/>
    </xf>
    <xf numFmtId="0" fontId="11" fillId="0" borderId="0" xfId="0" applyFont="1" applyAlignment="1">
      <alignment horizontal="right"/>
    </xf>
    <xf numFmtId="14" fontId="11" fillId="0" borderId="0" xfId="0" applyNumberFormat="1" applyFont="1" applyAlignment="1">
      <alignment horizontal="left"/>
    </xf>
    <xf numFmtId="0" fontId="0" fillId="0" borderId="0" xfId="0" applyAlignment="1">
      <alignment vertical="center"/>
    </xf>
    <xf numFmtId="14" fontId="0" fillId="0" borderId="13" xfId="0" applyNumberFormat="1" applyFont="1" applyBorder="1" applyAlignment="1">
      <alignment horizontal="left" vertical="center" wrapText="1"/>
    </xf>
    <xf numFmtId="0" fontId="0" fillId="0" borderId="14" xfId="0" applyFont="1" applyBorder="1" applyAlignment="1">
      <alignment horizontal="justify" vertical="top"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13" fillId="0" borderId="0" xfId="0" applyFont="1" applyAlignment="1">
      <alignment/>
    </xf>
    <xf numFmtId="0" fontId="4" fillId="0" borderId="0" xfId="0" applyFont="1" applyBorder="1" applyAlignment="1">
      <alignment/>
    </xf>
    <xf numFmtId="0" fontId="12" fillId="0" borderId="0" xfId="0" applyFont="1" applyAlignment="1">
      <alignment/>
    </xf>
    <xf numFmtId="0" fontId="11" fillId="0" borderId="0" xfId="0" applyFont="1" applyAlignment="1">
      <alignment horizontal="right" vertical="top"/>
    </xf>
    <xf numFmtId="0" fontId="14" fillId="0" borderId="0" xfId="0" applyFont="1" applyAlignment="1">
      <alignment/>
    </xf>
    <xf numFmtId="14" fontId="11" fillId="0" borderId="0" xfId="0" applyNumberFormat="1" applyFont="1" applyAlignment="1">
      <alignment horizontal="right" vertical="top"/>
    </xf>
    <xf numFmtId="0" fontId="6" fillId="0" borderId="0" xfId="0" applyFont="1" applyAlignment="1">
      <alignment/>
    </xf>
    <xf numFmtId="0" fontId="15"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0" xfId="0" applyFont="1" applyAlignment="1">
      <alignment/>
    </xf>
    <xf numFmtId="0" fontId="0" fillId="0" borderId="18" xfId="0" applyFill="1" applyBorder="1" applyAlignment="1">
      <alignment vertical="center"/>
    </xf>
    <xf numFmtId="0" fontId="0" fillId="0" borderId="0" xfId="0" applyBorder="1" applyAlignment="1">
      <alignment vertical="center" wrapText="1"/>
    </xf>
    <xf numFmtId="9" fontId="15" fillId="35" borderId="19" xfId="0" applyNumberFormat="1" applyFont="1" applyFill="1" applyBorder="1" applyAlignment="1">
      <alignment horizontal="center" vertical="center"/>
    </xf>
    <xf numFmtId="9" fontId="0" fillId="0" borderId="18" xfId="0" applyNumberFormat="1" applyBorder="1" applyAlignment="1">
      <alignment horizontal="center" vertical="center"/>
    </xf>
    <xf numFmtId="0" fontId="0" fillId="0" borderId="20" xfId="0" applyBorder="1" applyAlignment="1">
      <alignment horizontal="center" vertical="center"/>
    </xf>
    <xf numFmtId="9" fontId="0" fillId="36" borderId="18"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0" fillId="0" borderId="21" xfId="0" applyFill="1" applyBorder="1" applyAlignment="1">
      <alignment vertical="center"/>
    </xf>
    <xf numFmtId="0" fontId="0" fillId="0" borderId="22" xfId="0" applyBorder="1" applyAlignment="1">
      <alignment vertical="center" wrapText="1"/>
    </xf>
    <xf numFmtId="9" fontId="15" fillId="35" borderId="23" xfId="0" applyNumberFormat="1" applyFont="1" applyFill="1" applyBorder="1" applyAlignment="1">
      <alignment horizontal="center" vertical="center"/>
    </xf>
    <xf numFmtId="9" fontId="0" fillId="0" borderId="21" xfId="0" applyNumberFormat="1" applyBorder="1" applyAlignment="1">
      <alignment horizontal="center" vertical="center"/>
    </xf>
    <xf numFmtId="0" fontId="0" fillId="0" borderId="24" xfId="0" applyBorder="1" applyAlignment="1">
      <alignment horizontal="center" vertical="center"/>
    </xf>
    <xf numFmtId="9" fontId="0" fillId="36" borderId="21" xfId="0" applyNumberFormat="1" applyFont="1" applyFill="1" applyBorder="1" applyAlignment="1">
      <alignment horizontal="center" vertical="center"/>
    </xf>
    <xf numFmtId="0" fontId="8" fillId="0" borderId="0" xfId="0" applyFont="1" applyAlignment="1">
      <alignment horizontal="center" vertical="center"/>
    </xf>
    <xf numFmtId="0" fontId="4" fillId="0" borderId="25" xfId="0" applyFont="1" applyFill="1" applyBorder="1" applyAlignment="1">
      <alignment vertical="center" wrapText="1"/>
    </xf>
    <xf numFmtId="0" fontId="0" fillId="0" borderId="17" xfId="0" applyBorder="1" applyAlignment="1">
      <alignment vertical="center"/>
    </xf>
    <xf numFmtId="0" fontId="0" fillId="0" borderId="26" xfId="57" applyFont="1" applyBorder="1" applyAlignment="1">
      <alignment vertical="center" wrapText="1"/>
      <protection/>
    </xf>
    <xf numFmtId="9" fontId="15" fillId="35" borderId="27" xfId="60" applyFont="1" applyFill="1" applyBorder="1" applyAlignment="1">
      <alignment horizontal="center" vertical="center"/>
    </xf>
    <xf numFmtId="9" fontId="0" fillId="0" borderId="17" xfId="60" applyFont="1" applyBorder="1" applyAlignment="1">
      <alignment horizontal="center" vertical="center"/>
    </xf>
    <xf numFmtId="9" fontId="0" fillId="36" borderId="17" xfId="60" applyFont="1" applyFill="1" applyBorder="1" applyAlignment="1">
      <alignment horizontal="center" vertical="center"/>
    </xf>
    <xf numFmtId="0" fontId="4" fillId="0" borderId="28" xfId="0" applyFont="1" applyBorder="1" applyAlignment="1">
      <alignment vertical="center"/>
    </xf>
    <xf numFmtId="0" fontId="0" fillId="0" borderId="18" xfId="0" applyBorder="1" applyAlignment="1">
      <alignment vertical="center"/>
    </xf>
    <xf numFmtId="0" fontId="0" fillId="0" borderId="0" xfId="57" applyFont="1" applyBorder="1" applyAlignment="1">
      <alignment vertical="center" wrapText="1"/>
      <protection/>
    </xf>
    <xf numFmtId="9" fontId="15" fillId="35" borderId="19" xfId="60" applyFont="1" applyFill="1" applyBorder="1" applyAlignment="1">
      <alignment horizontal="center" vertical="center"/>
    </xf>
    <xf numFmtId="9" fontId="0" fillId="0" borderId="18" xfId="60" applyFont="1" applyBorder="1" applyAlignment="1">
      <alignment horizontal="center" vertical="center"/>
    </xf>
    <xf numFmtId="0" fontId="0" fillId="0" borderId="20" xfId="57" applyFont="1" applyBorder="1" applyAlignment="1">
      <alignment horizontal="center" vertical="center"/>
      <protection/>
    </xf>
    <xf numFmtId="9" fontId="0" fillId="36" borderId="18" xfId="60" applyFont="1" applyFill="1" applyBorder="1" applyAlignment="1">
      <alignment horizontal="center" vertical="center"/>
    </xf>
    <xf numFmtId="0" fontId="9" fillId="0" borderId="18" xfId="53" applyFont="1" applyBorder="1" applyAlignment="1" applyProtection="1">
      <alignment vertical="center"/>
      <protection/>
    </xf>
    <xf numFmtId="0" fontId="9" fillId="0" borderId="21" xfId="53" applyFont="1" applyBorder="1" applyAlignment="1" applyProtection="1">
      <alignment vertical="center"/>
      <protection/>
    </xf>
    <xf numFmtId="0" fontId="4" fillId="0" borderId="0" xfId="0" applyFont="1" applyFill="1" applyAlignment="1">
      <alignment vertical="center" wrapText="1"/>
    </xf>
    <xf numFmtId="0" fontId="0" fillId="0" borderId="21" xfId="0" applyBorder="1" applyAlignment="1">
      <alignment vertical="center"/>
    </xf>
    <xf numFmtId="0" fontId="4" fillId="0" borderId="0" xfId="0" applyFont="1" applyFill="1" applyAlignment="1">
      <alignment horizontal="left" vertical="center" wrapText="1"/>
    </xf>
    <xf numFmtId="178" fontId="3" fillId="0" borderId="0" xfId="60" applyNumberFormat="1" applyFont="1" applyFill="1" applyBorder="1" applyAlignment="1">
      <alignment horizontal="center"/>
    </xf>
    <xf numFmtId="178" fontId="4" fillId="0" borderId="0" xfId="0" applyNumberFormat="1" applyFont="1" applyBorder="1" applyAlignment="1">
      <alignment horizontal="center"/>
    </xf>
    <xf numFmtId="0" fontId="4" fillId="34" borderId="10" xfId="0" applyFont="1" applyFill="1" applyBorder="1" applyAlignment="1">
      <alignment/>
    </xf>
    <xf numFmtId="0" fontId="4" fillId="34" borderId="0" xfId="0" applyFont="1" applyFill="1" applyBorder="1" applyAlignment="1">
      <alignment/>
    </xf>
    <xf numFmtId="190" fontId="4" fillId="34" borderId="0" xfId="0" applyNumberFormat="1" applyFont="1" applyFill="1" applyBorder="1" applyAlignment="1">
      <alignment/>
    </xf>
    <xf numFmtId="0" fontId="0" fillId="34" borderId="29" xfId="0" applyFill="1" applyBorder="1" applyAlignment="1">
      <alignment/>
    </xf>
    <xf numFmtId="0" fontId="0" fillId="0" borderId="10" xfId="0" applyBorder="1" applyAlignment="1">
      <alignment/>
    </xf>
    <xf numFmtId="44" fontId="0" fillId="0" borderId="0" xfId="44" applyFont="1" applyBorder="1" applyAlignment="1">
      <alignment/>
    </xf>
    <xf numFmtId="0" fontId="0" fillId="0" borderId="29" xfId="0" applyBorder="1" applyAlignment="1">
      <alignment/>
    </xf>
    <xf numFmtId="44" fontId="0" fillId="0" borderId="29" xfId="44" applyFont="1" applyBorder="1" applyAlignment="1">
      <alignment/>
    </xf>
    <xf numFmtId="190" fontId="4" fillId="34" borderId="29" xfId="0" applyNumberFormat="1" applyFont="1" applyFill="1" applyBorder="1" applyAlignment="1">
      <alignment/>
    </xf>
    <xf numFmtId="0" fontId="0" fillId="0" borderId="11" xfId="0" applyBorder="1" applyAlignment="1">
      <alignment/>
    </xf>
    <xf numFmtId="0" fontId="0" fillId="0" borderId="12" xfId="0" applyBorder="1" applyAlignment="1">
      <alignment/>
    </xf>
    <xf numFmtId="190" fontId="0" fillId="0" borderId="12" xfId="0" applyNumberFormat="1" applyBorder="1" applyAlignment="1">
      <alignment/>
    </xf>
    <xf numFmtId="0" fontId="0" fillId="0" borderId="30" xfId="0" applyBorder="1" applyAlignment="1">
      <alignment/>
    </xf>
    <xf numFmtId="0" fontId="20" fillId="0" borderId="10" xfId="0" applyFont="1" applyBorder="1" applyAlignment="1">
      <alignment/>
    </xf>
    <xf numFmtId="0" fontId="20" fillId="0" borderId="0" xfId="0" applyFont="1" applyBorder="1" applyAlignment="1">
      <alignment/>
    </xf>
    <xf numFmtId="0" fontId="4" fillId="34" borderId="10" xfId="0" applyFont="1" applyFill="1" applyBorder="1" applyAlignment="1">
      <alignment/>
    </xf>
    <xf numFmtId="0" fontId="20" fillId="34" borderId="10" xfId="0" applyFont="1" applyFill="1" applyBorder="1" applyAlignment="1">
      <alignment/>
    </xf>
    <xf numFmtId="0" fontId="4"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44" fontId="0" fillId="0" borderId="0" xfId="0" applyNumberFormat="1" applyBorder="1" applyAlignment="1">
      <alignment/>
    </xf>
    <xf numFmtId="44" fontId="0" fillId="0" borderId="0" xfId="44" applyNumberFormat="1" applyFont="1" applyBorder="1" applyAlignment="1">
      <alignment/>
    </xf>
    <xf numFmtId="44" fontId="4" fillId="34" borderId="0" xfId="0" applyNumberFormat="1" applyFont="1" applyFill="1" applyBorder="1" applyAlignment="1">
      <alignment/>
    </xf>
    <xf numFmtId="0" fontId="0" fillId="0" borderId="31" xfId="0" applyBorder="1" applyAlignment="1">
      <alignment/>
    </xf>
    <xf numFmtId="0" fontId="0" fillId="0" borderId="32" xfId="0" applyBorder="1" applyAlignment="1">
      <alignment/>
    </xf>
    <xf numFmtId="0" fontId="4" fillId="0" borderId="0" xfId="0" applyFont="1" applyFill="1" applyBorder="1" applyAlignment="1">
      <alignment/>
    </xf>
    <xf numFmtId="190" fontId="4" fillId="0" borderId="0" xfId="0" applyNumberFormat="1" applyFont="1" applyFill="1" applyBorder="1" applyAlignment="1">
      <alignment/>
    </xf>
    <xf numFmtId="190" fontId="4" fillId="0" borderId="29" xfId="0" applyNumberFormat="1" applyFont="1" applyFill="1" applyBorder="1" applyAlignment="1">
      <alignment/>
    </xf>
    <xf numFmtId="190" fontId="0" fillId="0" borderId="0" xfId="0" applyNumberFormat="1" applyBorder="1" applyAlignment="1">
      <alignment/>
    </xf>
    <xf numFmtId="0" fontId="10" fillId="0" borderId="0" xfId="0" applyFont="1" applyBorder="1" applyAlignment="1">
      <alignment/>
    </xf>
    <xf numFmtId="0" fontId="4" fillId="33" borderId="33" xfId="0" applyFont="1" applyFill="1" applyBorder="1" applyAlignment="1">
      <alignment horizontal="right"/>
    </xf>
    <xf numFmtId="0" fontId="20" fillId="0" borderId="10" xfId="0" applyFont="1" applyFill="1" applyBorder="1" applyAlignment="1">
      <alignment/>
    </xf>
    <xf numFmtId="0" fontId="4" fillId="0" borderId="10" xfId="0" applyFont="1" applyFill="1" applyBorder="1" applyAlignment="1">
      <alignment/>
    </xf>
    <xf numFmtId="44" fontId="4" fillId="0" borderId="0" xfId="0" applyNumberFormat="1" applyFont="1" applyFill="1" applyBorder="1" applyAlignment="1">
      <alignment/>
    </xf>
    <xf numFmtId="44" fontId="4" fillId="0" borderId="0" xfId="44" applyFont="1" applyFill="1" applyBorder="1" applyAlignment="1">
      <alignment/>
    </xf>
    <xf numFmtId="44" fontId="4" fillId="0" borderId="0" xfId="0" applyNumberFormat="1" applyFont="1" applyBorder="1" applyAlignment="1">
      <alignment/>
    </xf>
    <xf numFmtId="44" fontId="4" fillId="34" borderId="29" xfId="0" applyNumberFormat="1" applyFont="1" applyFill="1" applyBorder="1" applyAlignment="1">
      <alignment/>
    </xf>
    <xf numFmtId="44" fontId="4" fillId="0" borderId="29" xfId="44" applyFont="1" applyFill="1" applyBorder="1" applyAlignment="1">
      <alignment/>
    </xf>
    <xf numFmtId="0" fontId="0" fillId="37" borderId="34" xfId="0" applyFont="1" applyFill="1" applyBorder="1" applyAlignment="1">
      <alignment wrapText="1" shrinkToFit="1"/>
    </xf>
    <xf numFmtId="0" fontId="4" fillId="0" borderId="11" xfId="0" applyFont="1" applyBorder="1" applyAlignment="1">
      <alignment/>
    </xf>
    <xf numFmtId="0" fontId="4" fillId="0" borderId="12" xfId="0" applyFont="1" applyBorder="1" applyAlignment="1">
      <alignment/>
    </xf>
    <xf numFmtId="4" fontId="4" fillId="0" borderId="12" xfId="0" applyNumberFormat="1" applyFont="1" applyBorder="1" applyAlignment="1">
      <alignment horizontal="center"/>
    </xf>
    <xf numFmtId="0" fontId="4" fillId="33" borderId="0" xfId="0" applyFont="1" applyFill="1" applyBorder="1" applyAlignment="1">
      <alignment/>
    </xf>
    <xf numFmtId="0" fontId="4" fillId="33" borderId="33" xfId="0" applyFont="1" applyFill="1" applyBorder="1" applyAlignment="1">
      <alignment/>
    </xf>
    <xf numFmtId="0" fontId="10" fillId="0" borderId="12" xfId="0" applyFont="1" applyBorder="1" applyAlignment="1">
      <alignment/>
    </xf>
    <xf numFmtId="0" fontId="0" fillId="33" borderId="29" xfId="0" applyFill="1" applyBorder="1" applyAlignment="1">
      <alignment/>
    </xf>
    <xf numFmtId="0" fontId="0" fillId="33" borderId="0" xfId="0" applyFill="1" applyBorder="1" applyAlignment="1">
      <alignment horizontal="right"/>
    </xf>
    <xf numFmtId="190" fontId="0" fillId="33" borderId="0" xfId="44" applyNumberFormat="1" applyFont="1" applyFill="1" applyBorder="1" applyAlignment="1">
      <alignment/>
    </xf>
    <xf numFmtId="190" fontId="4" fillId="33" borderId="29" xfId="44" applyNumberFormat="1" applyFont="1" applyFill="1" applyBorder="1" applyAlignment="1">
      <alignment horizontal="center"/>
    </xf>
    <xf numFmtId="9" fontId="0" fillId="33" borderId="0" xfId="60" applyFont="1" applyFill="1" applyBorder="1" applyAlignment="1">
      <alignment/>
    </xf>
    <xf numFmtId="9" fontId="0" fillId="33" borderId="12" xfId="60" applyFont="1" applyFill="1" applyBorder="1" applyAlignment="1">
      <alignment/>
    </xf>
    <xf numFmtId="0" fontId="0" fillId="33" borderId="30" xfId="0" applyFill="1" applyBorder="1" applyAlignment="1">
      <alignment/>
    </xf>
    <xf numFmtId="190" fontId="4" fillId="33" borderId="0" xfId="60" applyNumberFormat="1" applyFont="1" applyFill="1" applyBorder="1" applyAlignment="1">
      <alignment/>
    </xf>
    <xf numFmtId="10" fontId="4" fillId="33" borderId="0" xfId="0" applyNumberFormat="1" applyFont="1" applyFill="1" applyBorder="1" applyAlignment="1">
      <alignment/>
    </xf>
    <xf numFmtId="0" fontId="23" fillId="33" borderId="10" xfId="0" applyFont="1" applyFill="1" applyBorder="1" applyAlignment="1">
      <alignment horizontal="center"/>
    </xf>
    <xf numFmtId="0" fontId="23" fillId="33" borderId="0" xfId="0" applyFont="1" applyFill="1" applyBorder="1" applyAlignment="1">
      <alignment horizontal="center"/>
    </xf>
    <xf numFmtId="0" fontId="23" fillId="33" borderId="29" xfId="0" applyFont="1" applyFill="1" applyBorder="1" applyAlignment="1">
      <alignment horizontal="center"/>
    </xf>
    <xf numFmtId="44" fontId="0" fillId="34" borderId="0" xfId="0" applyNumberFormat="1" applyFill="1" applyBorder="1" applyAlignment="1">
      <alignment/>
    </xf>
    <xf numFmtId="0" fontId="10" fillId="34" borderId="0" xfId="0" applyFont="1" applyFill="1" applyBorder="1" applyAlignment="1">
      <alignment/>
    </xf>
    <xf numFmtId="16" fontId="0" fillId="0" borderId="35" xfId="57" applyNumberFormat="1" applyFont="1" applyBorder="1" applyAlignment="1">
      <alignment horizontal="center" vertical="center"/>
      <protection/>
    </xf>
    <xf numFmtId="44" fontId="0" fillId="37" borderId="36" xfId="0" applyNumberFormat="1" applyFont="1" applyFill="1" applyBorder="1" applyAlignment="1">
      <alignment horizontal="center"/>
    </xf>
    <xf numFmtId="44" fontId="0" fillId="37" borderId="36" xfId="42" applyNumberFormat="1" applyFont="1" applyFill="1" applyBorder="1" applyAlignment="1">
      <alignment horizontal="center"/>
    </xf>
    <xf numFmtId="44" fontId="0" fillId="37" borderId="37" xfId="42" applyNumberFormat="1" applyFont="1" applyFill="1" applyBorder="1" applyAlignment="1">
      <alignment horizontal="center"/>
    </xf>
    <xf numFmtId="44" fontId="4" fillId="0" borderId="30" xfId="0" applyNumberFormat="1" applyFont="1" applyBorder="1" applyAlignment="1">
      <alignment horizontal="center"/>
    </xf>
    <xf numFmtId="44" fontId="4" fillId="0" borderId="12" xfId="0" applyNumberFormat="1" applyFont="1" applyBorder="1" applyAlignment="1">
      <alignment horizontal="center"/>
    </xf>
    <xf numFmtId="0" fontId="4" fillId="0" borderId="10" xfId="0" applyFont="1" applyFill="1" applyBorder="1" applyAlignment="1">
      <alignment/>
    </xf>
    <xf numFmtId="44" fontId="0" fillId="0" borderId="0" xfId="0" applyNumberFormat="1" applyFill="1" applyBorder="1" applyAlignment="1">
      <alignment/>
    </xf>
    <xf numFmtId="0" fontId="4" fillId="0" borderId="10" xfId="0" applyFont="1" applyBorder="1" applyAlignment="1">
      <alignment/>
    </xf>
    <xf numFmtId="10" fontId="4" fillId="33" borderId="38" xfId="60" applyNumberFormat="1" applyFont="1" applyFill="1" applyBorder="1" applyAlignment="1">
      <alignment/>
    </xf>
    <xf numFmtId="10" fontId="4" fillId="33" borderId="38" xfId="0" applyNumberFormat="1" applyFont="1" applyFill="1" applyBorder="1" applyAlignment="1">
      <alignment/>
    </xf>
    <xf numFmtId="10" fontId="4" fillId="33" borderId="0" xfId="0" applyNumberFormat="1" applyFont="1" applyFill="1" applyBorder="1" applyAlignment="1">
      <alignment horizontal="right"/>
    </xf>
    <xf numFmtId="44" fontId="0" fillId="0" borderId="29" xfId="0" applyNumberFormat="1" applyBorder="1" applyAlignment="1">
      <alignment/>
    </xf>
    <xf numFmtId="0" fontId="19" fillId="34" borderId="0" xfId="0" applyFont="1" applyFill="1" applyBorder="1" applyAlignment="1">
      <alignment/>
    </xf>
    <xf numFmtId="44" fontId="0" fillId="34" borderId="0" xfId="44" applyFont="1" applyFill="1" applyBorder="1" applyAlignment="1">
      <alignment/>
    </xf>
    <xf numFmtId="6" fontId="0" fillId="0" borderId="18" xfId="60" applyNumberFormat="1" applyFont="1" applyBorder="1" applyAlignment="1">
      <alignment horizontal="center" vertical="center"/>
    </xf>
    <xf numFmtId="6" fontId="15" fillId="35" borderId="19" xfId="60" applyNumberFormat="1" applyFont="1" applyFill="1" applyBorder="1" applyAlignment="1">
      <alignment horizontal="center" vertical="center"/>
    </xf>
    <xf numFmtId="0" fontId="0" fillId="37" borderId="0" xfId="0" applyFill="1" applyBorder="1" applyAlignment="1">
      <alignment/>
    </xf>
    <xf numFmtId="178" fontId="4" fillId="0" borderId="28" xfId="0" applyNumberFormat="1" applyFont="1" applyBorder="1" applyAlignment="1">
      <alignment horizontal="center"/>
    </xf>
    <xf numFmtId="178" fontId="3" fillId="38" borderId="28" xfId="60" applyNumberFormat="1" applyFont="1" applyFill="1" applyBorder="1" applyAlignment="1">
      <alignment horizontal="center"/>
    </xf>
    <xf numFmtId="0" fontId="0" fillId="0" borderId="0" xfId="0" applyFont="1" applyFill="1" applyAlignment="1">
      <alignment/>
    </xf>
    <xf numFmtId="0" fontId="0" fillId="34" borderId="0" xfId="0" applyFont="1" applyFill="1" applyBorder="1" applyAlignment="1">
      <alignment/>
    </xf>
    <xf numFmtId="3" fontId="0" fillId="34" borderId="0" xfId="0" applyNumberFormat="1" applyFont="1" applyFill="1" applyBorder="1" applyAlignment="1">
      <alignment/>
    </xf>
    <xf numFmtId="3" fontId="0" fillId="34" borderId="12" xfId="0" applyNumberFormat="1" applyFont="1" applyFill="1" applyBorder="1" applyAlignment="1">
      <alignment/>
    </xf>
    <xf numFmtId="0" fontId="0" fillId="0" borderId="10" xfId="0" applyFont="1" applyFill="1" applyBorder="1" applyAlignment="1">
      <alignment/>
    </xf>
    <xf numFmtId="9" fontId="0" fillId="0" borderId="0" xfId="0" applyNumberFormat="1" applyFont="1" applyFill="1" applyBorder="1" applyAlignment="1">
      <alignment/>
    </xf>
    <xf numFmtId="41" fontId="0" fillId="0" borderId="0" xfId="42" applyNumberFormat="1" applyFont="1" applyFill="1" applyBorder="1" applyAlignment="1">
      <alignment/>
    </xf>
    <xf numFmtId="203" fontId="0" fillId="0" borderId="0" xfId="42" applyNumberFormat="1" applyFont="1" applyFill="1" applyBorder="1" applyAlignment="1">
      <alignment/>
    </xf>
    <xf numFmtId="8" fontId="0" fillId="0" borderId="0"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2" xfId="0" applyNumberFormat="1" applyFont="1" applyFill="1" applyBorder="1" applyAlignment="1">
      <alignment/>
    </xf>
    <xf numFmtId="3" fontId="0" fillId="0" borderId="12" xfId="0" applyNumberFormat="1"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wrapText="1"/>
    </xf>
    <xf numFmtId="9" fontId="0" fillId="0" borderId="12" xfId="0" applyNumberFormat="1" applyFont="1" applyFill="1" applyBorder="1" applyAlignment="1">
      <alignment/>
    </xf>
    <xf numFmtId="0" fontId="0" fillId="0" borderId="30" xfId="0" applyFont="1" applyFill="1" applyBorder="1" applyAlignment="1">
      <alignment/>
    </xf>
    <xf numFmtId="0" fontId="0" fillId="34" borderId="12" xfId="0" applyFont="1" applyFill="1" applyBorder="1" applyAlignment="1">
      <alignment/>
    </xf>
    <xf numFmtId="3" fontId="0" fillId="34" borderId="39" xfId="0" applyNumberFormat="1" applyFont="1" applyFill="1" applyBorder="1" applyAlignment="1">
      <alignment/>
    </xf>
    <xf numFmtId="0" fontId="0" fillId="34" borderId="40" xfId="0" applyFont="1" applyFill="1" applyBorder="1" applyAlignment="1">
      <alignment/>
    </xf>
    <xf numFmtId="0" fontId="0" fillId="0" borderId="29" xfId="0" applyFont="1" applyFill="1" applyBorder="1" applyAlignment="1">
      <alignment/>
    </xf>
    <xf numFmtId="0" fontId="0" fillId="0" borderId="19" xfId="0" applyFont="1" applyFill="1" applyBorder="1" applyAlignment="1">
      <alignment/>
    </xf>
    <xf numFmtId="41" fontId="0" fillId="0" borderId="20" xfId="42" applyNumberFormat="1" applyFont="1" applyFill="1" applyBorder="1" applyAlignment="1">
      <alignment/>
    </xf>
    <xf numFmtId="0" fontId="0" fillId="0" borderId="23" xfId="0" applyFont="1" applyFill="1" applyBorder="1" applyAlignment="1">
      <alignment/>
    </xf>
    <xf numFmtId="41" fontId="0" fillId="0" borderId="22" xfId="42" applyNumberFormat="1" applyFont="1" applyFill="1" applyBorder="1" applyAlignment="1">
      <alignment/>
    </xf>
    <xf numFmtId="41" fontId="0" fillId="0" borderId="24" xfId="42" applyNumberFormat="1" applyFont="1" applyFill="1" applyBorder="1" applyAlignment="1">
      <alignment/>
    </xf>
    <xf numFmtId="203" fontId="0" fillId="0" borderId="20" xfId="42" applyNumberFormat="1" applyFont="1" applyFill="1" applyBorder="1" applyAlignment="1">
      <alignment/>
    </xf>
    <xf numFmtId="8" fontId="0" fillId="0" borderId="20" xfId="0" applyNumberFormat="1" applyFont="1" applyFill="1" applyBorder="1" applyAlignment="1">
      <alignment/>
    </xf>
    <xf numFmtId="8" fontId="0" fillId="0" borderId="22" xfId="0" applyNumberFormat="1" applyFont="1" applyFill="1" applyBorder="1" applyAlignment="1">
      <alignment/>
    </xf>
    <xf numFmtId="8" fontId="0" fillId="0" borderId="24" xfId="0" applyNumberFormat="1" applyFont="1" applyFill="1" applyBorder="1" applyAlignment="1">
      <alignment/>
    </xf>
    <xf numFmtId="3" fontId="4" fillId="38" borderId="33" xfId="44" applyNumberFormat="1" applyFont="1" applyFill="1" applyBorder="1" applyAlignment="1">
      <alignment/>
    </xf>
    <xf numFmtId="10" fontId="4" fillId="38" borderId="38" xfId="60" applyNumberFormat="1" applyFont="1" applyFill="1" applyBorder="1" applyAlignment="1">
      <alignment/>
    </xf>
    <xf numFmtId="0" fontId="0" fillId="0" borderId="20" xfId="0" applyFont="1" applyFill="1" applyBorder="1" applyAlignment="1">
      <alignment horizontal="right"/>
    </xf>
    <xf numFmtId="0" fontId="0" fillId="37" borderId="0" xfId="0" applyFont="1" applyFill="1" applyBorder="1" applyAlignment="1">
      <alignment/>
    </xf>
    <xf numFmtId="190" fontId="0" fillId="37" borderId="0" xfId="0" applyNumberFormat="1" applyFont="1" applyFill="1" applyBorder="1" applyAlignment="1">
      <alignment/>
    </xf>
    <xf numFmtId="190" fontId="0" fillId="37" borderId="0" xfId="44" applyNumberFormat="1" applyFont="1" applyFill="1" applyBorder="1" applyAlignment="1">
      <alignment/>
    </xf>
    <xf numFmtId="0" fontId="0" fillId="37" borderId="0" xfId="0" applyFont="1" applyFill="1" applyBorder="1" applyAlignment="1">
      <alignment horizontal="right"/>
    </xf>
    <xf numFmtId="180" fontId="0" fillId="37" borderId="0" xfId="0" applyNumberFormat="1" applyFont="1" applyFill="1" applyBorder="1" applyAlignment="1">
      <alignment/>
    </xf>
    <xf numFmtId="8" fontId="0" fillId="37" borderId="0" xfId="0" applyNumberFormat="1" applyFont="1" applyFill="1" applyBorder="1" applyAlignment="1">
      <alignment/>
    </xf>
    <xf numFmtId="204" fontId="0" fillId="37" borderId="0" xfId="0" applyNumberFormat="1" applyFont="1" applyFill="1" applyBorder="1" applyAlignment="1">
      <alignment/>
    </xf>
    <xf numFmtId="3" fontId="0" fillId="37" borderId="0" xfId="0" applyNumberFormat="1" applyFont="1" applyFill="1" applyBorder="1" applyAlignment="1">
      <alignment/>
    </xf>
    <xf numFmtId="209" fontId="0" fillId="37" borderId="0" xfId="0" applyNumberFormat="1" applyFont="1" applyFill="1" applyBorder="1" applyAlignment="1">
      <alignment/>
    </xf>
    <xf numFmtId="0" fontId="21" fillId="37" borderId="0" xfId="0" applyFont="1" applyFill="1" applyBorder="1" applyAlignment="1">
      <alignment/>
    </xf>
    <xf numFmtId="0" fontId="24" fillId="37" borderId="0" xfId="0" applyFont="1" applyFill="1" applyBorder="1" applyAlignment="1">
      <alignment/>
    </xf>
    <xf numFmtId="0" fontId="0" fillId="37" borderId="0" xfId="0" applyFont="1" applyFill="1" applyBorder="1" applyAlignment="1">
      <alignment wrapText="1"/>
    </xf>
    <xf numFmtId="9" fontId="0" fillId="37" borderId="0" xfId="0" applyNumberFormat="1" applyFont="1" applyFill="1" applyBorder="1" applyAlignment="1">
      <alignment/>
    </xf>
    <xf numFmtId="41" fontId="0" fillId="37" borderId="0" xfId="42" applyNumberFormat="1" applyFont="1" applyFill="1" applyBorder="1" applyAlignment="1">
      <alignment/>
    </xf>
    <xf numFmtId="0" fontId="8" fillId="37" borderId="0" xfId="0" applyFont="1" applyFill="1" applyBorder="1" applyAlignment="1">
      <alignment/>
    </xf>
    <xf numFmtId="43" fontId="8" fillId="37" borderId="0" xfId="0" applyNumberFormat="1" applyFont="1" applyFill="1" applyBorder="1" applyAlignment="1">
      <alignment horizontal="right"/>
    </xf>
    <xf numFmtId="43" fontId="8" fillId="37" borderId="0" xfId="0" applyNumberFormat="1" applyFont="1" applyFill="1" applyBorder="1" applyAlignment="1">
      <alignment/>
    </xf>
    <xf numFmtId="0" fontId="25" fillId="37" borderId="0" xfId="0" applyFont="1" applyFill="1" applyBorder="1" applyAlignment="1">
      <alignment/>
    </xf>
    <xf numFmtId="175" fontId="0" fillId="37" borderId="0" xfId="0" applyNumberFormat="1" applyFont="1" applyFill="1" applyBorder="1" applyAlignment="1">
      <alignment/>
    </xf>
    <xf numFmtId="0" fontId="0" fillId="37" borderId="12" xfId="0" applyFont="1" applyFill="1" applyBorder="1" applyAlignment="1">
      <alignment/>
    </xf>
    <xf numFmtId="3" fontId="0" fillId="37" borderId="0" xfId="44" applyNumberFormat="1" applyFont="1" applyFill="1" applyBorder="1" applyAlignment="1">
      <alignment/>
    </xf>
    <xf numFmtId="3" fontId="3" fillId="37" borderId="0" xfId="0" applyNumberFormat="1" applyFont="1" applyFill="1" applyBorder="1" applyAlignment="1">
      <alignment wrapText="1"/>
    </xf>
    <xf numFmtId="0" fontId="8" fillId="37" borderId="0" xfId="0" applyFont="1" applyFill="1" applyBorder="1" applyAlignment="1">
      <alignment wrapText="1"/>
    </xf>
    <xf numFmtId="0" fontId="3" fillId="37" borderId="0" xfId="0" applyFont="1" applyFill="1" applyBorder="1" applyAlignment="1">
      <alignment wrapText="1"/>
    </xf>
    <xf numFmtId="3" fontId="8" fillId="37" borderId="0" xfId="0" applyNumberFormat="1" applyFont="1" applyFill="1" applyBorder="1" applyAlignment="1">
      <alignment/>
    </xf>
    <xf numFmtId="199" fontId="8" fillId="37" borderId="0" xfId="42" applyNumberFormat="1" applyFont="1" applyFill="1" applyBorder="1" applyAlignment="1">
      <alignment/>
    </xf>
    <xf numFmtId="198" fontId="8" fillId="37" borderId="0" xfId="42" applyNumberFormat="1" applyFont="1" applyFill="1" applyBorder="1" applyAlignment="1">
      <alignment/>
    </xf>
    <xf numFmtId="41" fontId="0" fillId="37" borderId="0" xfId="0" applyNumberFormat="1" applyFont="1" applyFill="1" applyBorder="1" applyAlignment="1">
      <alignment/>
    </xf>
    <xf numFmtId="0" fontId="0" fillId="0" borderId="10" xfId="0" applyFont="1" applyFill="1" applyBorder="1" applyAlignment="1">
      <alignment wrapText="1" shrinkToFit="1"/>
    </xf>
    <xf numFmtId="44" fontId="0" fillId="0" borderId="29" xfId="0" applyNumberFormat="1" applyFill="1" applyBorder="1" applyAlignment="1">
      <alignment/>
    </xf>
    <xf numFmtId="44" fontId="4" fillId="34" borderId="0" xfId="0" applyNumberFormat="1" applyFont="1" applyFill="1" applyBorder="1" applyAlignment="1">
      <alignment/>
    </xf>
    <xf numFmtId="44" fontId="0" fillId="34" borderId="29" xfId="0" applyNumberFormat="1" applyFill="1" applyBorder="1" applyAlignment="1">
      <alignment/>
    </xf>
    <xf numFmtId="44" fontId="4" fillId="34" borderId="29" xfId="0" applyNumberFormat="1" applyFont="1" applyFill="1" applyBorder="1" applyAlignment="1">
      <alignment/>
    </xf>
    <xf numFmtId="0" fontId="4" fillId="0" borderId="10" xfId="0" applyFont="1" applyFill="1" applyBorder="1" applyAlignment="1">
      <alignment wrapText="1" shrinkToFit="1"/>
    </xf>
    <xf numFmtId="0" fontId="4" fillId="0" borderId="10" xfId="0" applyFont="1" applyFill="1" applyBorder="1" applyAlignment="1">
      <alignment vertical="justify" wrapText="1" shrinkToFit="1"/>
    </xf>
    <xf numFmtId="0" fontId="4" fillId="0" borderId="22" xfId="0" applyFont="1" applyBorder="1" applyAlignment="1">
      <alignment horizontal="center"/>
    </xf>
    <xf numFmtId="0" fontId="4" fillId="0" borderId="23" xfId="0" applyFont="1" applyBorder="1" applyAlignment="1">
      <alignment horizontal="center"/>
    </xf>
    <xf numFmtId="0" fontId="4" fillId="0" borderId="41" xfId="0" applyFont="1" applyFill="1" applyBorder="1" applyAlignment="1">
      <alignment/>
    </xf>
    <xf numFmtId="0" fontId="4" fillId="0" borderId="41" xfId="0" applyFont="1" applyFill="1" applyBorder="1" applyAlignment="1">
      <alignment horizontal="right"/>
    </xf>
    <xf numFmtId="0" fontId="4" fillId="0" borderId="22" xfId="0" applyFont="1" applyFill="1" applyBorder="1" applyAlignment="1">
      <alignment horizontal="center"/>
    </xf>
    <xf numFmtId="0" fontId="4" fillId="0" borderId="22" xfId="0" applyFont="1" applyFill="1" applyBorder="1" applyAlignment="1">
      <alignment horizontal="center" wrapText="1"/>
    </xf>
    <xf numFmtId="0" fontId="4" fillId="0" borderId="42" xfId="0" applyFont="1" applyFill="1" applyBorder="1" applyAlignment="1">
      <alignment horizontal="center"/>
    </xf>
    <xf numFmtId="9" fontId="4" fillId="33" borderId="38" xfId="0" applyNumberFormat="1" applyFont="1" applyFill="1" applyBorder="1" applyAlignment="1">
      <alignment/>
    </xf>
    <xf numFmtId="2" fontId="4" fillId="0" borderId="12" xfId="0" applyNumberFormat="1" applyFont="1" applyBorder="1" applyAlignment="1">
      <alignment horizontal="center"/>
    </xf>
    <xf numFmtId="0" fontId="4" fillId="39" borderId="43" xfId="0" applyFont="1" applyFill="1" applyBorder="1" applyAlignment="1">
      <alignment horizontal="center" vertical="center" wrapText="1"/>
    </xf>
    <xf numFmtId="0" fontId="0" fillId="37" borderId="28" xfId="0" applyFont="1" applyFill="1" applyBorder="1" applyAlignment="1">
      <alignment/>
    </xf>
    <xf numFmtId="2" fontId="0" fillId="37" borderId="28" xfId="42" applyNumberFormat="1" applyFont="1" applyFill="1" applyBorder="1" applyAlignment="1">
      <alignment horizontal="center"/>
    </xf>
    <xf numFmtId="4" fontId="0" fillId="37" borderId="28" xfId="0" applyNumberFormat="1" applyFont="1" applyFill="1" applyBorder="1" applyAlignment="1">
      <alignment horizontal="center"/>
    </xf>
    <xf numFmtId="44" fontId="0" fillId="37" borderId="28" xfId="0" applyNumberFormat="1" applyFont="1" applyFill="1" applyBorder="1" applyAlignment="1">
      <alignment horizontal="center"/>
    </xf>
    <xf numFmtId="2" fontId="0" fillId="37" borderId="28" xfId="0" applyNumberFormat="1" applyFont="1" applyFill="1" applyBorder="1" applyAlignment="1">
      <alignment horizontal="center"/>
    </xf>
    <xf numFmtId="0" fontId="0" fillId="37" borderId="44" xfId="0" applyFont="1" applyFill="1" applyBorder="1" applyAlignment="1">
      <alignment vertical="justify" wrapText="1" shrinkToFit="1"/>
    </xf>
    <xf numFmtId="0" fontId="0" fillId="37" borderId="45" xfId="0" applyFont="1" applyFill="1" applyBorder="1" applyAlignment="1">
      <alignment/>
    </xf>
    <xf numFmtId="2" fontId="0" fillId="37" borderId="45" xfId="42" applyNumberFormat="1" applyFont="1" applyFill="1" applyBorder="1" applyAlignment="1">
      <alignment horizontal="center"/>
    </xf>
    <xf numFmtId="2" fontId="0" fillId="37" borderId="45" xfId="0" applyNumberFormat="1" applyFont="1" applyFill="1" applyBorder="1" applyAlignment="1">
      <alignment horizontal="center"/>
    </xf>
    <xf numFmtId="4" fontId="0" fillId="37" borderId="45" xfId="0" applyNumberFormat="1" applyFont="1" applyFill="1" applyBorder="1" applyAlignment="1">
      <alignment horizontal="center"/>
    </xf>
    <xf numFmtId="44" fontId="0" fillId="37" borderId="45" xfId="0" applyNumberFormat="1" applyFont="1" applyFill="1" applyBorder="1" applyAlignment="1">
      <alignment horizontal="center"/>
    </xf>
    <xf numFmtId="0" fontId="0" fillId="0" borderId="41" xfId="0" applyFont="1" applyFill="1" applyBorder="1" applyAlignment="1">
      <alignment/>
    </xf>
    <xf numFmtId="0" fontId="0" fillId="0" borderId="46" xfId="0" applyFont="1" applyFill="1" applyBorder="1" applyAlignment="1">
      <alignment/>
    </xf>
    <xf numFmtId="4" fontId="0" fillId="0" borderId="0" xfId="0" applyNumberFormat="1" applyFont="1" applyFill="1" applyBorder="1" applyAlignment="1">
      <alignment/>
    </xf>
    <xf numFmtId="2" fontId="0" fillId="0" borderId="0" xfId="0" applyNumberFormat="1" applyFont="1" applyFill="1" applyBorder="1" applyAlignment="1">
      <alignment/>
    </xf>
    <xf numFmtId="175" fontId="0" fillId="0" borderId="12" xfId="0" applyNumberFormat="1" applyFont="1" applyFill="1" applyBorder="1" applyAlignment="1">
      <alignment/>
    </xf>
    <xf numFmtId="0" fontId="0" fillId="0" borderId="47" xfId="0" applyFont="1" applyBorder="1" applyAlignment="1">
      <alignment/>
    </xf>
    <xf numFmtId="0" fontId="0" fillId="34" borderId="10" xfId="0" applyFont="1" applyFill="1" applyBorder="1" applyAlignment="1">
      <alignment wrapText="1" shrinkToFit="1"/>
    </xf>
    <xf numFmtId="0" fontId="0" fillId="34" borderId="0" xfId="0" applyFont="1" applyFill="1" applyAlignment="1">
      <alignment/>
    </xf>
    <xf numFmtId="0" fontId="0" fillId="34" borderId="29" xfId="0" applyFont="1" applyFill="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35" xfId="0" applyFont="1" applyFill="1" applyBorder="1" applyAlignment="1">
      <alignment horizontal="right"/>
    </xf>
    <xf numFmtId="175" fontId="0" fillId="0" borderId="0" xfId="0" applyNumberFormat="1" applyFont="1" applyFill="1" applyBorder="1" applyAlignment="1">
      <alignment horizontal="right"/>
    </xf>
    <xf numFmtId="44" fontId="0" fillId="0" borderId="0" xfId="0" applyNumberFormat="1" applyFont="1" applyFill="1" applyBorder="1" applyAlignment="1">
      <alignment horizontal="right"/>
    </xf>
    <xf numFmtId="44" fontId="0" fillId="0" borderId="20" xfId="0" applyNumberFormat="1" applyFont="1" applyFill="1" applyBorder="1" applyAlignment="1">
      <alignment horizontal="right"/>
    </xf>
    <xf numFmtId="0" fontId="0" fillId="34" borderId="24" xfId="0" applyFont="1" applyFill="1" applyBorder="1" applyAlignment="1">
      <alignment horizontal="right"/>
    </xf>
    <xf numFmtId="44" fontId="0" fillId="34" borderId="22" xfId="0" applyNumberFormat="1" applyFont="1" applyFill="1" applyBorder="1" applyAlignment="1">
      <alignment horizontal="right"/>
    </xf>
    <xf numFmtId="44" fontId="0" fillId="34" borderId="24" xfId="0" applyNumberFormat="1" applyFont="1" applyFill="1" applyBorder="1" applyAlignment="1">
      <alignment horizontal="right"/>
    </xf>
    <xf numFmtId="175" fontId="0" fillId="0" borderId="20" xfId="0" applyNumberFormat="1" applyFont="1" applyFill="1" applyBorder="1" applyAlignment="1">
      <alignment horizontal="right"/>
    </xf>
    <xf numFmtId="175" fontId="0" fillId="34" borderId="24" xfId="0" applyNumberFormat="1" applyFont="1" applyFill="1" applyBorder="1" applyAlignment="1">
      <alignment horizontal="right"/>
    </xf>
    <xf numFmtId="0" fontId="0" fillId="0" borderId="41" xfId="0" applyFont="1" applyFill="1" applyBorder="1" applyAlignment="1">
      <alignment horizontal="right" wrapText="1"/>
    </xf>
    <xf numFmtId="0" fontId="4" fillId="39" borderId="50" xfId="0" applyFont="1" applyFill="1" applyBorder="1" applyAlignment="1">
      <alignment horizontal="center" vertical="center" wrapText="1"/>
    </xf>
    <xf numFmtId="0" fontId="0" fillId="0" borderId="12" xfId="0" applyFont="1" applyBorder="1" applyAlignment="1">
      <alignment/>
    </xf>
    <xf numFmtId="0" fontId="0" fillId="0" borderId="28" xfId="0" applyFont="1" applyBorder="1" applyAlignment="1">
      <alignment horizontal="center"/>
    </xf>
    <xf numFmtId="0" fontId="0" fillId="0" borderId="28" xfId="0" applyFont="1" applyFill="1" applyBorder="1" applyAlignment="1">
      <alignment horizontal="center"/>
    </xf>
    <xf numFmtId="0" fontId="0" fillId="0" borderId="45" xfId="0" applyFont="1" applyFill="1" applyBorder="1" applyAlignment="1">
      <alignment horizontal="center"/>
    </xf>
    <xf numFmtId="0" fontId="0" fillId="37" borderId="0" xfId="0" applyFont="1" applyFill="1" applyAlignment="1">
      <alignment/>
    </xf>
    <xf numFmtId="0" fontId="12" fillId="37" borderId="0" xfId="0" applyFont="1" applyFill="1" applyAlignment="1">
      <alignment/>
    </xf>
    <xf numFmtId="44" fontId="0" fillId="37" borderId="0" xfId="0" applyNumberFormat="1" applyFont="1" applyFill="1" applyAlignment="1">
      <alignment/>
    </xf>
    <xf numFmtId="0" fontId="4" fillId="37" borderId="0" xfId="0" applyFont="1" applyFill="1" applyAlignment="1">
      <alignment/>
    </xf>
    <xf numFmtId="0" fontId="4" fillId="34" borderId="52" xfId="0" applyFont="1" applyFill="1" applyBorder="1" applyAlignment="1">
      <alignment/>
    </xf>
    <xf numFmtId="0" fontId="4" fillId="34" borderId="53" xfId="0" applyFont="1" applyFill="1" applyBorder="1" applyAlignment="1">
      <alignment/>
    </xf>
    <xf numFmtId="0" fontId="4" fillId="0" borderId="42" xfId="0" applyFont="1" applyBorder="1" applyAlignment="1">
      <alignment horizontal="center"/>
    </xf>
    <xf numFmtId="0" fontId="0" fillId="0" borderId="24" xfId="57" applyFont="1" applyBorder="1" applyAlignment="1">
      <alignment vertical="center" wrapText="1"/>
      <protection/>
    </xf>
    <xf numFmtId="0" fontId="0" fillId="37" borderId="0" xfId="0" applyFill="1" applyAlignment="1">
      <alignment/>
    </xf>
    <xf numFmtId="9" fontId="0" fillId="37" borderId="0" xfId="60" applyFont="1" applyFill="1" applyAlignment="1">
      <alignment/>
    </xf>
    <xf numFmtId="190" fontId="0" fillId="37" borderId="0" xfId="0" applyNumberFormat="1" applyFill="1" applyAlignment="1">
      <alignment/>
    </xf>
    <xf numFmtId="0" fontId="0" fillId="37" borderId="54" xfId="0" applyFill="1" applyBorder="1" applyAlignment="1">
      <alignment/>
    </xf>
    <xf numFmtId="0" fontId="10" fillId="37" borderId="54" xfId="0" applyFont="1" applyFill="1" applyBorder="1" applyAlignment="1">
      <alignment/>
    </xf>
    <xf numFmtId="0" fontId="0" fillId="37" borderId="55" xfId="0" applyFill="1" applyBorder="1" applyAlignment="1">
      <alignment/>
    </xf>
    <xf numFmtId="0" fontId="10" fillId="37" borderId="0" xfId="0" applyFont="1" applyFill="1" applyBorder="1" applyAlignment="1">
      <alignment/>
    </xf>
    <xf numFmtId="44" fontId="0" fillId="37" borderId="0" xfId="0" applyNumberFormat="1" applyFill="1" applyBorder="1" applyAlignment="1">
      <alignment/>
    </xf>
    <xf numFmtId="0" fontId="0" fillId="37" borderId="0" xfId="0" applyFill="1" applyBorder="1" applyAlignment="1">
      <alignment horizontal="center"/>
    </xf>
    <xf numFmtId="0" fontId="10" fillId="37" borderId="0" xfId="0" applyFont="1" applyFill="1" applyAlignment="1">
      <alignment/>
    </xf>
    <xf numFmtId="44" fontId="0" fillId="37" borderId="0" xfId="44" applyFont="1" applyFill="1" applyAlignment="1">
      <alignment/>
    </xf>
    <xf numFmtId="43" fontId="0" fillId="37" borderId="0" xfId="42" applyFont="1" applyFill="1" applyAlignment="1">
      <alignment/>
    </xf>
    <xf numFmtId="44" fontId="0" fillId="37" borderId="0" xfId="0" applyNumberFormat="1" applyFill="1" applyBorder="1" applyAlignment="1">
      <alignment horizontal="center"/>
    </xf>
    <xf numFmtId="190" fontId="0" fillId="37" borderId="0" xfId="44" applyNumberFormat="1" applyFont="1" applyFill="1" applyAlignment="1">
      <alignment/>
    </xf>
    <xf numFmtId="0" fontId="20" fillId="33" borderId="0" xfId="0" applyFont="1" applyFill="1" applyBorder="1" applyAlignment="1">
      <alignment horizontal="right"/>
    </xf>
    <xf numFmtId="190" fontId="0" fillId="37" borderId="0" xfId="0" applyNumberFormat="1" applyFill="1" applyBorder="1" applyAlignment="1">
      <alignment/>
    </xf>
    <xf numFmtId="0" fontId="0" fillId="0" borderId="56" xfId="0" applyBorder="1" applyAlignment="1">
      <alignment horizontal="right"/>
    </xf>
    <xf numFmtId="5" fontId="0" fillId="36" borderId="18" xfId="60" applyNumberFormat="1" applyFont="1" applyFill="1" applyBorder="1" applyAlignment="1">
      <alignment horizontal="center" vertical="center"/>
    </xf>
    <xf numFmtId="44" fontId="0" fillId="34" borderId="29" xfId="44" applyFont="1" applyFill="1" applyBorder="1" applyAlignment="1">
      <alignment/>
    </xf>
    <xf numFmtId="49" fontId="0" fillId="37" borderId="0" xfId="0" applyNumberFormat="1" applyFill="1" applyBorder="1" applyAlignment="1">
      <alignment horizontal="justify" vertical="center" wrapText="1"/>
    </xf>
    <xf numFmtId="0" fontId="0" fillId="39" borderId="50" xfId="0" applyFill="1" applyBorder="1" applyAlignment="1">
      <alignment/>
    </xf>
    <xf numFmtId="0" fontId="22" fillId="39" borderId="49" xfId="0" applyFont="1" applyFill="1" applyBorder="1" applyAlignment="1">
      <alignment/>
    </xf>
    <xf numFmtId="0" fontId="0" fillId="39" borderId="51" xfId="0" applyFill="1" applyBorder="1" applyAlignment="1">
      <alignment/>
    </xf>
    <xf numFmtId="0" fontId="10" fillId="39" borderId="50" xfId="0" applyFont="1" applyFill="1" applyBorder="1" applyAlignment="1">
      <alignment/>
    </xf>
    <xf numFmtId="0" fontId="4" fillId="39" borderId="27" xfId="0" applyFont="1" applyFill="1" applyBorder="1" applyAlignment="1">
      <alignment/>
    </xf>
    <xf numFmtId="0" fontId="0" fillId="39" borderId="26" xfId="0" applyFont="1" applyFill="1" applyBorder="1" applyAlignment="1">
      <alignment/>
    </xf>
    <xf numFmtId="190" fontId="0" fillId="39" borderId="26" xfId="42" applyNumberFormat="1" applyFont="1" applyFill="1" applyBorder="1" applyAlignment="1">
      <alignment/>
    </xf>
    <xf numFmtId="0" fontId="0" fillId="39" borderId="35" xfId="0" applyFont="1" applyFill="1" applyBorder="1" applyAlignment="1">
      <alignment/>
    </xf>
    <xf numFmtId="0" fontId="0" fillId="39" borderId="19" xfId="0" applyFont="1" applyFill="1" applyBorder="1" applyAlignment="1">
      <alignment/>
    </xf>
    <xf numFmtId="0" fontId="0" fillId="39" borderId="0" xfId="0" applyFont="1" applyFill="1" applyBorder="1" applyAlignment="1">
      <alignment/>
    </xf>
    <xf numFmtId="190" fontId="0" fillId="39" borderId="0" xfId="0" applyNumberFormat="1" applyFont="1" applyFill="1" applyBorder="1" applyAlignment="1">
      <alignment/>
    </xf>
    <xf numFmtId="0" fontId="0" fillId="39" borderId="0" xfId="0" applyFont="1" applyFill="1" applyBorder="1" applyAlignment="1">
      <alignment horizontal="right"/>
    </xf>
    <xf numFmtId="0" fontId="0" fillId="39" borderId="20" xfId="0" applyFont="1" applyFill="1" applyBorder="1" applyAlignment="1">
      <alignment horizontal="right"/>
    </xf>
    <xf numFmtId="0" fontId="0" fillId="39" borderId="20" xfId="0" applyFont="1" applyFill="1" applyBorder="1" applyAlignment="1">
      <alignment/>
    </xf>
    <xf numFmtId="0" fontId="4" fillId="39" borderId="19" xfId="0" applyFont="1" applyFill="1" applyBorder="1" applyAlignment="1">
      <alignment/>
    </xf>
    <xf numFmtId="0" fontId="0" fillId="37" borderId="19" xfId="0" applyFont="1" applyFill="1" applyBorder="1" applyAlignment="1">
      <alignment/>
    </xf>
    <xf numFmtId="190" fontId="0" fillId="37" borderId="0" xfId="42" applyNumberFormat="1" applyFont="1" applyFill="1" applyBorder="1" applyAlignment="1">
      <alignment/>
    </xf>
    <xf numFmtId="190" fontId="0" fillId="37" borderId="20" xfId="44" applyNumberFormat="1" applyFont="1" applyFill="1" applyBorder="1" applyAlignment="1">
      <alignment/>
    </xf>
    <xf numFmtId="0" fontId="0" fillId="37" borderId="20" xfId="0" applyFont="1" applyFill="1" applyBorder="1" applyAlignment="1">
      <alignment horizontal="right"/>
    </xf>
    <xf numFmtId="0" fontId="0" fillId="37" borderId="0" xfId="0" applyFont="1" applyFill="1" applyBorder="1" applyAlignment="1">
      <alignment horizontal="center"/>
    </xf>
    <xf numFmtId="0" fontId="0" fillId="37" borderId="20" xfId="0" applyFont="1" applyFill="1" applyBorder="1" applyAlignment="1">
      <alignment horizontal="center"/>
    </xf>
    <xf numFmtId="0" fontId="0" fillId="37" borderId="20" xfId="0" applyFont="1" applyFill="1" applyBorder="1" applyAlignment="1">
      <alignment/>
    </xf>
    <xf numFmtId="0" fontId="4" fillId="37" borderId="0" xfId="0" applyFont="1" applyFill="1" applyBorder="1" applyAlignment="1">
      <alignment/>
    </xf>
    <xf numFmtId="9" fontId="0" fillId="37" borderId="0" xfId="60" applyFont="1" applyFill="1" applyBorder="1" applyAlignment="1">
      <alignment/>
    </xf>
    <xf numFmtId="9" fontId="0" fillId="37" borderId="20" xfId="60" applyFont="1" applyFill="1" applyBorder="1" applyAlignment="1">
      <alignment/>
    </xf>
    <xf numFmtId="0" fontId="0" fillId="37" borderId="23" xfId="0" applyFont="1" applyFill="1" applyBorder="1" applyAlignment="1">
      <alignment/>
    </xf>
    <xf numFmtId="0" fontId="0" fillId="37" borderId="22" xfId="0" applyFont="1" applyFill="1" applyBorder="1" applyAlignment="1">
      <alignment/>
    </xf>
    <xf numFmtId="9" fontId="0" fillId="37" borderId="22" xfId="0" applyNumberFormat="1" applyFont="1" applyFill="1" applyBorder="1" applyAlignment="1">
      <alignment/>
    </xf>
    <xf numFmtId="9" fontId="0" fillId="37" borderId="24" xfId="0" applyNumberFormat="1" applyFont="1" applyFill="1" applyBorder="1" applyAlignment="1">
      <alignment/>
    </xf>
    <xf numFmtId="9" fontId="0" fillId="39" borderId="26" xfId="0" applyNumberFormat="1" applyFont="1" applyFill="1" applyBorder="1" applyAlignment="1">
      <alignment/>
    </xf>
    <xf numFmtId="9" fontId="0" fillId="39" borderId="35" xfId="0" applyNumberFormat="1" applyFont="1" applyFill="1" applyBorder="1" applyAlignment="1">
      <alignment/>
    </xf>
    <xf numFmtId="0" fontId="4" fillId="39" borderId="57" xfId="0" applyFont="1" applyFill="1" applyBorder="1" applyAlignment="1">
      <alignment/>
    </xf>
    <xf numFmtId="0" fontId="0" fillId="39" borderId="25" xfId="0" applyFont="1" applyFill="1" applyBorder="1" applyAlignment="1">
      <alignment/>
    </xf>
    <xf numFmtId="9" fontId="9" fillId="39" borderId="25" xfId="0" applyNumberFormat="1" applyFont="1" applyFill="1" applyBorder="1" applyAlignment="1">
      <alignment/>
    </xf>
    <xf numFmtId="0" fontId="0" fillId="39" borderId="58" xfId="0" applyFont="1" applyFill="1" applyBorder="1" applyAlignment="1">
      <alignment/>
    </xf>
    <xf numFmtId="0" fontId="12" fillId="39" borderId="49" xfId="0" applyFont="1" applyFill="1" applyBorder="1" applyAlignment="1">
      <alignment/>
    </xf>
    <xf numFmtId="0" fontId="0" fillId="39" borderId="50" xfId="0" applyFont="1" applyFill="1" applyBorder="1" applyAlignment="1">
      <alignment/>
    </xf>
    <xf numFmtId="8" fontId="0" fillId="39" borderId="50" xfId="0" applyNumberFormat="1" applyFont="1" applyFill="1" applyBorder="1" applyAlignment="1">
      <alignment/>
    </xf>
    <xf numFmtId="0" fontId="0" fillId="39" borderId="51" xfId="0" applyFont="1" applyFill="1" applyBorder="1" applyAlignment="1">
      <alignment/>
    </xf>
    <xf numFmtId="0" fontId="0" fillId="39" borderId="33" xfId="0" applyFont="1" applyFill="1" applyBorder="1" applyAlignment="1">
      <alignment wrapText="1"/>
    </xf>
    <xf numFmtId="0" fontId="4" fillId="39" borderId="48" xfId="0" applyFont="1" applyFill="1" applyBorder="1" applyAlignment="1">
      <alignment wrapText="1"/>
    </xf>
    <xf numFmtId="8" fontId="4" fillId="39" borderId="48" xfId="0" applyNumberFormat="1" applyFont="1" applyFill="1" applyBorder="1" applyAlignment="1">
      <alignment wrapText="1"/>
    </xf>
    <xf numFmtId="8" fontId="4" fillId="39" borderId="48" xfId="0" applyNumberFormat="1" applyFont="1" applyFill="1" applyBorder="1" applyAlignment="1">
      <alignment horizontal="right" wrapText="1"/>
    </xf>
    <xf numFmtId="3" fontId="4" fillId="39" borderId="48" xfId="0" applyNumberFormat="1" applyFont="1" applyFill="1" applyBorder="1" applyAlignment="1">
      <alignment wrapText="1"/>
    </xf>
    <xf numFmtId="3" fontId="4" fillId="39" borderId="59" xfId="0" applyNumberFormat="1" applyFont="1" applyFill="1" applyBorder="1" applyAlignment="1">
      <alignment wrapText="1"/>
    </xf>
    <xf numFmtId="0" fontId="4" fillId="39" borderId="49" xfId="0" applyFont="1" applyFill="1" applyBorder="1" applyAlignment="1">
      <alignment horizontal="right"/>
    </xf>
    <xf numFmtId="0" fontId="4" fillId="39" borderId="50" xfId="0" applyFont="1" applyFill="1" applyBorder="1" applyAlignment="1">
      <alignment horizontal="center"/>
    </xf>
    <xf numFmtId="0" fontId="0" fillId="39" borderId="50" xfId="0" applyFont="1" applyFill="1" applyBorder="1" applyAlignment="1">
      <alignment horizontal="center"/>
    </xf>
    <xf numFmtId="0" fontId="0" fillId="39" borderId="60" xfId="0" applyFont="1" applyFill="1" applyBorder="1" applyAlignment="1">
      <alignment/>
    </xf>
    <xf numFmtId="0" fontId="0" fillId="39" borderId="11" xfId="0" applyFont="1" applyFill="1" applyBorder="1" applyAlignment="1">
      <alignment/>
    </xf>
    <xf numFmtId="0" fontId="4" fillId="39" borderId="12" xfId="0" applyFont="1" applyFill="1" applyBorder="1" applyAlignment="1">
      <alignment horizontal="center" vertical="center" wrapText="1" shrinkToFit="1"/>
    </xf>
    <xf numFmtId="0" fontId="4" fillId="39" borderId="53" xfId="0" applyFont="1" applyFill="1" applyBorder="1" applyAlignment="1">
      <alignment horizontal="center" vertical="center" wrapText="1" shrinkToFit="1"/>
    </xf>
    <xf numFmtId="0" fontId="20" fillId="39" borderId="49" xfId="0" applyFont="1" applyFill="1" applyBorder="1" applyAlignment="1">
      <alignment/>
    </xf>
    <xf numFmtId="0" fontId="4" fillId="39" borderId="49" xfId="0" applyFont="1" applyFill="1" applyBorder="1" applyAlignment="1">
      <alignment horizontal="center"/>
    </xf>
    <xf numFmtId="0" fontId="4" fillId="34" borderId="22" xfId="0" applyFont="1" applyFill="1" applyBorder="1" applyAlignment="1">
      <alignment horizontal="center"/>
    </xf>
    <xf numFmtId="4" fontId="0" fillId="34" borderId="27" xfId="0" applyNumberFormat="1" applyFont="1" applyFill="1" applyBorder="1" applyAlignment="1">
      <alignment/>
    </xf>
    <xf numFmtId="0" fontId="0" fillId="34" borderId="19" xfId="0" applyFont="1" applyFill="1" applyBorder="1" applyAlignment="1">
      <alignment/>
    </xf>
    <xf numFmtId="2" fontId="0" fillId="34" borderId="19" xfId="0" applyNumberFormat="1" applyFont="1" applyFill="1" applyBorder="1" applyAlignment="1">
      <alignment/>
    </xf>
    <xf numFmtId="0" fontId="0" fillId="37" borderId="0" xfId="0" applyFill="1" applyBorder="1" applyAlignment="1">
      <alignment vertical="center"/>
    </xf>
    <xf numFmtId="0" fontId="12" fillId="37" borderId="0" xfId="0" applyFont="1" applyFill="1" applyBorder="1" applyAlignment="1">
      <alignment vertical="center"/>
    </xf>
    <xf numFmtId="0" fontId="14" fillId="37" borderId="0" xfId="0" applyFont="1" applyFill="1" applyBorder="1" applyAlignment="1">
      <alignment horizontal="left" vertical="center"/>
    </xf>
    <xf numFmtId="0" fontId="0" fillId="37" borderId="0" xfId="0" applyFont="1" applyFill="1" applyBorder="1" applyAlignment="1">
      <alignment vertical="center"/>
    </xf>
    <xf numFmtId="0" fontId="14" fillId="37" borderId="0" xfId="0" applyFont="1" applyFill="1" applyBorder="1" applyAlignment="1">
      <alignment vertical="center"/>
    </xf>
    <xf numFmtId="0" fontId="6" fillId="37" borderId="0" xfId="0" applyFont="1" applyFill="1" applyBorder="1" applyAlignment="1">
      <alignment vertical="center"/>
    </xf>
    <xf numFmtId="0" fontId="0" fillId="37" borderId="0" xfId="0" applyFill="1" applyBorder="1" applyAlignment="1">
      <alignment horizontal="left" vertical="center"/>
    </xf>
    <xf numFmtId="0" fontId="0" fillId="37" borderId="0" xfId="0" applyNumberFormat="1" applyFill="1" applyBorder="1" applyAlignment="1">
      <alignment vertical="center" wrapText="1"/>
    </xf>
    <xf numFmtId="0" fontId="6" fillId="37" borderId="0" xfId="0" applyNumberFormat="1" applyFont="1" applyFill="1" applyBorder="1" applyAlignment="1">
      <alignment vertical="center" wrapText="1"/>
    </xf>
    <xf numFmtId="0" fontId="0" fillId="37" borderId="0" xfId="0" applyFont="1" applyFill="1" applyBorder="1" applyAlignment="1">
      <alignment horizontal="justify" vertical="center" wrapText="1"/>
    </xf>
    <xf numFmtId="0" fontId="6" fillId="37" borderId="0" xfId="0" applyFont="1" applyFill="1" applyBorder="1" applyAlignment="1">
      <alignment horizontal="justify" vertical="center" wrapText="1"/>
    </xf>
    <xf numFmtId="0" fontId="1" fillId="0" borderId="0" xfId="53" applyNumberFormat="1" applyFont="1" applyFill="1" applyBorder="1" applyAlignment="1" applyProtection="1">
      <alignment vertical="center" wrapText="1"/>
      <protection/>
    </xf>
    <xf numFmtId="14" fontId="11" fillId="37" borderId="0" xfId="0" applyNumberFormat="1" applyFont="1" applyFill="1" applyBorder="1" applyAlignment="1">
      <alignment horizontal="right" vertical="center"/>
    </xf>
    <xf numFmtId="0" fontId="27" fillId="37" borderId="0" xfId="0" applyFont="1" applyFill="1" applyAlignment="1">
      <alignment vertical="center"/>
    </xf>
    <xf numFmtId="0" fontId="0" fillId="0" borderId="0" xfId="0" applyNumberFormat="1" applyFont="1" applyBorder="1" applyAlignment="1">
      <alignment horizontal="justify"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1" fillId="0" borderId="0" xfId="53" applyBorder="1" applyAlignment="1" applyProtection="1">
      <alignment vertical="top" wrapText="1"/>
      <protection/>
    </xf>
    <xf numFmtId="0" fontId="1" fillId="0" borderId="0" xfId="53" applyFill="1" applyBorder="1" applyAlignment="1" applyProtection="1">
      <alignment horizontal="justify" vertical="top" wrapText="1"/>
      <protection/>
    </xf>
    <xf numFmtId="0" fontId="0" fillId="0" borderId="0" xfId="0" applyBorder="1" applyAlignment="1">
      <alignment wrapText="1"/>
    </xf>
    <xf numFmtId="0" fontId="1" fillId="0" borderId="0" xfId="53" applyBorder="1" applyAlignment="1" applyProtection="1">
      <alignment wrapText="1"/>
      <protection/>
    </xf>
    <xf numFmtId="0" fontId="0" fillId="0" borderId="0" xfId="0" applyNumberFormat="1" applyBorder="1" applyAlignment="1">
      <alignment wrapText="1"/>
    </xf>
    <xf numFmtId="0" fontId="1" fillId="0" borderId="0" xfId="53" applyNumberFormat="1" applyBorder="1" applyAlignment="1" applyProtection="1">
      <alignment wrapText="1"/>
      <protection/>
    </xf>
    <xf numFmtId="0" fontId="0" fillId="0" borderId="61" xfId="0" applyFont="1" applyBorder="1" applyAlignment="1">
      <alignment horizontal="left" vertical="center" wrapText="1"/>
    </xf>
    <xf numFmtId="0" fontId="0" fillId="0" borderId="62" xfId="0" applyFont="1" applyBorder="1" applyAlignment="1">
      <alignment horizontal="justify" vertical="top" wrapText="1"/>
    </xf>
    <xf numFmtId="0" fontId="0" fillId="0" borderId="14" xfId="0" applyFont="1" applyBorder="1" applyAlignment="1">
      <alignment vertical="center" wrapText="1"/>
    </xf>
    <xf numFmtId="0" fontId="0" fillId="37" borderId="63" xfId="0" applyFont="1" applyFill="1" applyBorder="1" applyAlignment="1">
      <alignment horizontal="justify" vertical="center" wrapText="1"/>
    </xf>
    <xf numFmtId="0" fontId="4" fillId="0" borderId="0" xfId="0" applyFont="1" applyFill="1" applyBorder="1" applyAlignment="1">
      <alignment vertical="top"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Border="1" applyAlignment="1">
      <alignment horizontal="left" vertical="center" wrapText="1"/>
    </xf>
    <xf numFmtId="0" fontId="4" fillId="0" borderId="65" xfId="0" applyFont="1" applyBorder="1" applyAlignment="1">
      <alignment horizontal="left" vertical="center" wrapText="1"/>
    </xf>
    <xf numFmtId="0" fontId="4" fillId="0" borderId="68" xfId="0" applyFont="1" applyBorder="1" applyAlignment="1">
      <alignment horizontal="left" vertical="center" wrapText="1"/>
    </xf>
    <xf numFmtId="0" fontId="12" fillId="0" borderId="0" xfId="0" applyFont="1" applyAlignment="1">
      <alignment horizontal="center" vertical="center"/>
    </xf>
    <xf numFmtId="0" fontId="0" fillId="0" borderId="0" xfId="0" applyFont="1" applyBorder="1" applyAlignment="1">
      <alignment horizontal="left" vertical="top" wrapText="1"/>
    </xf>
    <xf numFmtId="0" fontId="0" fillId="0" borderId="0" xfId="0" applyBorder="1" applyAlignment="1">
      <alignment horizontal="left" wrapText="1"/>
    </xf>
    <xf numFmtId="0" fontId="0" fillId="0" borderId="0" xfId="0" applyNumberFormat="1" applyBorder="1" applyAlignment="1">
      <alignment horizontal="left" wrapText="1"/>
    </xf>
    <xf numFmtId="0" fontId="0" fillId="0" borderId="0" xfId="0" applyAlignment="1">
      <alignment horizontal="left" wrapText="1"/>
    </xf>
    <xf numFmtId="0" fontId="4" fillId="0" borderId="0" xfId="0" applyFont="1" applyFill="1" applyAlignment="1">
      <alignment horizontal="left" vertical="center" wrapText="1"/>
    </xf>
    <xf numFmtId="0" fontId="0" fillId="0" borderId="26" xfId="0" applyBorder="1" applyAlignment="1">
      <alignment horizontal="center"/>
    </xf>
    <xf numFmtId="0" fontId="18" fillId="0" borderId="19" xfId="0" applyFont="1" applyBorder="1" applyAlignment="1">
      <alignment horizontal="center" vertical="center" wrapText="1"/>
    </xf>
    <xf numFmtId="0" fontId="6" fillId="0" borderId="35" xfId="0" applyFont="1" applyBorder="1" applyAlignment="1">
      <alignment vertical="center"/>
    </xf>
    <xf numFmtId="0" fontId="6" fillId="0" borderId="12" xfId="0" applyFont="1" applyBorder="1" applyAlignment="1">
      <alignment vertical="center"/>
    </xf>
    <xf numFmtId="0" fontId="6" fillId="0" borderId="57" xfId="0" applyFont="1" applyBorder="1" applyAlignment="1">
      <alignment horizontal="center"/>
    </xf>
    <xf numFmtId="0" fontId="6" fillId="0" borderId="25" xfId="0" applyFont="1" applyBorder="1" applyAlignment="1">
      <alignment horizontal="center"/>
    </xf>
    <xf numFmtId="0" fontId="6" fillId="0" borderId="58" xfId="0" applyFont="1" applyBorder="1" applyAlignment="1">
      <alignment horizontal="center"/>
    </xf>
    <xf numFmtId="0" fontId="4" fillId="0" borderId="17" xfId="0" applyFont="1" applyFill="1" applyBorder="1" applyAlignment="1">
      <alignment horizontal="left" vertical="center"/>
    </xf>
    <xf numFmtId="0" fontId="4" fillId="0" borderId="69" xfId="0" applyFont="1" applyFill="1" applyBorder="1" applyAlignment="1">
      <alignment horizontal="left" vertical="center"/>
    </xf>
    <xf numFmtId="0" fontId="24" fillId="33" borderId="49" xfId="0" applyFont="1" applyFill="1" applyBorder="1" applyAlignment="1">
      <alignment horizontal="center"/>
    </xf>
    <xf numFmtId="0" fontId="24" fillId="33" borderId="50" xfId="0" applyFont="1" applyFill="1" applyBorder="1" applyAlignment="1">
      <alignment horizontal="center"/>
    </xf>
    <xf numFmtId="0" fontId="24" fillId="33" borderId="51" xfId="0" applyFont="1" applyFill="1" applyBorder="1" applyAlignment="1">
      <alignment horizontal="center"/>
    </xf>
    <xf numFmtId="0" fontId="3" fillId="37" borderId="0" xfId="0" applyFont="1" applyFill="1" applyBorder="1" applyAlignment="1">
      <alignment horizontal="center"/>
    </xf>
    <xf numFmtId="0" fontId="4" fillId="0" borderId="70"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71" xfId="0" applyFont="1" applyFill="1" applyBorder="1" applyAlignment="1">
      <alignment horizontal="center" vertical="center"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ongolia Rail ERR.IM Cleaned" xfId="57"/>
    <cellStyle name="Note" xfId="58"/>
    <cellStyle name="Output" xfId="59"/>
    <cellStyle name="Percent" xfId="60"/>
    <cellStyle name="Title" xfId="61"/>
    <cellStyle name="Total" xfId="62"/>
    <cellStyle name="Warning Text" xfId="63"/>
  </cellStyles>
  <dxfs count="2">
    <dxf>
      <font>
        <color indexed="10"/>
      </font>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Undiscounted Net Annual Benefits of Honduras Transportation Project
</a:t>
            </a:r>
          </a:p>
        </c:rich>
      </c:tx>
      <c:layout>
        <c:manualLayout>
          <c:xMode val="factor"/>
          <c:yMode val="factor"/>
          <c:x val="0.001"/>
          <c:y val="0"/>
        </c:manualLayout>
      </c:layout>
      <c:spPr>
        <a:noFill/>
        <a:ln>
          <a:noFill/>
        </a:ln>
      </c:spPr>
    </c:title>
    <c:plotArea>
      <c:layout>
        <c:manualLayout>
          <c:xMode val="edge"/>
          <c:yMode val="edge"/>
          <c:x val="0.0525"/>
          <c:y val="0.2165"/>
          <c:w val="0.93625"/>
          <c:h val="0.65775"/>
        </c:manualLayout>
      </c:layout>
      <c:areaChart>
        <c:grouping val="standard"/>
        <c:varyColors val="0"/>
        <c:ser>
          <c:idx val="0"/>
          <c:order val="0"/>
          <c:tx>
            <c:v>Incremental Net Benefits</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Ref>
              <c:f>'Highway Summary ERR'!$E$59:$Y$59</c:f>
              <c:numCache>
                <c:ptCount val="21"/>
                <c:pt idx="0">
                  <c:v>-13274600</c:v>
                </c:pt>
                <c:pt idx="1">
                  <c:v>-37607400</c:v>
                </c:pt>
                <c:pt idx="2">
                  <c:v>-31079900</c:v>
                </c:pt>
                <c:pt idx="3">
                  <c:v>9995899.999999996</c:v>
                </c:pt>
                <c:pt idx="4">
                  <c:v>26732999.999999993</c:v>
                </c:pt>
                <c:pt idx="5">
                  <c:v>30687000</c:v>
                </c:pt>
                <c:pt idx="6">
                  <c:v>25581000.00000001</c:v>
                </c:pt>
                <c:pt idx="7">
                  <c:v>21877000.000000007</c:v>
                </c:pt>
                <c:pt idx="8">
                  <c:v>24427000.000000007</c:v>
                </c:pt>
                <c:pt idx="9">
                  <c:v>27716000.000000015</c:v>
                </c:pt>
                <c:pt idx="10">
                  <c:v>30114000.000000022</c:v>
                </c:pt>
                <c:pt idx="11">
                  <c:v>34829000.00000001</c:v>
                </c:pt>
                <c:pt idx="12">
                  <c:v>39929999.99999999</c:v>
                </c:pt>
                <c:pt idx="13">
                  <c:v>38270000</c:v>
                </c:pt>
                <c:pt idx="14">
                  <c:v>29242999.999999996</c:v>
                </c:pt>
                <c:pt idx="15">
                  <c:v>32227999.999999993</c:v>
                </c:pt>
                <c:pt idx="16">
                  <c:v>35336000.00000001</c:v>
                </c:pt>
                <c:pt idx="17">
                  <c:v>38727000.00000001</c:v>
                </c:pt>
                <c:pt idx="18">
                  <c:v>72954000</c:v>
                </c:pt>
                <c:pt idx="19">
                  <c:v>46698000.00000001</c:v>
                </c:pt>
                <c:pt idx="20">
                  <c:v>9862000</c:v>
                </c:pt>
              </c:numCache>
            </c:numRef>
          </c:val>
        </c:ser>
        <c:axId val="35037533"/>
        <c:axId val="46902342"/>
      </c:areaChart>
      <c:catAx>
        <c:axId val="35037533"/>
        <c:scaling>
          <c:orientation val="minMax"/>
        </c:scaling>
        <c:axPos val="b"/>
        <c:title>
          <c:tx>
            <c:rich>
              <a:bodyPr vert="horz" rot="0" anchor="ctr"/>
              <a:lstStyle/>
              <a:p>
                <a:pPr algn="ctr">
                  <a:defRPr/>
                </a:pPr>
                <a:r>
                  <a:rPr lang="en-US" cap="none" sz="1475" b="1" i="0" u="none" baseline="0">
                    <a:solidFill>
                      <a:srgbClr val="000000"/>
                    </a:solidFill>
                    <a:latin typeface="Arial"/>
                    <a:ea typeface="Arial"/>
                    <a:cs typeface="Arial"/>
                  </a:rPr>
                  <a:t>Year</a:t>
                </a:r>
              </a:p>
            </c:rich>
          </c:tx>
          <c:layout>
            <c:manualLayout>
              <c:xMode val="factor"/>
              <c:yMode val="factor"/>
              <c:x val="0.01025"/>
              <c:y val="0"/>
            </c:manualLayout>
          </c:layout>
          <c:overlay val="0"/>
          <c:spPr>
            <a:noFill/>
            <a:ln>
              <a:noFill/>
            </a:ln>
          </c:spPr>
        </c:title>
        <c:delete val="0"/>
        <c:numFmt formatCode="General" sourceLinked="1"/>
        <c:majorTickMark val="cross"/>
        <c:minorTickMark val="none"/>
        <c:tickLblPos val="nextTo"/>
        <c:spPr>
          <a:ln w="12700">
            <a:solidFill>
              <a:srgbClr val="000000"/>
            </a:solidFill>
          </a:ln>
        </c:spPr>
        <c:crossAx val="46902342"/>
        <c:crosses val="autoZero"/>
        <c:auto val="1"/>
        <c:lblOffset val="100"/>
        <c:tickLblSkip val="1"/>
        <c:noMultiLvlLbl val="0"/>
      </c:catAx>
      <c:valAx>
        <c:axId val="46902342"/>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US$ (millions)</a:t>
                </a:r>
              </a:p>
            </c:rich>
          </c:tx>
          <c:layout>
            <c:manualLayout>
              <c:xMode val="factor"/>
              <c:yMode val="factor"/>
              <c:x val="-0.009"/>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037533"/>
        <c:crossesAt val="1"/>
        <c:crossBetween val="midCat"/>
        <c:dispUnits>
          <c:builtInUnit val="millions"/>
        </c:dispUnits>
      </c:valAx>
      <c:spPr>
        <a:solidFill>
          <a:srgbClr val="C0C0C0"/>
        </a:solidFill>
        <a:ln w="3175">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Distribution of MCC Estimated ERR Given Uncertainty in Key Parameters
</a:t>
            </a:r>
            <a:r>
              <a:rPr lang="en-US" cap="none" sz="900" b="1" i="0" u="none" baseline="0">
                <a:solidFill>
                  <a:srgbClr val="000000"/>
                </a:solidFill>
                <a:latin typeface="Arial"/>
                <a:ea typeface="Arial"/>
                <a:cs typeface="Arial"/>
              </a:rPr>
              <a:t>(as of 10/25/2005)</a:t>
            </a:r>
          </a:p>
        </c:rich>
      </c:tx>
      <c:layout>
        <c:manualLayout>
          <c:xMode val="factor"/>
          <c:yMode val="factor"/>
          <c:x val="0.00325"/>
          <c:y val="0"/>
        </c:manualLayout>
      </c:layout>
      <c:spPr>
        <a:noFill/>
        <a:ln>
          <a:noFill/>
        </a:ln>
      </c:spPr>
    </c:title>
    <c:plotArea>
      <c:layout>
        <c:manualLayout>
          <c:xMode val="edge"/>
          <c:yMode val="edge"/>
          <c:x val="0.03575"/>
          <c:y val="0.144"/>
          <c:w val="0.953"/>
          <c:h val="0.831"/>
        </c:manualLayout>
      </c:layout>
      <c:barChart>
        <c:barDir val="col"/>
        <c:grouping val="stacked"/>
        <c:varyColors val="0"/>
        <c:ser>
          <c:idx val="0"/>
          <c:order val="0"/>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0.20834594253197763</c:v>
              </c:pt>
              <c:pt idx="10">
                <c:v>0.2220049349045067</c:v>
              </c:pt>
              <c:pt idx="20">
                <c:v>0.23566392727703578</c:v>
              </c:pt>
              <c:pt idx="30">
                <c:v>0.24932291964956485</c:v>
              </c:pt>
              <c:pt idx="40">
                <c:v>0.2629819120220939</c:v>
              </c:pt>
              <c:pt idx="49">
                <c:v>0.2752750051573701</c:v>
              </c:pt>
            </c:strLit>
          </c:cat>
          <c:val>
            <c:numLit>
              <c:ptCount val="50"/>
              <c:pt idx="0">
                <c:v>2</c:v>
              </c:pt>
              <c:pt idx="1">
                <c:v>6</c:v>
              </c:pt>
              <c:pt idx="2">
                <c:v>14</c:v>
              </c:pt>
              <c:pt idx="3">
                <c:v>29</c:v>
              </c:pt>
              <c:pt idx="4">
                <c:v>34</c:v>
              </c:pt>
              <c:pt idx="5">
                <c:v>41</c:v>
              </c:pt>
              <c:pt idx="6">
                <c:v>53</c:v>
              </c:pt>
              <c:pt idx="7">
                <c:v>87</c:v>
              </c:pt>
              <c:pt idx="8">
                <c:v>95</c:v>
              </c:pt>
              <c:pt idx="9">
                <c:v>128</c:v>
              </c:pt>
              <c:pt idx="10">
                <c:v>160</c:v>
              </c:pt>
              <c:pt idx="11">
                <c:v>162</c:v>
              </c:pt>
              <c:pt idx="12">
                <c:v>177</c:v>
              </c:pt>
              <c:pt idx="13">
                <c:v>216</c:v>
              </c:pt>
              <c:pt idx="14">
                <c:v>241</c:v>
              </c:pt>
              <c:pt idx="15">
                <c:v>263</c:v>
              </c:pt>
              <c:pt idx="16">
                <c:v>304</c:v>
              </c:pt>
              <c:pt idx="17">
                <c:v>289</c:v>
              </c:pt>
              <c:pt idx="18">
                <c:v>304</c:v>
              </c:pt>
              <c:pt idx="19">
                <c:v>329</c:v>
              </c:pt>
              <c:pt idx="20">
                <c:v>375</c:v>
              </c:pt>
              <c:pt idx="21">
                <c:v>387</c:v>
              </c:pt>
              <c:pt idx="22">
                <c:v>398</c:v>
              </c:pt>
              <c:pt idx="23">
                <c:v>435</c:v>
              </c:pt>
              <c:pt idx="24">
                <c:v>403</c:v>
              </c:pt>
              <c:pt idx="25">
                <c:v>424</c:v>
              </c:pt>
              <c:pt idx="26">
                <c:v>428</c:v>
              </c:pt>
              <c:pt idx="27">
                <c:v>462</c:v>
              </c:pt>
              <c:pt idx="28">
                <c:v>394</c:v>
              </c:pt>
              <c:pt idx="29">
                <c:v>393</c:v>
              </c:pt>
              <c:pt idx="30">
                <c:v>351</c:v>
              </c:pt>
              <c:pt idx="31">
                <c:v>351</c:v>
              </c:pt>
              <c:pt idx="32">
                <c:v>299</c:v>
              </c:pt>
              <c:pt idx="33">
                <c:v>279</c:v>
              </c:pt>
              <c:pt idx="34">
                <c:v>260</c:v>
              </c:pt>
              <c:pt idx="35">
                <c:v>266</c:v>
              </c:pt>
              <c:pt idx="36">
                <c:v>216</c:v>
              </c:pt>
              <c:pt idx="37">
                <c:v>202</c:v>
              </c:pt>
              <c:pt idx="38">
                <c:v>135</c:v>
              </c:pt>
              <c:pt idx="39">
                <c:v>136</c:v>
              </c:pt>
              <c:pt idx="40">
                <c:v>133</c:v>
              </c:pt>
              <c:pt idx="41">
                <c:v>96</c:v>
              </c:pt>
              <c:pt idx="42">
                <c:v>72</c:v>
              </c:pt>
              <c:pt idx="43">
                <c:v>58</c:v>
              </c:pt>
              <c:pt idx="44">
                <c:v>37</c:v>
              </c:pt>
              <c:pt idx="45">
                <c:v>31</c:v>
              </c:pt>
              <c:pt idx="46">
                <c:v>22</c:v>
              </c:pt>
              <c:pt idx="47">
                <c:v>6</c:v>
              </c:pt>
              <c:pt idx="48">
                <c:v>9</c:v>
              </c:pt>
              <c:pt idx="49">
                <c:v>4</c:v>
              </c:pt>
            </c:numLit>
          </c:val>
        </c:ser>
        <c:overlap val="100"/>
        <c:gapWidth val="10"/>
        <c:axId val="19467895"/>
        <c:axId val="40993328"/>
      </c:barChart>
      <c:catAx>
        <c:axId val="19467895"/>
        <c:scaling>
          <c:orientation val="minMax"/>
        </c:scaling>
        <c:axPos val="b"/>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993328"/>
        <c:crosses val="autoZero"/>
        <c:auto val="0"/>
        <c:lblOffset val="100"/>
        <c:tickLblSkip val="1"/>
        <c:tickMarkSkip val="5"/>
        <c:noMultiLvlLbl val="0"/>
      </c:catAx>
      <c:valAx>
        <c:axId val="40993328"/>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Frequency</a:t>
                </a:r>
              </a:p>
            </c:rich>
          </c:tx>
          <c:layout>
            <c:manualLayout>
              <c:xMode val="factor"/>
              <c:yMode val="factor"/>
              <c:x val="-0.0035"/>
              <c:y val="0.00075"/>
            </c:manualLayout>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spPr>
          <a:ln w="3175">
            <a:solidFill>
              <a:srgbClr val="000000"/>
            </a:solidFill>
          </a:ln>
        </c:spPr>
        <c:crossAx val="19467895"/>
        <c:crossesAt val="1"/>
        <c:crossBetween val="between"/>
        <c:dispUnits/>
      </c:valAx>
      <c:spPr>
        <a:solidFill>
          <a:srgbClr val="FFFFFF"/>
        </a:solidFill>
        <a:ln w="3175">
          <a:solidFill>
            <a:srgbClr val="000000"/>
          </a:solid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image" Target="../media/image2.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28575</xdr:rowOff>
    </xdr:from>
    <xdr:to>
      <xdr:col>1</xdr:col>
      <xdr:colOff>2571750</xdr:colOff>
      <xdr:row>5</xdr:row>
      <xdr:rowOff>104775</xdr:rowOff>
    </xdr:to>
    <xdr:pic>
      <xdr:nvPicPr>
        <xdr:cNvPr id="1" name="Picture 2"/>
        <xdr:cNvPicPr preferRelativeResize="1">
          <a:picLocks noChangeAspect="1"/>
        </xdr:cNvPicPr>
      </xdr:nvPicPr>
      <xdr:blipFill>
        <a:blip r:embed="rId1"/>
        <a:stretch>
          <a:fillRect/>
        </a:stretch>
      </xdr:blipFill>
      <xdr:spPr>
        <a:xfrm>
          <a:off x="647700" y="190500"/>
          <a:ext cx="25336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26</xdr:row>
      <xdr:rowOff>19050</xdr:rowOff>
    </xdr:from>
    <xdr:to>
      <xdr:col>1</xdr:col>
      <xdr:colOff>2200275</xdr:colOff>
      <xdr:row>27</xdr:row>
      <xdr:rowOff>9525</xdr:rowOff>
    </xdr:to>
    <xdr:pic>
      <xdr:nvPicPr>
        <xdr:cNvPr id="1" name="Picture 1" descr="MCC horizontal"/>
        <xdr:cNvPicPr preferRelativeResize="1">
          <a:picLocks noChangeAspect="1"/>
        </xdr:cNvPicPr>
      </xdr:nvPicPr>
      <xdr:blipFill>
        <a:blip r:embed="rId1"/>
        <a:stretch>
          <a:fillRect/>
        </a:stretch>
      </xdr:blipFill>
      <xdr:spPr>
        <a:xfrm>
          <a:off x="409575" y="760095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1</xdr:col>
      <xdr:colOff>571500</xdr:colOff>
      <xdr:row>23</xdr:row>
      <xdr:rowOff>66675</xdr:rowOff>
    </xdr:from>
    <xdr:to>
      <xdr:col>6</xdr:col>
      <xdr:colOff>381000</xdr:colOff>
      <xdr:row>45</xdr:row>
      <xdr:rowOff>152400</xdr:rowOff>
    </xdr:to>
    <xdr:graphicFrame>
      <xdr:nvGraphicFramePr>
        <xdr:cNvPr id="6" name="Chart 1"/>
        <xdr:cNvGraphicFramePr/>
      </xdr:nvGraphicFramePr>
      <xdr:xfrm>
        <a:off x="952500" y="6924675"/>
        <a:ext cx="8601075" cy="36480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57150</xdr:colOff>
      <xdr:row>1</xdr:row>
      <xdr:rowOff>85725</xdr:rowOff>
    </xdr:from>
    <xdr:to>
      <xdr:col>6</xdr:col>
      <xdr:colOff>1123950</xdr:colOff>
      <xdr:row>1</xdr:row>
      <xdr:rowOff>238125</xdr:rowOff>
    </xdr:to>
    <xdr:pic>
      <xdr:nvPicPr>
        <xdr:cNvPr id="7" name="Picture 4" descr="MCC horizontal"/>
        <xdr:cNvPicPr preferRelativeResize="1">
          <a:picLocks noChangeAspect="1"/>
        </xdr:cNvPicPr>
      </xdr:nvPicPr>
      <xdr:blipFill>
        <a:blip r:embed="rId3"/>
        <a:stretch>
          <a:fillRect/>
        </a:stretch>
      </xdr:blipFill>
      <xdr:spPr>
        <a:xfrm>
          <a:off x="8134350" y="247650"/>
          <a:ext cx="2162175" cy="152400"/>
        </a:xfrm>
        <a:prstGeom prst="rect">
          <a:avLst/>
        </a:prstGeom>
        <a:noFill/>
        <a:ln w="9525" cmpd="sng">
          <a:noFill/>
        </a:ln>
      </xdr:spPr>
    </xdr:pic>
    <xdr:clientData/>
  </xdr:twoCellAnchor>
  <xdr:twoCellAnchor>
    <xdr:from>
      <xdr:col>1</xdr:col>
      <xdr:colOff>590550</xdr:colOff>
      <xdr:row>47</xdr:row>
      <xdr:rowOff>95250</xdr:rowOff>
    </xdr:from>
    <xdr:to>
      <xdr:col>6</xdr:col>
      <xdr:colOff>390525</xdr:colOff>
      <xdr:row>71</xdr:row>
      <xdr:rowOff>95250</xdr:rowOff>
    </xdr:to>
    <xdr:graphicFrame>
      <xdr:nvGraphicFramePr>
        <xdr:cNvPr id="8" name="Chart 23"/>
        <xdr:cNvGraphicFramePr/>
      </xdr:nvGraphicFramePr>
      <xdr:xfrm>
        <a:off x="971550" y="10839450"/>
        <a:ext cx="8591550" cy="38862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Beta%20Version\Mongolia\mcc-err-mongolia-heal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dm-ims.com/hdm4.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D38"/>
  <sheetViews>
    <sheetView showGridLines="0" tabSelected="1" zoomScaleSheetLayoutView="100" zoomScalePageLayoutView="0" workbookViewId="0" topLeftCell="A1">
      <selection activeCell="A1" sqref="A1"/>
    </sheetView>
  </sheetViews>
  <sheetFormatPr defaultColWidth="9.140625" defaultRowHeight="12.75"/>
  <cols>
    <col min="2" max="2" width="39.7109375" style="0" customWidth="1"/>
    <col min="3" max="3" width="106.421875" style="0" customWidth="1"/>
  </cols>
  <sheetData>
    <row r="1" spans="3:4" ht="12.75">
      <c r="C1" s="10" t="s">
        <v>121</v>
      </c>
      <c r="D1" s="11"/>
    </row>
    <row r="2" ht="20.25" customHeight="1">
      <c r="C2" s="381" t="s">
        <v>149</v>
      </c>
    </row>
    <row r="3" ht="12.75">
      <c r="C3" s="381"/>
    </row>
    <row r="4" ht="12.75">
      <c r="C4" s="381"/>
    </row>
    <row r="5" ht="12.75">
      <c r="C5" s="381"/>
    </row>
    <row r="6" ht="12.75">
      <c r="C6" s="381"/>
    </row>
    <row r="7" ht="13.5" thickBot="1"/>
    <row r="8" spans="2:3" s="12" customFormat="1" ht="18" customHeight="1" thickTop="1">
      <c r="B8" s="375" t="s">
        <v>27</v>
      </c>
      <c r="C8" s="378" t="s">
        <v>166</v>
      </c>
    </row>
    <row r="9" spans="2:3" s="12" customFormat="1" ht="18" customHeight="1">
      <c r="B9" s="376" t="s">
        <v>28</v>
      </c>
      <c r="C9" s="13">
        <v>38650</v>
      </c>
    </row>
    <row r="10" spans="2:3" s="12" customFormat="1" ht="18" customHeight="1">
      <c r="B10" s="376" t="s">
        <v>29</v>
      </c>
      <c r="C10" s="16" t="s">
        <v>150</v>
      </c>
    </row>
    <row r="11" spans="2:3" ht="25.5">
      <c r="B11" s="379" t="s">
        <v>33</v>
      </c>
      <c r="C11" s="371" t="s">
        <v>161</v>
      </c>
    </row>
    <row r="12" spans="2:3" ht="6.75" customHeight="1">
      <c r="B12" s="380"/>
      <c r="C12" s="371"/>
    </row>
    <row r="13" spans="2:3" ht="12.75" customHeight="1">
      <c r="B13" s="380"/>
      <c r="C13" s="373" t="s">
        <v>158</v>
      </c>
    </row>
    <row r="14" spans="2:3" ht="12.75">
      <c r="B14" s="380"/>
      <c r="C14" s="373" t="s">
        <v>160</v>
      </c>
    </row>
    <row r="15" spans="2:3" ht="12.75" customHeight="1">
      <c r="B15" s="380"/>
      <c r="C15" s="373" t="s">
        <v>162</v>
      </c>
    </row>
    <row r="16" spans="2:3" ht="6.75" customHeight="1">
      <c r="B16" s="380"/>
      <c r="C16" s="14"/>
    </row>
    <row r="17" spans="2:3" ht="18" customHeight="1">
      <c r="B17" s="379" t="s">
        <v>30</v>
      </c>
      <c r="C17" s="372" t="s">
        <v>0</v>
      </c>
    </row>
    <row r="18" spans="2:3" ht="18" customHeight="1">
      <c r="B18" s="379"/>
      <c r="C18" s="15" t="s">
        <v>1</v>
      </c>
    </row>
    <row r="19" spans="2:3" ht="25.5">
      <c r="B19" s="376" t="s">
        <v>31</v>
      </c>
      <c r="C19" s="15" t="s">
        <v>7</v>
      </c>
    </row>
    <row r="20" spans="2:3" ht="18" customHeight="1" thickBot="1">
      <c r="B20" s="377" t="s">
        <v>32</v>
      </c>
      <c r="C20" s="370" t="s">
        <v>119</v>
      </c>
    </row>
    <row r="21" spans="2:3" ht="18" customHeight="1" thickTop="1">
      <c r="B21" s="17" t="s">
        <v>167</v>
      </c>
      <c r="C21" s="362"/>
    </row>
    <row r="22" spans="2:3" ht="12.75" customHeight="1">
      <c r="B22" s="362"/>
      <c r="C22" s="363"/>
    </row>
    <row r="23" ht="12.75">
      <c r="B23" s="374" t="s">
        <v>165</v>
      </c>
    </row>
    <row r="24" ht="12.75">
      <c r="B24" s="364" t="s">
        <v>33</v>
      </c>
    </row>
    <row r="25" spans="2:3" ht="12.75">
      <c r="B25" s="382" t="s">
        <v>104</v>
      </c>
      <c r="C25" s="382"/>
    </row>
    <row r="26" spans="1:2" s="6" customFormat="1" ht="12.75">
      <c r="A26"/>
      <c r="B26" s="363"/>
    </row>
    <row r="27" s="6" customFormat="1" ht="12.75">
      <c r="B27" s="365" t="s">
        <v>34</v>
      </c>
    </row>
    <row r="28" spans="2:3" s="6" customFormat="1" ht="27" customHeight="1">
      <c r="B28" s="383" t="s">
        <v>61</v>
      </c>
      <c r="C28" s="383"/>
    </row>
    <row r="29" s="6" customFormat="1" ht="12.75">
      <c r="B29" s="366"/>
    </row>
    <row r="30" s="6" customFormat="1" ht="12.75">
      <c r="B30" s="367" t="s">
        <v>102</v>
      </c>
    </row>
    <row r="31" spans="2:3" s="6" customFormat="1" ht="27" customHeight="1">
      <c r="B31" s="384" t="s">
        <v>103</v>
      </c>
      <c r="C31" s="384"/>
    </row>
    <row r="32" s="6" customFormat="1" ht="12.75">
      <c r="B32" s="366"/>
    </row>
    <row r="33" s="6" customFormat="1" ht="12.75">
      <c r="B33" s="367" t="s">
        <v>17</v>
      </c>
    </row>
    <row r="34" spans="2:3" s="6" customFormat="1" ht="12.75">
      <c r="B34" s="384" t="s">
        <v>154</v>
      </c>
      <c r="C34" s="384"/>
    </row>
    <row r="35" s="6" customFormat="1" ht="12.75">
      <c r="B35" s="368"/>
    </row>
    <row r="36" s="6" customFormat="1" ht="12.75">
      <c r="B36" s="369" t="s">
        <v>18</v>
      </c>
    </row>
    <row r="37" spans="2:3" s="6" customFormat="1" ht="12.75">
      <c r="B37" s="384" t="s">
        <v>148</v>
      </c>
      <c r="C37" s="384"/>
    </row>
    <row r="38" ht="12.75">
      <c r="A38" s="6"/>
    </row>
  </sheetData>
  <sheetProtection/>
  <mergeCells count="8">
    <mergeCell ref="B34:C34"/>
    <mergeCell ref="B37:C37"/>
    <mergeCell ref="B17:B18"/>
    <mergeCell ref="B11:B16"/>
    <mergeCell ref="C2:C6"/>
    <mergeCell ref="B25:C25"/>
    <mergeCell ref="B28:C28"/>
    <mergeCell ref="B31:C31"/>
  </mergeCells>
  <hyperlinks>
    <hyperlink ref="B24" location="'Project Description'!A1" display="Project Description"/>
    <hyperlink ref="B33" location="'Logistical Corridor'!A1" display="Logistical Corridor"/>
    <hyperlink ref="B27" location="'ERR &amp; Sensitivity analysis'!A1" display="ERR &amp; Sensitivity Analysis"/>
    <hyperlink ref="B30" location="'Highway Summary ERR'!A1" display="Highway Summary ERR"/>
    <hyperlink ref="B36" location="'Secondary Roads'!A1" display="Secondary Roads"/>
  </hyperlinks>
  <printOptions/>
  <pageMargins left="1.46" right="0.75" top="0.49" bottom="0.49" header="0.5" footer="0.5"/>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sheetPr codeName="Sheet18"/>
  <dimension ref="A2:B27"/>
  <sheetViews>
    <sheetView showGridLines="0" zoomScale="95" zoomScaleNormal="95" zoomScalePageLayoutView="0" workbookViewId="0" topLeftCell="A1">
      <selection activeCell="A1" sqref="A1"/>
    </sheetView>
  </sheetViews>
  <sheetFormatPr defaultColWidth="9.140625" defaultRowHeight="12.75"/>
  <cols>
    <col min="1" max="1" width="5.7109375" style="347" customWidth="1"/>
    <col min="2" max="2" width="119.00390625" style="347" customWidth="1"/>
    <col min="3" max="16384" width="9.140625" style="347" customWidth="1"/>
  </cols>
  <sheetData>
    <row r="2" ht="20.25">
      <c r="B2" s="348" t="s">
        <v>149</v>
      </c>
    </row>
    <row r="4" ht="18">
      <c r="B4" s="349" t="s">
        <v>33</v>
      </c>
    </row>
    <row r="5" ht="12.75">
      <c r="A5" s="350"/>
    </row>
    <row r="6" spans="1:2" ht="12.75" customHeight="1">
      <c r="A6" s="351"/>
      <c r="B6" s="352" t="s">
        <v>35</v>
      </c>
    </row>
    <row r="7" ht="6.75" customHeight="1"/>
    <row r="8" spans="1:2" ht="96.75" customHeight="1">
      <c r="A8" s="353"/>
      <c r="B8" s="354" t="s">
        <v>164</v>
      </c>
    </row>
    <row r="9" spans="1:2" ht="30.75" customHeight="1">
      <c r="A9" s="353"/>
      <c r="B9" s="361" t="s">
        <v>163</v>
      </c>
    </row>
    <row r="10" spans="1:2" ht="12.75">
      <c r="A10" s="353"/>
      <c r="B10" s="354"/>
    </row>
    <row r="11" spans="1:2" ht="15.75">
      <c r="A11" s="353"/>
      <c r="B11" s="355" t="s">
        <v>36</v>
      </c>
    </row>
    <row r="12" spans="1:2" ht="6.75" customHeight="1">
      <c r="A12" s="353"/>
      <c r="B12" s="354"/>
    </row>
    <row r="13" spans="1:2" ht="12.75">
      <c r="A13" s="353"/>
      <c r="B13" s="356" t="s">
        <v>155</v>
      </c>
    </row>
    <row r="14" spans="1:2" ht="6.75" customHeight="1">
      <c r="A14" s="353"/>
      <c r="B14" s="356"/>
    </row>
    <row r="15" spans="1:2" ht="15" customHeight="1">
      <c r="A15" s="353"/>
      <c r="B15" s="356" t="s">
        <v>158</v>
      </c>
    </row>
    <row r="16" spans="1:2" ht="42.75" customHeight="1">
      <c r="A16" s="353"/>
      <c r="B16" s="356" t="s">
        <v>159</v>
      </c>
    </row>
    <row r="17" spans="1:2" ht="14.25" customHeight="1">
      <c r="A17" s="353"/>
      <c r="B17" s="356" t="s">
        <v>162</v>
      </c>
    </row>
    <row r="18" spans="1:2" ht="12.75">
      <c r="A18" s="353"/>
      <c r="B18" s="356"/>
    </row>
    <row r="19" spans="1:2" ht="15.75">
      <c r="A19" s="353"/>
      <c r="B19" s="357" t="s">
        <v>37</v>
      </c>
    </row>
    <row r="20" spans="1:2" ht="6.75" customHeight="1">
      <c r="A20" s="353"/>
      <c r="B20" s="356"/>
    </row>
    <row r="21" spans="1:2" ht="115.5" customHeight="1">
      <c r="A21" s="353"/>
      <c r="B21" s="288" t="s">
        <v>156</v>
      </c>
    </row>
    <row r="22" ht="24.75" customHeight="1">
      <c r="B22" s="288" t="s">
        <v>153</v>
      </c>
    </row>
    <row r="23" ht="38.25">
      <c r="B23" s="356" t="s">
        <v>157</v>
      </c>
    </row>
    <row r="24" ht="7.5" customHeight="1">
      <c r="B24" s="356"/>
    </row>
    <row r="25" ht="12.75">
      <c r="B25" s="358" t="s">
        <v>151</v>
      </c>
    </row>
    <row r="27" ht="12.75">
      <c r="B27" s="359" t="s">
        <v>121</v>
      </c>
    </row>
  </sheetData>
  <sheetProtection/>
  <hyperlinks>
    <hyperlink ref="B25" r:id="rId1" display="You can find more information on HDM-4 and download the program here. "/>
  </hyperlinks>
  <printOptions/>
  <pageMargins left="0.75" right="0.75" top="1" bottom="1" header="0.5" footer="0.5"/>
  <pageSetup horizontalDpi="600" verticalDpi="600" orientation="portrait" scale="55" r:id="rId3"/>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9">
    <pageSetUpPr fitToPage="1"/>
  </sheetPr>
  <dimension ref="B2:J22"/>
  <sheetViews>
    <sheetView showGridLines="0" zoomScale="90" zoomScaleNormal="90" zoomScalePageLayoutView="0" workbookViewId="0" topLeftCell="A1">
      <selection activeCell="A1" sqref="A1"/>
    </sheetView>
  </sheetViews>
  <sheetFormatPr defaultColWidth="9.140625" defaultRowHeight="12.75"/>
  <cols>
    <col min="1" max="1" width="5.7109375" style="0" customWidth="1"/>
    <col min="2" max="2" width="16.28125" style="0" customWidth="1"/>
    <col min="3" max="3" width="67.00390625" style="0" customWidth="1"/>
    <col min="4" max="4" width="17.140625" style="0" customWidth="1"/>
    <col min="5" max="5" width="15.00390625" style="0" customWidth="1"/>
    <col min="6" max="6" width="16.421875" style="0" customWidth="1"/>
    <col min="7" max="7" width="18.28125" style="0" customWidth="1"/>
    <col min="8" max="8" width="10.8515625" style="0" customWidth="1"/>
    <col min="9" max="9" width="20.7109375" style="0" customWidth="1"/>
  </cols>
  <sheetData>
    <row r="2" spans="2:7" ht="20.25">
      <c r="B2" s="19" t="s">
        <v>149</v>
      </c>
      <c r="G2" s="20"/>
    </row>
    <row r="4" spans="2:7" ht="18">
      <c r="B4" s="21" t="s">
        <v>38</v>
      </c>
      <c r="G4" s="22" t="s">
        <v>122</v>
      </c>
    </row>
    <row r="5" ht="12.75" customHeight="1">
      <c r="C5" s="23"/>
    </row>
    <row r="6" spans="2:7" ht="39.75" customHeight="1">
      <c r="B6" s="385" t="s">
        <v>106</v>
      </c>
      <c r="C6" s="385"/>
      <c r="D6" s="385"/>
      <c r="E6" s="385"/>
      <c r="F6" s="385"/>
      <c r="G6" s="385"/>
    </row>
    <row r="8" spans="2:7" s="23" customFormat="1" ht="15.75">
      <c r="B8" s="394" t="s">
        <v>39</v>
      </c>
      <c r="C8" s="389" t="s">
        <v>40</v>
      </c>
      <c r="D8" s="391" t="s">
        <v>41</v>
      </c>
      <c r="E8" s="392"/>
      <c r="F8" s="392"/>
      <c r="G8" s="393"/>
    </row>
    <row r="9" spans="2:10" s="23" customFormat="1" ht="39" thickBot="1">
      <c r="B9" s="395"/>
      <c r="C9" s="390"/>
      <c r="D9" s="24" t="s">
        <v>42</v>
      </c>
      <c r="E9" s="25" t="s">
        <v>43</v>
      </c>
      <c r="F9" s="26" t="s">
        <v>44</v>
      </c>
      <c r="G9" s="25" t="s">
        <v>45</v>
      </c>
      <c r="I9" s="27" t="s">
        <v>46</v>
      </c>
      <c r="J9" s="28"/>
    </row>
    <row r="10" spans="2:9" ht="38.25" customHeight="1">
      <c r="B10" s="29" t="s">
        <v>35</v>
      </c>
      <c r="C10" s="30" t="s">
        <v>47</v>
      </c>
      <c r="D10" s="31">
        <v>1</v>
      </c>
      <c r="E10" s="32">
        <v>1</v>
      </c>
      <c r="F10" s="33" t="s">
        <v>48</v>
      </c>
      <c r="G10" s="34">
        <f>D10</f>
        <v>1</v>
      </c>
      <c r="I10" s="35" t="str">
        <f>IF(D10=E10,IF(D11=E11,"Y","N"),"N")</f>
        <v>Y</v>
      </c>
    </row>
    <row r="11" spans="2:9" ht="38.25" customHeight="1">
      <c r="B11" s="36" t="s">
        <v>35</v>
      </c>
      <c r="C11" s="37" t="s">
        <v>49</v>
      </c>
      <c r="D11" s="38">
        <v>1</v>
      </c>
      <c r="E11" s="39">
        <v>1</v>
      </c>
      <c r="F11" s="40" t="s">
        <v>48</v>
      </c>
      <c r="G11" s="41">
        <f>D11</f>
        <v>1</v>
      </c>
      <c r="I11" s="42" t="str">
        <f>IF(D13=E13,IF(D14=E14,IF(D15=E15,IF(D16=E16,"Y","N"),"N"),"N"),"N")</f>
        <v>Y</v>
      </c>
    </row>
    <row r="12" spans="2:7" ht="14.25" customHeight="1">
      <c r="B12" s="43"/>
      <c r="C12" s="43"/>
      <c r="D12" s="43"/>
      <c r="E12" s="43"/>
      <c r="F12" s="43"/>
      <c r="G12" s="43"/>
    </row>
    <row r="13" spans="2:9" ht="35.25" customHeight="1">
      <c r="B13" s="44" t="s">
        <v>50</v>
      </c>
      <c r="C13" s="45" t="s">
        <v>100</v>
      </c>
      <c r="D13" s="46">
        <v>0.14</v>
      </c>
      <c r="E13" s="47">
        <v>0.14</v>
      </c>
      <c r="F13" s="122" t="s">
        <v>99</v>
      </c>
      <c r="G13" s="48">
        <f>IF($I$10="Y",IF(D13&gt;1,100%,IF(D13&lt;0,0%,D13)),E13)</f>
        <v>0.14</v>
      </c>
      <c r="H13" s="388"/>
      <c r="I13" s="49" t="s">
        <v>51</v>
      </c>
    </row>
    <row r="14" spans="2:9" ht="42" customHeight="1">
      <c r="B14" s="50" t="s">
        <v>50</v>
      </c>
      <c r="C14" s="51" t="s">
        <v>116</v>
      </c>
      <c r="D14" s="52">
        <v>1</v>
      </c>
      <c r="E14" s="53">
        <v>1</v>
      </c>
      <c r="F14" s="54" t="s">
        <v>48</v>
      </c>
      <c r="G14" s="55">
        <f>IF($I$10="Y",IF(D14&lt;0,0%,D14),E14)</f>
        <v>1</v>
      </c>
      <c r="H14" s="388"/>
      <c r="I14" s="56" t="s">
        <v>53</v>
      </c>
    </row>
    <row r="15" spans="2:9" ht="33" customHeight="1">
      <c r="B15" s="50" t="s">
        <v>50</v>
      </c>
      <c r="C15" s="51" t="s">
        <v>117</v>
      </c>
      <c r="D15" s="52">
        <v>1</v>
      </c>
      <c r="E15" s="53">
        <v>1</v>
      </c>
      <c r="F15" s="54" t="s">
        <v>48</v>
      </c>
      <c r="G15" s="55">
        <f>IF($I$10="Y",IF(D15&lt;0,0%,D15),E15)</f>
        <v>1</v>
      </c>
      <c r="H15" s="388"/>
      <c r="I15" s="57" t="s">
        <v>54</v>
      </c>
    </row>
    <row r="16" spans="2:9" ht="48" customHeight="1">
      <c r="B16" s="59" t="s">
        <v>50</v>
      </c>
      <c r="C16" s="268" t="s">
        <v>118</v>
      </c>
      <c r="D16" s="138">
        <v>587500</v>
      </c>
      <c r="E16" s="137">
        <v>587500</v>
      </c>
      <c r="F16" s="54" t="s">
        <v>120</v>
      </c>
      <c r="G16" s="286">
        <f>IF($I$10="Y",IF(D16&gt;1,D16,IF(D16&lt;0,0%,D16)),E16)</f>
        <v>587500</v>
      </c>
      <c r="H16" s="388"/>
      <c r="I16" s="58"/>
    </row>
    <row r="17" spans="4:7" ht="12.75">
      <c r="D17" s="387"/>
      <c r="E17" s="387"/>
      <c r="F17" s="387"/>
      <c r="G17" s="387"/>
    </row>
    <row r="18" spans="2:7" ht="31.5" customHeight="1">
      <c r="B18" s="386">
        <f>IF(I10="N",IF(I11="N","Reminder: Please reset all summary parameters to original values before changing specific parameters.  Specific parameters will only be used in ERR computation when all summary parameters are set to initial values",0),0)</f>
        <v>0</v>
      </c>
      <c r="C18" s="386"/>
      <c r="D18" s="386"/>
      <c r="E18" s="386"/>
      <c r="F18" s="386"/>
      <c r="G18" s="386"/>
    </row>
    <row r="19" spans="2:7" ht="12" customHeight="1">
      <c r="B19" s="60"/>
      <c r="C19" s="60"/>
      <c r="D19" s="60"/>
      <c r="E19" s="60"/>
      <c r="F19" s="60"/>
      <c r="G19" s="60"/>
    </row>
    <row r="20" spans="3:5" ht="12.75">
      <c r="C20" s="7" t="s">
        <v>52</v>
      </c>
      <c r="D20" s="141">
        <f>'Highway Summary ERR'!F69</f>
        <v>0.24072943598295066</v>
      </c>
      <c r="E20" s="61"/>
    </row>
    <row r="21" spans="3:5" ht="12.75">
      <c r="C21" s="7"/>
      <c r="D21" s="61"/>
      <c r="E21" s="61"/>
    </row>
    <row r="22" spans="3:5" ht="12.75">
      <c r="C22" s="7" t="s">
        <v>152</v>
      </c>
      <c r="D22" s="140">
        <v>0.241</v>
      </c>
      <c r="E22" s="62"/>
    </row>
  </sheetData>
  <sheetProtection/>
  <mergeCells count="7">
    <mergeCell ref="B6:G6"/>
    <mergeCell ref="B18:G18"/>
    <mergeCell ref="D17:G17"/>
    <mergeCell ref="H13:H16"/>
    <mergeCell ref="C8:C9"/>
    <mergeCell ref="D8:G8"/>
    <mergeCell ref="B8:B9"/>
  </mergeCells>
  <conditionalFormatting sqref="B18:B19 B12">
    <cfRule type="cellIs" priority="1" dxfId="1" operator="equal" stopIfTrue="1">
      <formula>0</formula>
    </cfRule>
    <cfRule type="cellIs" priority="2" dxfId="0" operator="notEqual" stopIfTrue="1">
      <formula>0</formula>
    </cfRule>
  </conditionalFormatting>
  <hyperlinks>
    <hyperlink ref="I14" location="'Project Description'!A1" display="Project Description"/>
    <hyperlink ref="I15" location="'User''s Guide'!A1" display="User's Guide"/>
  </hyperlinks>
  <printOptions/>
  <pageMargins left="1.57" right="0.75" top="0.49" bottom="0.49" header="0.5" footer="0.5"/>
  <pageSetup fitToHeight="1" fitToWidth="1" horizontalDpi="600" verticalDpi="600" orientation="landscape" scale="49"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Z99"/>
  <sheetViews>
    <sheetView zoomScalePageLayoutView="0" workbookViewId="0" topLeftCell="A1">
      <selection activeCell="A1" sqref="A1"/>
    </sheetView>
  </sheetViews>
  <sheetFormatPr defaultColWidth="9.140625" defaultRowHeight="12.75"/>
  <cols>
    <col min="1" max="1" width="9.140625" style="269" customWidth="1"/>
    <col min="3" max="3" width="19.140625" style="0" customWidth="1"/>
    <col min="4" max="4" width="5.7109375" style="0" customWidth="1"/>
    <col min="5" max="5" width="18.421875" style="0" customWidth="1"/>
    <col min="6" max="6" width="17.28125" style="0" customWidth="1"/>
    <col min="7" max="7" width="19.57421875" style="0" customWidth="1"/>
    <col min="8" max="8" width="18.421875" style="0" customWidth="1"/>
    <col min="9" max="9" width="15.421875" style="0" customWidth="1"/>
    <col min="10" max="10" width="15.00390625" style="0" customWidth="1"/>
    <col min="11" max="12" width="15.00390625" style="0" bestFit="1" customWidth="1"/>
    <col min="13" max="25" width="16.00390625" style="0" bestFit="1" customWidth="1"/>
    <col min="26" max="26" width="12.8515625" style="269" bestFit="1" customWidth="1"/>
    <col min="27" max="52" width="9.140625" style="269" customWidth="1"/>
  </cols>
  <sheetData>
    <row r="1" spans="2:25" ht="27" customHeight="1">
      <c r="B1" s="360">
        <f>IF('ERR &amp; Sensitivity Analysis'!I10="y",IF('ERR &amp; Sensitivity Analysis'!I11="y","","Note:Current calculations are based on user input and are not the original MCC estimates"),"Note:Current calculations are based on user input and are not the original MCC estimates")</f>
      </c>
      <c r="C1" s="269"/>
      <c r="D1" s="269"/>
      <c r="E1" s="269"/>
      <c r="F1" s="269"/>
      <c r="G1" s="269"/>
      <c r="H1" s="269"/>
      <c r="I1" s="269"/>
      <c r="J1" s="269"/>
      <c r="K1" s="269"/>
      <c r="L1" s="269"/>
      <c r="M1" s="269"/>
      <c r="N1" s="269"/>
      <c r="O1" s="269"/>
      <c r="P1" s="269"/>
      <c r="Q1" s="269"/>
      <c r="R1" s="269"/>
      <c r="S1" s="269"/>
      <c r="T1" s="269"/>
      <c r="U1" s="269"/>
      <c r="V1" s="269"/>
      <c r="W1" s="269"/>
      <c r="X1" s="269"/>
      <c r="Y1" s="269"/>
    </row>
    <row r="2" spans="2:25" ht="20.25">
      <c r="B2" s="262" t="s">
        <v>149</v>
      </c>
      <c r="C2" s="269"/>
      <c r="D2" s="269"/>
      <c r="E2" s="270"/>
      <c r="F2" s="269"/>
      <c r="G2" s="269"/>
      <c r="H2" s="269"/>
      <c r="I2" s="269"/>
      <c r="J2" s="269"/>
      <c r="K2" s="269"/>
      <c r="L2" s="271"/>
      <c r="M2" s="269"/>
      <c r="N2" s="269"/>
      <c r="O2" s="269"/>
      <c r="P2" s="269"/>
      <c r="Q2" s="269"/>
      <c r="R2" s="269"/>
      <c r="S2" s="269"/>
      <c r="T2" s="269"/>
      <c r="U2" s="269"/>
      <c r="V2" s="269"/>
      <c r="W2" s="269"/>
      <c r="X2" s="269"/>
      <c r="Y2" s="269"/>
    </row>
    <row r="3" spans="2:25" ht="12.75">
      <c r="B3" s="360"/>
      <c r="C3" s="360"/>
      <c r="D3" s="360"/>
      <c r="E3" s="360"/>
      <c r="F3" s="360"/>
      <c r="G3" s="360"/>
      <c r="H3" s="360"/>
      <c r="I3" s="360"/>
      <c r="J3" s="269"/>
      <c r="K3" s="269"/>
      <c r="L3" s="271"/>
      <c r="M3" s="269"/>
      <c r="N3" s="269"/>
      <c r="O3" s="269"/>
      <c r="P3" s="269"/>
      <c r="Q3" s="269"/>
      <c r="R3" s="269"/>
      <c r="S3" s="269"/>
      <c r="T3" s="269"/>
      <c r="U3" s="269"/>
      <c r="V3" s="269"/>
      <c r="W3" s="269"/>
      <c r="X3" s="269"/>
      <c r="Y3" s="269"/>
    </row>
    <row r="4" spans="2:25" ht="13.5" thickBot="1">
      <c r="B4" s="269"/>
      <c r="C4" s="269"/>
      <c r="D4" s="269"/>
      <c r="E4" s="269"/>
      <c r="F4" s="269"/>
      <c r="G4" s="269"/>
      <c r="H4" s="269"/>
      <c r="I4" s="269"/>
      <c r="J4" s="269"/>
      <c r="K4" s="269"/>
      <c r="L4" s="269"/>
      <c r="M4" s="269"/>
      <c r="N4" s="269"/>
      <c r="O4" s="269"/>
      <c r="P4" s="269"/>
      <c r="Q4" s="269"/>
      <c r="R4" s="269"/>
      <c r="S4" s="269"/>
      <c r="T4" s="269"/>
      <c r="U4" s="269"/>
      <c r="V4" s="269"/>
      <c r="W4" s="269"/>
      <c r="X4" s="269"/>
      <c r="Y4" s="269"/>
    </row>
    <row r="5" spans="2:25" ht="18.75" thickBot="1">
      <c r="B5" s="290" t="s">
        <v>95</v>
      </c>
      <c r="C5" s="289"/>
      <c r="D5" s="289"/>
      <c r="E5" s="289"/>
      <c r="F5" s="289"/>
      <c r="G5" s="289"/>
      <c r="H5" s="289"/>
      <c r="I5" s="289"/>
      <c r="J5" s="289"/>
      <c r="K5" s="289"/>
      <c r="L5" s="289"/>
      <c r="M5" s="289"/>
      <c r="N5" s="289"/>
      <c r="O5" s="289"/>
      <c r="P5" s="289"/>
      <c r="Q5" s="289"/>
      <c r="R5" s="289"/>
      <c r="S5" s="289"/>
      <c r="T5" s="289"/>
      <c r="U5" s="289"/>
      <c r="V5" s="289"/>
      <c r="W5" s="289"/>
      <c r="X5" s="289"/>
      <c r="Y5" s="291"/>
    </row>
    <row r="6" spans="2:25" ht="12.75">
      <c r="B6" s="285" t="s">
        <v>57</v>
      </c>
      <c r="C6" s="86"/>
      <c r="D6" s="86"/>
      <c r="E6" s="86">
        <v>2005</v>
      </c>
      <c r="F6" s="86">
        <f>E6+1</f>
        <v>2006</v>
      </c>
      <c r="G6" s="86">
        <f aca="true" t="shared" si="0" ref="G6:N6">F6+1</f>
        <v>2007</v>
      </c>
      <c r="H6" s="86">
        <f t="shared" si="0"/>
        <v>2008</v>
      </c>
      <c r="I6" s="86">
        <f t="shared" si="0"/>
        <v>2009</v>
      </c>
      <c r="J6" s="86">
        <f t="shared" si="0"/>
        <v>2010</v>
      </c>
      <c r="K6" s="86">
        <f t="shared" si="0"/>
        <v>2011</v>
      </c>
      <c r="L6" s="86">
        <f t="shared" si="0"/>
        <v>2012</v>
      </c>
      <c r="M6" s="86">
        <f t="shared" si="0"/>
        <v>2013</v>
      </c>
      <c r="N6" s="86">
        <f t="shared" si="0"/>
        <v>2014</v>
      </c>
      <c r="O6" s="87">
        <f>N6+1</f>
        <v>2015</v>
      </c>
      <c r="P6" s="86">
        <f aca="true" t="shared" si="1" ref="P6:Y6">O6+1</f>
        <v>2016</v>
      </c>
      <c r="Q6" s="86">
        <f t="shared" si="1"/>
        <v>2017</v>
      </c>
      <c r="R6" s="86">
        <f t="shared" si="1"/>
        <v>2018</v>
      </c>
      <c r="S6" s="86">
        <f t="shared" si="1"/>
        <v>2019</v>
      </c>
      <c r="T6" s="86">
        <f t="shared" si="1"/>
        <v>2020</v>
      </c>
      <c r="U6" s="86">
        <f t="shared" si="1"/>
        <v>2021</v>
      </c>
      <c r="V6" s="86">
        <f t="shared" si="1"/>
        <v>2022</v>
      </c>
      <c r="W6" s="86">
        <f t="shared" si="1"/>
        <v>2023</v>
      </c>
      <c r="X6" s="86">
        <f t="shared" si="1"/>
        <v>2024</v>
      </c>
      <c r="Y6" s="87">
        <f t="shared" si="1"/>
        <v>2025</v>
      </c>
    </row>
    <row r="7" spans="2:25" ht="12.75">
      <c r="B7" s="67"/>
      <c r="C7" s="8"/>
      <c r="D7" s="8"/>
      <c r="E7" s="8"/>
      <c r="F7" s="8"/>
      <c r="G7" s="8"/>
      <c r="H7" s="8"/>
      <c r="I7" s="8"/>
      <c r="J7" s="8"/>
      <c r="K7" s="8"/>
      <c r="L7" s="8"/>
      <c r="M7" s="8"/>
      <c r="N7" s="8"/>
      <c r="O7" s="8"/>
      <c r="P7" s="8"/>
      <c r="Q7" s="8"/>
      <c r="R7" s="8"/>
      <c r="S7" s="8"/>
      <c r="T7" s="8"/>
      <c r="U7" s="8"/>
      <c r="V7" s="8"/>
      <c r="W7" s="8"/>
      <c r="X7" s="8"/>
      <c r="Y7" s="69"/>
    </row>
    <row r="8" spans="2:25" ht="12.75">
      <c r="B8" s="79" t="s">
        <v>6</v>
      </c>
      <c r="C8" s="64"/>
      <c r="D8" s="64"/>
      <c r="E8" s="65">
        <f>'Logistical Corridor'!K109</f>
        <v>9010000</v>
      </c>
      <c r="F8" s="65">
        <f>'Logistical Corridor'!K110</f>
        <v>36040000</v>
      </c>
      <c r="G8" s="65">
        <f>'Logistical Corridor'!K111</f>
        <v>36040000</v>
      </c>
      <c r="H8" s="65">
        <f>'Logistical Corridor'!K112</f>
        <v>9010000</v>
      </c>
      <c r="I8" s="9"/>
      <c r="J8" s="9"/>
      <c r="K8" s="9"/>
      <c r="L8" s="9"/>
      <c r="M8" s="9"/>
      <c r="N8" s="9"/>
      <c r="O8" s="9"/>
      <c r="P8" s="9"/>
      <c r="Q8" s="9"/>
      <c r="R8" s="9"/>
      <c r="S8" s="9"/>
      <c r="T8" s="9"/>
      <c r="U8" s="9"/>
      <c r="V8" s="9"/>
      <c r="W8" s="9"/>
      <c r="X8" s="9"/>
      <c r="Y8" s="66"/>
    </row>
    <row r="9" spans="2:25" ht="12.75">
      <c r="B9" s="78" t="s">
        <v>70</v>
      </c>
      <c r="C9" s="64"/>
      <c r="D9" s="64"/>
      <c r="E9" s="65">
        <f>E8*'ERR &amp; Sensitivity Analysis'!G10</f>
        <v>9010000</v>
      </c>
      <c r="F9" s="65">
        <f>F8*'ERR &amp; Sensitivity Analysis'!G10</f>
        <v>36040000</v>
      </c>
      <c r="G9" s="65">
        <f>G8*'ERR &amp; Sensitivity Analysis'!G10</f>
        <v>36040000</v>
      </c>
      <c r="H9" s="65">
        <f>H8*'ERR &amp; Sensitivity Analysis'!G10</f>
        <v>9010000</v>
      </c>
      <c r="I9" s="9"/>
      <c r="J9" s="9"/>
      <c r="K9" s="9"/>
      <c r="L9" s="9"/>
      <c r="M9" s="9"/>
      <c r="N9" s="9"/>
      <c r="O9" s="9"/>
      <c r="P9" s="9"/>
      <c r="Q9" s="9"/>
      <c r="R9" s="9"/>
      <c r="S9" s="9"/>
      <c r="T9" s="9"/>
      <c r="U9" s="9"/>
      <c r="V9" s="9"/>
      <c r="W9" s="9"/>
      <c r="X9" s="9"/>
      <c r="Y9" s="66"/>
    </row>
    <row r="10" spans="2:25" ht="12.75">
      <c r="B10" s="94"/>
      <c r="C10" s="88"/>
      <c r="D10" s="88"/>
      <c r="E10" s="89"/>
      <c r="F10" s="89"/>
      <c r="G10" s="89"/>
      <c r="H10" s="89"/>
      <c r="I10" s="3"/>
      <c r="J10" s="3"/>
      <c r="K10" s="3"/>
      <c r="L10" s="3"/>
      <c r="M10" s="3"/>
      <c r="N10" s="3"/>
      <c r="O10" s="3"/>
      <c r="P10" s="8"/>
      <c r="Q10" s="8"/>
      <c r="R10" s="8"/>
      <c r="S10" s="8"/>
      <c r="T10" s="8"/>
      <c r="U10" s="8"/>
      <c r="V10" s="8"/>
      <c r="W10" s="8"/>
      <c r="X10" s="8"/>
      <c r="Y10" s="69"/>
    </row>
    <row r="11" spans="2:25" ht="12.75">
      <c r="B11" s="76" t="s">
        <v>58</v>
      </c>
      <c r="C11" s="8"/>
      <c r="D11" s="77"/>
      <c r="E11" s="8"/>
      <c r="F11" s="8"/>
      <c r="G11" s="8"/>
      <c r="H11" s="8"/>
      <c r="I11" s="68"/>
      <c r="J11" s="68"/>
      <c r="K11" s="68"/>
      <c r="L11" s="68"/>
      <c r="M11" s="68"/>
      <c r="N11" s="68"/>
      <c r="O11" s="8"/>
      <c r="P11" s="8"/>
      <c r="Q11" s="8"/>
      <c r="R11" s="8"/>
      <c r="S11" s="8"/>
      <c r="T11" s="8"/>
      <c r="U11" s="8"/>
      <c r="V11" s="8"/>
      <c r="W11" s="8"/>
      <c r="X11" s="8"/>
      <c r="Y11" s="69"/>
    </row>
    <row r="12" spans="2:25" ht="12.75">
      <c r="B12" s="76"/>
      <c r="C12" s="18" t="s">
        <v>65</v>
      </c>
      <c r="D12" s="77"/>
      <c r="E12" s="8"/>
      <c r="F12" s="8"/>
      <c r="G12" s="8"/>
      <c r="H12" s="8"/>
      <c r="I12" s="68"/>
      <c r="J12" s="68"/>
      <c r="K12" s="68"/>
      <c r="L12" s="68"/>
      <c r="M12" s="68"/>
      <c r="N12" s="68"/>
      <c r="O12" s="8"/>
      <c r="P12" s="8"/>
      <c r="Q12" s="8"/>
      <c r="R12" s="8"/>
      <c r="S12" s="8"/>
      <c r="T12" s="8"/>
      <c r="U12" s="8"/>
      <c r="V12" s="8"/>
      <c r="W12" s="8"/>
      <c r="X12" s="8"/>
      <c r="Y12" s="69"/>
    </row>
    <row r="13" spans="2:25" ht="12.75">
      <c r="B13" s="67"/>
      <c r="C13" s="8"/>
      <c r="D13" s="81" t="s">
        <v>60</v>
      </c>
      <c r="E13" s="8"/>
      <c r="F13" s="8"/>
      <c r="G13" s="8"/>
      <c r="H13" s="68">
        <f>'Logistical Corridor'!I139*'Logistical Corridor'!I144*365</f>
        <v>4354999.999999997</v>
      </c>
      <c r="I13" s="68">
        <f>'Logistical Corridor'!J139*'Logistical Corridor'!J144*365</f>
        <v>5291999.999999994</v>
      </c>
      <c r="J13" s="68">
        <f>'Logistical Corridor'!K139*'Logistical Corridor'!K144*365</f>
        <v>6437000.000000001</v>
      </c>
      <c r="K13" s="68">
        <f>'Logistical Corridor'!L139*'Logistical Corridor'!L144*365</f>
        <v>3141999.9999999977</v>
      </c>
      <c r="L13" s="68">
        <f>'Logistical Corridor'!M139*'Logistical Corridor'!M144*365</f>
        <v>3696999.999999997</v>
      </c>
      <c r="M13" s="68">
        <f>'Logistical Corridor'!N139*'Logistical Corridor'!N144*365</f>
        <v>4253999.999999995</v>
      </c>
      <c r="N13" s="68">
        <f>'Logistical Corridor'!Q139*'Logistical Corridor'!Q144*365</f>
        <v>4904000.000000009</v>
      </c>
      <c r="O13" s="68">
        <f>'Logistical Corridor'!R139*'Logistical Corridor'!R144*365</f>
        <v>5612000.000000002</v>
      </c>
      <c r="P13" s="68">
        <f>'Logistical Corridor'!S139*'Logistical Corridor'!S144*365</f>
        <v>6469000.000000003</v>
      </c>
      <c r="Q13" s="68">
        <f>'Logistical Corridor'!T139*'Logistical Corridor'!T144*365</f>
        <v>7520000.000000001</v>
      </c>
      <c r="R13" s="68">
        <f>'Logistical Corridor'!U139*'Logistical Corridor'!U144*365</f>
        <v>8826000.000000002</v>
      </c>
      <c r="S13" s="68">
        <f>'Logistical Corridor'!V139*'Logistical Corridor'!V144*365</f>
        <v>4428000.000000004</v>
      </c>
      <c r="T13" s="68">
        <f>'Logistical Corridor'!W139*'Logistical Corridor'!W144*365</f>
        <v>5165999.999999997</v>
      </c>
      <c r="U13" s="68">
        <f>'Logistical Corridor'!X139*'Logistical Corridor'!X144*365</f>
        <v>5904000.000000011</v>
      </c>
      <c r="V13" s="68">
        <f>'Logistical Corridor'!Y139*'Logistical Corridor'!Y144*365</f>
        <v>6759000.000000001</v>
      </c>
      <c r="W13" s="68">
        <f>'Logistical Corridor'!Z139*'Logistical Corridor'!Z144*365</f>
        <v>7777000.000000011</v>
      </c>
      <c r="X13" s="68">
        <f>'Logistical Corridor'!AA139*'Logistical Corridor'!AA144*365</f>
        <v>9025999.999999996</v>
      </c>
      <c r="Y13" s="70">
        <f>'Logistical Corridor'!AB139*'Logistical Corridor'!AB144*365</f>
        <v>0</v>
      </c>
    </row>
    <row r="14" spans="2:25" ht="12.75">
      <c r="B14" s="67"/>
      <c r="C14" s="8"/>
      <c r="D14" s="81" t="s">
        <v>59</v>
      </c>
      <c r="E14" s="8"/>
      <c r="F14" s="8"/>
      <c r="G14" s="8"/>
      <c r="H14" s="68">
        <f>'Logistical Corridor'!I140*'Logistical Corridor'!I145*365</f>
        <v>3522000.000000003</v>
      </c>
      <c r="I14" s="68">
        <f>'Logistical Corridor'!J140*'Logistical Corridor'!J145*365</f>
        <v>4191999.9999999977</v>
      </c>
      <c r="J14" s="68">
        <f>'Logistical Corridor'!K140*'Logistical Corridor'!K145*365</f>
        <v>4999000.000000001</v>
      </c>
      <c r="K14" s="68">
        <f>'Logistical Corridor'!L140*'Logistical Corridor'!L145*365</f>
        <v>2981999.9999999977</v>
      </c>
      <c r="L14" s="68">
        <f>'Logistical Corridor'!M140*'Logistical Corridor'!M145*365</f>
        <v>3429000.0000000037</v>
      </c>
      <c r="M14" s="68">
        <f>'Logistical Corridor'!N140*'Logistical Corridor'!N145*365</f>
        <v>3855000.0000000023</v>
      </c>
      <c r="N14" s="68">
        <f>'Logistical Corridor'!Q140*'Logistical Corridor'!Q145*365</f>
        <v>4343000.000000001</v>
      </c>
      <c r="O14" s="68">
        <f>'Logistical Corridor'!R140*'Logistical Corridor'!R145*365</f>
        <v>4851000.000000012</v>
      </c>
      <c r="P14" s="68">
        <f>'Logistical Corridor'!S140*'Logistical Corridor'!S145*365</f>
        <v>5432000</v>
      </c>
      <c r="Q14" s="68">
        <f>'Logistical Corridor'!T140*'Logistical Corridor'!T145*365</f>
        <v>6121000.000000001</v>
      </c>
      <c r="R14" s="68">
        <f>'Logistical Corridor'!U140*'Logistical Corridor'!U145*365</f>
        <v>3806000.0000000005</v>
      </c>
      <c r="S14" s="68">
        <f>'Logistical Corridor'!V140*'Logistical Corridor'!V145*365</f>
        <v>4347999.999999994</v>
      </c>
      <c r="T14" s="68">
        <f>'Logistical Corridor'!W140*'Logistical Corridor'!W145*365</f>
        <v>4858999.999999995</v>
      </c>
      <c r="U14" s="68">
        <f>'Logistical Corridor'!X140*'Logistical Corridor'!X145*365</f>
        <v>5433000.000000004</v>
      </c>
      <c r="V14" s="68">
        <f>'Logistical Corridor'!Y140*'Logistical Corridor'!Y145*365</f>
        <v>5903999.999999997</v>
      </c>
      <c r="W14" s="68">
        <f>'Logistical Corridor'!Z140*'Logistical Corridor'!Z145*365</f>
        <v>6421999.999999998</v>
      </c>
      <c r="X14" s="68">
        <f>'Logistical Corridor'!AA140*'Logistical Corridor'!AA145*365</f>
        <v>7035000.0000000065</v>
      </c>
      <c r="Y14" s="70">
        <f>'Logistical Corridor'!AB140*'Logistical Corridor'!AB145*365</f>
        <v>0</v>
      </c>
    </row>
    <row r="15" spans="2:25" ht="12.75">
      <c r="B15" s="67"/>
      <c r="C15" s="8"/>
      <c r="D15" s="82" t="s">
        <v>64</v>
      </c>
      <c r="E15" s="8"/>
      <c r="F15" s="8"/>
      <c r="G15" s="8"/>
      <c r="H15" s="68">
        <f>'Logistical Corridor'!I141*'Logistical Corridor'!I146*365</f>
        <v>6181999.999999997</v>
      </c>
      <c r="I15" s="68">
        <f>'Logistical Corridor'!J141*'Logistical Corridor'!J146*365</f>
        <v>7520000</v>
      </c>
      <c r="J15" s="68">
        <f>'Logistical Corridor'!K141*'Logistical Corridor'!K146*365</f>
        <v>9186999.999999996</v>
      </c>
      <c r="K15" s="68">
        <f>'Logistical Corridor'!L141*'Logistical Corridor'!L146*365</f>
        <v>11200000.000000015</v>
      </c>
      <c r="L15" s="68">
        <f>'Logistical Corridor'!M141*'Logistical Corridor'!M146*365</f>
        <v>6253000.000000004</v>
      </c>
      <c r="M15" s="68">
        <f>'Logistical Corridor'!N141*'Logistical Corridor'!N146*365</f>
        <v>7251000.0000000065</v>
      </c>
      <c r="N15" s="68">
        <f>'Logistical Corridor'!Q141*'Logistical Corridor'!Q146*365</f>
        <v>8256999.999999999</v>
      </c>
      <c r="O15" s="68">
        <f>'Logistical Corridor'!R141*'Logistical Corridor'!R146*365</f>
        <v>9314000.000000007</v>
      </c>
      <c r="P15" s="68">
        <f>'Logistical Corridor'!S141*'Logistical Corridor'!S146*365</f>
        <v>10573000.000000004</v>
      </c>
      <c r="Q15" s="68">
        <f>'Logistical Corridor'!T141*'Logistical Corridor'!T146*365</f>
        <v>12114999.99999999</v>
      </c>
      <c r="R15" s="68">
        <f>'Logistical Corridor'!U141*'Logistical Corridor'!U146*365</f>
        <v>14031000.000000002</v>
      </c>
      <c r="S15" s="68">
        <f>'Logistical Corridor'!V141*'Logistical Corridor'!V146*365</f>
        <v>7888999.999999999</v>
      </c>
      <c r="T15" s="68">
        <f>'Logistical Corridor'!W141*'Logistical Corridor'!W146*365</f>
        <v>9091000</v>
      </c>
      <c r="U15" s="68">
        <f>'Logistical Corridor'!X141*'Logistical Corridor'!X146*365</f>
        <v>10201999.999999994</v>
      </c>
      <c r="V15" s="68">
        <f>'Logistical Corridor'!Y141*'Logistical Corridor'!Y146*365</f>
        <v>11221000.000000007</v>
      </c>
      <c r="W15" s="68">
        <f>'Logistical Corridor'!Z141*'Logistical Corridor'!Z146*365</f>
        <v>12439999.999999998</v>
      </c>
      <c r="X15" s="68">
        <f>'Logistical Corridor'!AA141*'Logistical Corridor'!AA146*365</f>
        <v>13961000.000000004</v>
      </c>
      <c r="Y15" s="70">
        <f>'Logistical Corridor'!AB141*'Logistical Corridor'!AB146*365</f>
        <v>0</v>
      </c>
    </row>
    <row r="16" spans="2:25" ht="12.75">
      <c r="B16" s="67"/>
      <c r="C16" s="8"/>
      <c r="D16" s="135" t="s">
        <v>115</v>
      </c>
      <c r="E16" s="9"/>
      <c r="F16" s="9"/>
      <c r="G16" s="9"/>
      <c r="H16" s="136">
        <f>SUM(H13:H15)*'ERR &amp; Sensitivity Analysis'!$G$14</f>
        <v>14058999.999999996</v>
      </c>
      <c r="I16" s="136">
        <f>SUM(I13:I15)*'ERR &amp; Sensitivity Analysis'!$G$14</f>
        <v>17003999.999999993</v>
      </c>
      <c r="J16" s="136">
        <f>SUM(J13:J15)*'ERR &amp; Sensitivity Analysis'!$G$14</f>
        <v>20623000</v>
      </c>
      <c r="K16" s="136">
        <f>SUM(K13:K15)*'ERR &amp; Sensitivity Analysis'!$G$14</f>
        <v>17324000.00000001</v>
      </c>
      <c r="L16" s="136">
        <f>SUM(L13:L15)*'ERR &amp; Sensitivity Analysis'!$G$14</f>
        <v>13379000.000000004</v>
      </c>
      <c r="M16" s="136">
        <f>SUM(M13:M15)*'ERR &amp; Sensitivity Analysis'!$G$14</f>
        <v>15360000.000000004</v>
      </c>
      <c r="N16" s="136">
        <f>SUM(N13:N15)*'ERR &amp; Sensitivity Analysis'!$G$14</f>
        <v>17504000.00000001</v>
      </c>
      <c r="O16" s="136">
        <f>SUM(O13:O15)*'ERR &amp; Sensitivity Analysis'!$G$14</f>
        <v>19777000.000000022</v>
      </c>
      <c r="P16" s="136">
        <f>SUM(P13:P15)*'ERR &amp; Sensitivity Analysis'!$G$14</f>
        <v>22474000.000000007</v>
      </c>
      <c r="Q16" s="136">
        <f>SUM(Q13:Q15)*'ERR &amp; Sensitivity Analysis'!$G$14</f>
        <v>25755999.999999993</v>
      </c>
      <c r="R16" s="136">
        <f>SUM(R13:R15)*'ERR &amp; Sensitivity Analysis'!$G$14</f>
        <v>26663000.000000004</v>
      </c>
      <c r="S16" s="136">
        <f>SUM(S13:S15)*'ERR &amp; Sensitivity Analysis'!$G$14</f>
        <v>16664999.999999996</v>
      </c>
      <c r="T16" s="136">
        <f>SUM(T13:T15)*'ERR &amp; Sensitivity Analysis'!$G$14</f>
        <v>19115999.999999993</v>
      </c>
      <c r="U16" s="136">
        <f>SUM(U13:U15)*'ERR &amp; Sensitivity Analysis'!$G$14</f>
        <v>21539000.000000007</v>
      </c>
      <c r="V16" s="136">
        <f>SUM(V13:V15)*'ERR &amp; Sensitivity Analysis'!$G$14</f>
        <v>23884000.000000007</v>
      </c>
      <c r="W16" s="136">
        <f>SUM(W13:W15)*'ERR &amp; Sensitivity Analysis'!$G$14</f>
        <v>26639000.000000007</v>
      </c>
      <c r="X16" s="136">
        <f>SUM(X13:X15)*'ERR &amp; Sensitivity Analysis'!$G$14</f>
        <v>30022000.000000007</v>
      </c>
      <c r="Y16" s="287">
        <f>SUM(Y13:Y15)*'ERR &amp; Sensitivity Analysis'!$G$14</f>
        <v>0</v>
      </c>
    </row>
    <row r="17" spans="2:25" ht="12.75">
      <c r="B17" s="67"/>
      <c r="C17" s="80" t="s">
        <v>66</v>
      </c>
      <c r="D17" s="8"/>
      <c r="E17" s="8"/>
      <c r="F17" s="8"/>
      <c r="G17" s="98"/>
      <c r="H17" s="98"/>
      <c r="I17" s="98"/>
      <c r="J17" s="98"/>
      <c r="K17" s="68"/>
      <c r="L17" s="68"/>
      <c r="M17" s="68"/>
      <c r="N17" s="68"/>
      <c r="O17" s="68"/>
      <c r="P17" s="68"/>
      <c r="Q17" s="68"/>
      <c r="R17" s="68"/>
      <c r="S17" s="68"/>
      <c r="T17" s="68"/>
      <c r="U17" s="68"/>
      <c r="V17" s="68"/>
      <c r="W17" s="68"/>
      <c r="X17" s="68"/>
      <c r="Y17" s="70"/>
    </row>
    <row r="18" spans="2:25" ht="12.75">
      <c r="B18" s="67"/>
      <c r="C18" s="80"/>
      <c r="D18" s="81" t="s">
        <v>60</v>
      </c>
      <c r="E18" s="8"/>
      <c r="F18" s="8"/>
      <c r="G18" s="68">
        <f>1000000*'Logistical Corridor'!D58</f>
        <v>3000.0000000000027</v>
      </c>
      <c r="H18" s="68">
        <f>1000000*'Logistical Corridor'!D59</f>
        <v>4000</v>
      </c>
      <c r="I18" s="68">
        <f>1000000*'Logistical Corridor'!D60</f>
        <v>980999.9999999999</v>
      </c>
      <c r="J18" s="68"/>
      <c r="K18" s="68"/>
      <c r="L18" s="68"/>
      <c r="M18" s="68"/>
      <c r="N18" s="68"/>
      <c r="O18" s="68"/>
      <c r="P18" s="68"/>
      <c r="Q18" s="68">
        <f>1000000*'Logistical Corridor'!D68</f>
        <v>980999.9999999999</v>
      </c>
      <c r="R18" s="68"/>
      <c r="S18" s="68"/>
      <c r="T18" s="68"/>
      <c r="U18" s="68"/>
      <c r="V18" s="68"/>
      <c r="W18" s="68">
        <f>1000000*'Logistical Corridor'!D74</f>
        <v>10176000</v>
      </c>
      <c r="X18" s="68"/>
      <c r="Y18" s="70"/>
    </row>
    <row r="19" spans="2:25" ht="12.75">
      <c r="B19" s="67"/>
      <c r="C19" s="80"/>
      <c r="D19" s="81" t="s">
        <v>59</v>
      </c>
      <c r="E19" s="8"/>
      <c r="F19" s="8"/>
      <c r="G19" s="68">
        <f>1000000*'Logistical Corridor'!E58</f>
        <v>2000.0000000000018</v>
      </c>
      <c r="H19" s="68">
        <f>1000000*'Logistical Corridor'!E59</f>
        <v>4000.0000000000036</v>
      </c>
      <c r="I19" s="68">
        <f>1000000*'Logistical Corridor'!E60</f>
        <v>1373000</v>
      </c>
      <c r="J19" s="68"/>
      <c r="K19" s="68"/>
      <c r="L19" s="68"/>
      <c r="M19" s="68"/>
      <c r="N19" s="68"/>
      <c r="O19" s="68"/>
      <c r="P19" s="68">
        <f>1000000*'Logistical Corridor'!E67</f>
        <v>1373000</v>
      </c>
      <c r="Q19" s="68"/>
      <c r="R19" s="68"/>
      <c r="S19" s="68"/>
      <c r="T19" s="68"/>
      <c r="U19" s="68"/>
      <c r="V19" s="68"/>
      <c r="W19" s="68">
        <f>1000000*'Logistical Corridor'!E74</f>
        <v>8593000</v>
      </c>
      <c r="X19" s="68"/>
      <c r="Y19" s="70"/>
    </row>
    <row r="20" spans="2:25" ht="12.75">
      <c r="B20" s="67"/>
      <c r="C20" s="80"/>
      <c r="D20" s="82" t="s">
        <v>64</v>
      </c>
      <c r="E20" s="8"/>
      <c r="F20" s="8"/>
      <c r="G20" s="68">
        <f>1000000*'Logistical Corridor'!F58</f>
        <v>4000.0000000000036</v>
      </c>
      <c r="H20" s="68">
        <f>1000000*'Logistical Corridor'!F59</f>
        <v>6000.0000000000055</v>
      </c>
      <c r="I20" s="68">
        <f>1000000*'Logistical Corridor'!F60</f>
        <v>9000.000000000002</v>
      </c>
      <c r="J20" s="68">
        <f>1000000*'Logistical Corridor'!F61</f>
        <v>1962000</v>
      </c>
      <c r="K20" s="68"/>
      <c r="L20" s="68"/>
      <c r="M20" s="68"/>
      <c r="N20" s="68"/>
      <c r="O20" s="68"/>
      <c r="P20" s="68"/>
      <c r="Q20" s="68">
        <f>1000000*'Logistical Corridor'!F68</f>
        <v>1962000</v>
      </c>
      <c r="R20" s="68"/>
      <c r="S20" s="68"/>
      <c r="T20" s="68"/>
      <c r="U20" s="68"/>
      <c r="V20" s="68"/>
      <c r="W20" s="68">
        <f>1000000*'Logistical Corridor'!F74</f>
        <v>12726000</v>
      </c>
      <c r="X20" s="68"/>
      <c r="Y20" s="70"/>
    </row>
    <row r="21" spans="2:25" ht="12.75">
      <c r="B21" s="67"/>
      <c r="C21" s="80" t="s">
        <v>67</v>
      </c>
      <c r="D21" s="8"/>
      <c r="E21" s="83">
        <f>'Logistical Corridor'!G109</f>
        <v>1261400.0000000002</v>
      </c>
      <c r="F21" s="83">
        <f>'Logistical Corridor'!G110</f>
        <v>5045600.000000001</v>
      </c>
      <c r="G21" s="83">
        <f>'Logistical Corridor'!G111</f>
        <v>5045600.000000001</v>
      </c>
      <c r="H21" s="84">
        <f>'Logistical Corridor'!G112</f>
        <v>1261400.0000000002</v>
      </c>
      <c r="I21" s="68"/>
      <c r="J21" s="68"/>
      <c r="K21" s="68"/>
      <c r="L21" s="68"/>
      <c r="M21" s="68"/>
      <c r="N21" s="68"/>
      <c r="O21" s="68"/>
      <c r="P21" s="68"/>
      <c r="Q21" s="68"/>
      <c r="R21" s="68"/>
      <c r="S21" s="68"/>
      <c r="T21" s="68"/>
      <c r="U21" s="68"/>
      <c r="V21" s="68"/>
      <c r="W21" s="68"/>
      <c r="X21" s="68"/>
      <c r="Y21" s="70"/>
    </row>
    <row r="22" spans="2:25" ht="12.75">
      <c r="B22" s="67"/>
      <c r="C22" s="3"/>
      <c r="D22" s="3"/>
      <c r="E22" s="8"/>
      <c r="F22" s="8"/>
      <c r="G22" s="8"/>
      <c r="H22" s="68"/>
      <c r="I22" s="68"/>
      <c r="J22" s="68"/>
      <c r="K22" s="68"/>
      <c r="L22" s="68"/>
      <c r="M22" s="68"/>
      <c r="N22" s="68"/>
      <c r="O22" s="68"/>
      <c r="P22" s="68"/>
      <c r="Q22" s="68"/>
      <c r="R22" s="68"/>
      <c r="S22" s="68"/>
      <c r="T22" s="68"/>
      <c r="U22" s="68"/>
      <c r="V22" s="68"/>
      <c r="W22" s="68"/>
      <c r="X22" s="68"/>
      <c r="Y22" s="70"/>
    </row>
    <row r="23" spans="2:25" ht="12.75">
      <c r="B23" s="63" t="s">
        <v>107</v>
      </c>
      <c r="C23" s="64"/>
      <c r="D23" s="64"/>
      <c r="E23" s="85">
        <f>SUM(E16:E22)</f>
        <v>1261400.0000000002</v>
      </c>
      <c r="F23" s="85">
        <f aca="true" t="shared" si="2" ref="F23:Y23">SUM(F16:F22)</f>
        <v>5045600.000000001</v>
      </c>
      <c r="G23" s="85">
        <f t="shared" si="2"/>
        <v>5054600.000000001</v>
      </c>
      <c r="H23" s="85">
        <f t="shared" si="2"/>
        <v>15334399.999999996</v>
      </c>
      <c r="I23" s="85">
        <f t="shared" si="2"/>
        <v>19366999.999999993</v>
      </c>
      <c r="J23" s="85">
        <f t="shared" si="2"/>
        <v>22585000</v>
      </c>
      <c r="K23" s="85">
        <f t="shared" si="2"/>
        <v>17324000.00000001</v>
      </c>
      <c r="L23" s="85">
        <f t="shared" si="2"/>
        <v>13379000.000000004</v>
      </c>
      <c r="M23" s="85">
        <f t="shared" si="2"/>
        <v>15360000.000000004</v>
      </c>
      <c r="N23" s="85">
        <f t="shared" si="2"/>
        <v>17504000.00000001</v>
      </c>
      <c r="O23" s="85">
        <f t="shared" si="2"/>
        <v>19777000.000000022</v>
      </c>
      <c r="P23" s="85">
        <f t="shared" si="2"/>
        <v>23847000.000000007</v>
      </c>
      <c r="Q23" s="85">
        <f t="shared" si="2"/>
        <v>28698999.999999993</v>
      </c>
      <c r="R23" s="85">
        <f t="shared" si="2"/>
        <v>26663000.000000004</v>
      </c>
      <c r="S23" s="85">
        <f t="shared" si="2"/>
        <v>16664999.999999996</v>
      </c>
      <c r="T23" s="85">
        <f t="shared" si="2"/>
        <v>19115999.999999993</v>
      </c>
      <c r="U23" s="85">
        <f t="shared" si="2"/>
        <v>21539000.000000007</v>
      </c>
      <c r="V23" s="85">
        <f t="shared" si="2"/>
        <v>23884000.000000007</v>
      </c>
      <c r="W23" s="85">
        <f t="shared" si="2"/>
        <v>58134000.00000001</v>
      </c>
      <c r="X23" s="85">
        <f t="shared" si="2"/>
        <v>30022000.000000007</v>
      </c>
      <c r="Y23" s="99">
        <f t="shared" si="2"/>
        <v>0</v>
      </c>
    </row>
    <row r="24" spans="2:25" ht="12.75">
      <c r="B24" s="63" t="s">
        <v>108</v>
      </c>
      <c r="C24" s="9"/>
      <c r="D24" s="64"/>
      <c r="E24" s="85">
        <f>'ERR &amp; Sensitivity Analysis'!$G$11*'Highway Summary ERR'!E23</f>
        <v>1261400.0000000002</v>
      </c>
      <c r="F24" s="85">
        <f>'ERR &amp; Sensitivity Analysis'!$G$11*'Highway Summary ERR'!F23</f>
        <v>5045600.000000001</v>
      </c>
      <c r="G24" s="85">
        <f>'ERR &amp; Sensitivity Analysis'!$G$11*'Highway Summary ERR'!G23</f>
        <v>5054600.000000001</v>
      </c>
      <c r="H24" s="85">
        <f>'ERR &amp; Sensitivity Analysis'!$G$11*'Highway Summary ERR'!H23</f>
        <v>15334399.999999996</v>
      </c>
      <c r="I24" s="85">
        <f>'ERR &amp; Sensitivity Analysis'!$G$11*'Highway Summary ERR'!I23</f>
        <v>19366999.999999993</v>
      </c>
      <c r="J24" s="85">
        <f>'ERR &amp; Sensitivity Analysis'!$G$11*'Highway Summary ERR'!J23</f>
        <v>22585000</v>
      </c>
      <c r="K24" s="85">
        <f>'ERR &amp; Sensitivity Analysis'!$G$11*'Highway Summary ERR'!K23</f>
        <v>17324000.00000001</v>
      </c>
      <c r="L24" s="85">
        <f>'ERR &amp; Sensitivity Analysis'!$G$11*'Highway Summary ERR'!L23</f>
        <v>13379000.000000004</v>
      </c>
      <c r="M24" s="85">
        <f>'ERR &amp; Sensitivity Analysis'!$G$11*'Highway Summary ERR'!M23</f>
        <v>15360000.000000004</v>
      </c>
      <c r="N24" s="85">
        <f>'ERR &amp; Sensitivity Analysis'!$G$11*'Highway Summary ERR'!N23</f>
        <v>17504000.00000001</v>
      </c>
      <c r="O24" s="85">
        <f>'ERR &amp; Sensitivity Analysis'!$G$11*'Highway Summary ERR'!O23</f>
        <v>19777000.000000022</v>
      </c>
      <c r="P24" s="85">
        <f>'ERR &amp; Sensitivity Analysis'!$G$11*'Highway Summary ERR'!P23</f>
        <v>23847000.000000007</v>
      </c>
      <c r="Q24" s="85">
        <f>'ERR &amp; Sensitivity Analysis'!$G$11*'Highway Summary ERR'!Q23</f>
        <v>28698999.999999993</v>
      </c>
      <c r="R24" s="85">
        <f>'ERR &amp; Sensitivity Analysis'!$G$11*'Highway Summary ERR'!R23</f>
        <v>26663000.000000004</v>
      </c>
      <c r="S24" s="85">
        <f>'ERR &amp; Sensitivity Analysis'!$G$11*'Highway Summary ERR'!S23</f>
        <v>16664999.999999996</v>
      </c>
      <c r="T24" s="85">
        <f>'ERR &amp; Sensitivity Analysis'!$G$11*'Highway Summary ERR'!T23</f>
        <v>19115999.999999993</v>
      </c>
      <c r="U24" s="85">
        <f>'ERR &amp; Sensitivity Analysis'!$G$11*'Highway Summary ERR'!U23</f>
        <v>21539000.000000007</v>
      </c>
      <c r="V24" s="85">
        <f>'ERR &amp; Sensitivity Analysis'!$G$11*'Highway Summary ERR'!V23</f>
        <v>23884000.000000007</v>
      </c>
      <c r="W24" s="85">
        <f>'ERR &amp; Sensitivity Analysis'!$G$11*'Highway Summary ERR'!W23</f>
        <v>58134000.00000001</v>
      </c>
      <c r="X24" s="85">
        <f>'ERR &amp; Sensitivity Analysis'!$G$11*'Highway Summary ERR'!X23</f>
        <v>30022000.000000007</v>
      </c>
      <c r="Y24" s="99">
        <f>'ERR &amp; Sensitivity Analysis'!$G$11*'Highway Summary ERR'!Y23</f>
        <v>0</v>
      </c>
    </row>
    <row r="25" spans="2:25" ht="12.75">
      <c r="B25" s="95"/>
      <c r="C25" s="88"/>
      <c r="D25" s="88"/>
      <c r="E25" s="96"/>
      <c r="F25" s="96"/>
      <c r="G25" s="96"/>
      <c r="H25" s="96"/>
      <c r="I25" s="97"/>
      <c r="J25" s="97"/>
      <c r="K25" s="97"/>
      <c r="L25" s="97"/>
      <c r="M25" s="97"/>
      <c r="N25" s="97"/>
      <c r="O25" s="97"/>
      <c r="P25" s="97"/>
      <c r="Q25" s="97"/>
      <c r="R25" s="97"/>
      <c r="S25" s="97"/>
      <c r="T25" s="97"/>
      <c r="U25" s="97"/>
      <c r="V25" s="97"/>
      <c r="W25" s="97"/>
      <c r="X25" s="97"/>
      <c r="Y25" s="100"/>
    </row>
    <row r="26" spans="2:26" ht="12.75">
      <c r="B26" s="63" t="s">
        <v>71</v>
      </c>
      <c r="C26" s="64"/>
      <c r="D26" s="64"/>
      <c r="E26" s="65">
        <f>E24-E9</f>
        <v>-7748600</v>
      </c>
      <c r="F26" s="65">
        <f aca="true" t="shared" si="3" ref="F26:Y26">F24-F9</f>
        <v>-30994400</v>
      </c>
      <c r="G26" s="65">
        <f t="shared" si="3"/>
        <v>-30985400</v>
      </c>
      <c r="H26" s="65">
        <f t="shared" si="3"/>
        <v>6324399.999999996</v>
      </c>
      <c r="I26" s="65">
        <f t="shared" si="3"/>
        <v>19366999.999999993</v>
      </c>
      <c r="J26" s="65">
        <f t="shared" si="3"/>
        <v>22585000</v>
      </c>
      <c r="K26" s="65">
        <f t="shared" si="3"/>
        <v>17324000.00000001</v>
      </c>
      <c r="L26" s="65">
        <f t="shared" si="3"/>
        <v>13379000.000000004</v>
      </c>
      <c r="M26" s="65">
        <f t="shared" si="3"/>
        <v>15360000.000000004</v>
      </c>
      <c r="N26" s="65">
        <f t="shared" si="3"/>
        <v>17504000.00000001</v>
      </c>
      <c r="O26" s="65">
        <f t="shared" si="3"/>
        <v>19777000.000000022</v>
      </c>
      <c r="P26" s="65">
        <f t="shared" si="3"/>
        <v>23847000.000000007</v>
      </c>
      <c r="Q26" s="65">
        <f t="shared" si="3"/>
        <v>28698999.999999993</v>
      </c>
      <c r="R26" s="65">
        <f t="shared" si="3"/>
        <v>26663000.000000004</v>
      </c>
      <c r="S26" s="65">
        <f t="shared" si="3"/>
        <v>16664999.999999996</v>
      </c>
      <c r="T26" s="65">
        <f t="shared" si="3"/>
        <v>19115999.999999993</v>
      </c>
      <c r="U26" s="65">
        <f t="shared" si="3"/>
        <v>21539000.000000007</v>
      </c>
      <c r="V26" s="65">
        <f t="shared" si="3"/>
        <v>23884000.000000007</v>
      </c>
      <c r="W26" s="65">
        <f t="shared" si="3"/>
        <v>58134000.00000001</v>
      </c>
      <c r="X26" s="65">
        <f t="shared" si="3"/>
        <v>30022000.000000007</v>
      </c>
      <c r="Y26" s="71">
        <f t="shared" si="3"/>
        <v>0</v>
      </c>
      <c r="Z26" s="271"/>
    </row>
    <row r="27" spans="2:26" ht="13.5" thickBot="1">
      <c r="B27" s="95"/>
      <c r="C27" s="88"/>
      <c r="D27" s="88"/>
      <c r="E27" s="89"/>
      <c r="F27" s="89"/>
      <c r="G27" s="89"/>
      <c r="H27" s="89"/>
      <c r="I27" s="89"/>
      <c r="J27" s="89"/>
      <c r="K27" s="89"/>
      <c r="L27" s="89"/>
      <c r="M27" s="89"/>
      <c r="N27" s="89"/>
      <c r="O27" s="89"/>
      <c r="P27" s="89"/>
      <c r="Q27" s="89"/>
      <c r="R27" s="89"/>
      <c r="S27" s="89"/>
      <c r="T27" s="89"/>
      <c r="U27" s="89"/>
      <c r="V27" s="89"/>
      <c r="W27" s="89"/>
      <c r="X27" s="89"/>
      <c r="Y27" s="90"/>
      <c r="Z27" s="271"/>
    </row>
    <row r="28" spans="2:25" ht="13.5" thickBot="1">
      <c r="B28" s="67"/>
      <c r="C28" s="8"/>
      <c r="D28" s="93" t="s">
        <v>69</v>
      </c>
      <c r="E28" s="131">
        <f>IRR(E26:X26)</f>
        <v>0.21074072915302833</v>
      </c>
      <c r="F28" s="91"/>
      <c r="G28" s="91"/>
      <c r="H28" s="91"/>
      <c r="I28" s="91"/>
      <c r="J28" s="91"/>
      <c r="K28" s="91"/>
      <c r="L28" s="91"/>
      <c r="M28" s="91"/>
      <c r="N28" s="91"/>
      <c r="O28" s="8"/>
      <c r="P28" s="8"/>
      <c r="Q28" s="8"/>
      <c r="R28" s="8"/>
      <c r="S28" s="8"/>
      <c r="T28" s="8"/>
      <c r="U28" s="8"/>
      <c r="V28" s="8"/>
      <c r="W28" s="8"/>
      <c r="X28" s="8"/>
      <c r="Y28" s="69"/>
    </row>
    <row r="29" spans="2:25" ht="13.5" thickBot="1">
      <c r="B29" s="72"/>
      <c r="C29" s="73"/>
      <c r="D29" s="73"/>
      <c r="E29" s="74"/>
      <c r="F29" s="74"/>
      <c r="G29" s="74"/>
      <c r="H29" s="74"/>
      <c r="I29" s="74"/>
      <c r="J29" s="74"/>
      <c r="K29" s="74"/>
      <c r="L29" s="74"/>
      <c r="M29" s="74"/>
      <c r="N29" s="74"/>
      <c r="O29" s="73"/>
      <c r="P29" s="73"/>
      <c r="Q29" s="73"/>
      <c r="R29" s="73"/>
      <c r="S29" s="73"/>
      <c r="T29" s="73"/>
      <c r="U29" s="73"/>
      <c r="V29" s="73"/>
      <c r="W29" s="73"/>
      <c r="X29" s="73"/>
      <c r="Y29" s="75"/>
    </row>
    <row r="30" spans="2:25" s="269" customFormat="1" ht="12.75">
      <c r="B30" s="139"/>
      <c r="C30" s="139"/>
      <c r="D30" s="139"/>
      <c r="E30" s="284"/>
      <c r="F30" s="284"/>
      <c r="G30" s="284"/>
      <c r="H30" s="284"/>
      <c r="I30" s="284"/>
      <c r="J30" s="284"/>
      <c r="K30" s="284"/>
      <c r="L30" s="284"/>
      <c r="M30" s="284"/>
      <c r="N30" s="284"/>
      <c r="O30" s="139"/>
      <c r="P30" s="139"/>
      <c r="Q30" s="139"/>
      <c r="R30" s="139"/>
      <c r="S30" s="139"/>
      <c r="T30" s="139"/>
      <c r="U30" s="139"/>
      <c r="V30" s="139"/>
      <c r="W30" s="139"/>
      <c r="X30" s="139"/>
      <c r="Y30" s="139"/>
    </row>
    <row r="31" spans="1:52" s="274" customFormat="1" ht="13.5" thickBot="1">
      <c r="A31" s="139"/>
      <c r="B31" s="272"/>
      <c r="C31" s="272"/>
      <c r="D31" s="272"/>
      <c r="E31" s="272"/>
      <c r="F31" s="272"/>
      <c r="G31" s="272"/>
      <c r="H31" s="272"/>
      <c r="I31" s="273"/>
      <c r="J31" s="273"/>
      <c r="K31" s="272"/>
      <c r="L31" s="272"/>
      <c r="M31" s="272"/>
      <c r="N31" s="272"/>
      <c r="O31" s="272"/>
      <c r="P31" s="272"/>
      <c r="Q31" s="272"/>
      <c r="R31" s="272"/>
      <c r="S31" s="272"/>
      <c r="T31" s="272"/>
      <c r="U31" s="272"/>
      <c r="V31" s="272"/>
      <c r="W31" s="272"/>
      <c r="X31" s="272"/>
      <c r="Y31" s="272"/>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row>
    <row r="32" spans="9:10" s="139" customFormat="1" ht="13.5" thickTop="1">
      <c r="I32" s="275"/>
      <c r="J32" s="275"/>
    </row>
    <row r="33" spans="9:10" s="139" customFormat="1" ht="13.5" thickBot="1">
      <c r="I33" s="275"/>
      <c r="J33" s="275"/>
    </row>
    <row r="34" spans="1:52" s="8" customFormat="1" ht="18.75" thickBot="1">
      <c r="A34" s="139"/>
      <c r="B34" s="290" t="s">
        <v>96</v>
      </c>
      <c r="C34" s="289"/>
      <c r="D34" s="289"/>
      <c r="E34" s="289"/>
      <c r="F34" s="289"/>
      <c r="G34" s="289"/>
      <c r="H34" s="289"/>
      <c r="I34" s="292"/>
      <c r="J34" s="292"/>
      <c r="K34" s="289"/>
      <c r="L34" s="289"/>
      <c r="M34" s="289"/>
      <c r="N34" s="289"/>
      <c r="O34" s="289"/>
      <c r="P34" s="289"/>
      <c r="Q34" s="289"/>
      <c r="R34" s="289"/>
      <c r="S34" s="289"/>
      <c r="T34" s="289"/>
      <c r="U34" s="289"/>
      <c r="V34" s="289"/>
      <c r="W34" s="289"/>
      <c r="X34" s="289"/>
      <c r="Y34" s="291"/>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row>
    <row r="35" spans="1:52" s="8" customFormat="1" ht="12.75">
      <c r="A35" s="139"/>
      <c r="B35" s="285" t="s">
        <v>57</v>
      </c>
      <c r="C35" s="86"/>
      <c r="D35" s="86"/>
      <c r="E35" s="86">
        <v>2005</v>
      </c>
      <c r="F35" s="86">
        <f>E35+1</f>
        <v>2006</v>
      </c>
      <c r="G35" s="86">
        <f aca="true" t="shared" si="4" ref="G35:N35">F35+1</f>
        <v>2007</v>
      </c>
      <c r="H35" s="86">
        <f t="shared" si="4"/>
        <v>2008</v>
      </c>
      <c r="I35" s="86">
        <f t="shared" si="4"/>
        <v>2009</v>
      </c>
      <c r="J35" s="86">
        <f t="shared" si="4"/>
        <v>2010</v>
      </c>
      <c r="K35" s="86">
        <f t="shared" si="4"/>
        <v>2011</v>
      </c>
      <c r="L35" s="86">
        <f t="shared" si="4"/>
        <v>2012</v>
      </c>
      <c r="M35" s="86">
        <f t="shared" si="4"/>
        <v>2013</v>
      </c>
      <c r="N35" s="86">
        <f t="shared" si="4"/>
        <v>2014</v>
      </c>
      <c r="O35" s="87">
        <f>N35+1</f>
        <v>2015</v>
      </c>
      <c r="P35" s="86">
        <f aca="true" t="shared" si="5" ref="P35:Y35">O35+1</f>
        <v>2016</v>
      </c>
      <c r="Q35" s="86">
        <f t="shared" si="5"/>
        <v>2017</v>
      </c>
      <c r="R35" s="86">
        <f t="shared" si="5"/>
        <v>2018</v>
      </c>
      <c r="S35" s="86">
        <f t="shared" si="5"/>
        <v>2019</v>
      </c>
      <c r="T35" s="86">
        <f t="shared" si="5"/>
        <v>2020</v>
      </c>
      <c r="U35" s="86">
        <f t="shared" si="5"/>
        <v>2021</v>
      </c>
      <c r="V35" s="86">
        <f t="shared" si="5"/>
        <v>2022</v>
      </c>
      <c r="W35" s="86">
        <f t="shared" si="5"/>
        <v>2023</v>
      </c>
      <c r="X35" s="86">
        <f t="shared" si="5"/>
        <v>2024</v>
      </c>
      <c r="Y35" s="87">
        <f t="shared" si="5"/>
        <v>2025</v>
      </c>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row>
    <row r="36" spans="1:52" s="8" customFormat="1" ht="12.75">
      <c r="A36" s="139"/>
      <c r="B36" s="67"/>
      <c r="I36" s="92"/>
      <c r="J36" s="92"/>
      <c r="Y36" s="6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row>
    <row r="37" spans="1:52" s="8" customFormat="1" ht="12.75">
      <c r="A37" s="139"/>
      <c r="B37" s="78" t="s">
        <v>6</v>
      </c>
      <c r="C37" s="9"/>
      <c r="D37" s="9"/>
      <c r="E37" s="9">
        <f>'Secondary Roads'!D95</f>
        <v>0</v>
      </c>
      <c r="F37" s="120">
        <f>'Secondary Roads'!E97</f>
        <v>7650164.845771145</v>
      </c>
      <c r="G37" s="120">
        <f>'Secondary Roads'!F97</f>
        <v>10593064.887175154</v>
      </c>
      <c r="H37" s="120">
        <f>21300000-(F37+G37)</f>
        <v>3056770.267053701</v>
      </c>
      <c r="I37" s="121"/>
      <c r="J37" s="121"/>
      <c r="K37" s="9"/>
      <c r="L37" s="9"/>
      <c r="M37" s="9"/>
      <c r="N37" s="9"/>
      <c r="O37" s="9"/>
      <c r="P37" s="9"/>
      <c r="Q37" s="9"/>
      <c r="R37" s="9"/>
      <c r="S37" s="9"/>
      <c r="T37" s="9"/>
      <c r="U37" s="9"/>
      <c r="V37" s="9"/>
      <c r="W37" s="9"/>
      <c r="X37" s="9"/>
      <c r="Y37" s="66"/>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row>
    <row r="38" spans="1:52" s="8" customFormat="1" ht="12.75">
      <c r="A38" s="139"/>
      <c r="B38" s="78" t="s">
        <v>113</v>
      </c>
      <c r="C38" s="9"/>
      <c r="D38" s="9"/>
      <c r="E38" s="9">
        <f>E37*'ERR &amp; Sensitivity Analysis'!G10*'ERR &amp; Sensitivity Analysis'!G15</f>
        <v>0</v>
      </c>
      <c r="F38" s="120">
        <f>F37*'ERR &amp; Sensitivity Analysis'!G10*'ERR &amp; Sensitivity Analysis'!G15</f>
        <v>7650164.845771145</v>
      </c>
      <c r="G38" s="120">
        <f>G37*'ERR &amp; Sensitivity Analysis'!G10*'ERR &amp; Sensitivity Analysis'!G15</f>
        <v>10593064.887175154</v>
      </c>
      <c r="H38" s="120">
        <f>H37*'ERR &amp; Sensitivity Analysis'!G10*'ERR &amp; Sensitivity Analysis'!G15</f>
        <v>3056770.267053701</v>
      </c>
      <c r="I38" s="121"/>
      <c r="J38" s="121"/>
      <c r="K38" s="9"/>
      <c r="L38" s="9"/>
      <c r="M38" s="9"/>
      <c r="N38" s="9"/>
      <c r="O38" s="9"/>
      <c r="P38" s="9"/>
      <c r="Q38" s="9"/>
      <c r="R38" s="9"/>
      <c r="S38" s="9"/>
      <c r="T38" s="9"/>
      <c r="U38" s="9"/>
      <c r="V38" s="9"/>
      <c r="W38" s="9"/>
      <c r="X38" s="9"/>
      <c r="Y38" s="66"/>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row>
    <row r="39" spans="1:52" s="8" customFormat="1" ht="12.75">
      <c r="A39" s="139"/>
      <c r="B39" s="130"/>
      <c r="F39" s="83"/>
      <c r="G39" s="83"/>
      <c r="H39" s="83"/>
      <c r="I39" s="92"/>
      <c r="J39" s="92"/>
      <c r="Y39" s="6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row>
    <row r="40" spans="1:52" s="8" customFormat="1" ht="12.75">
      <c r="A40" s="139"/>
      <c r="B40" s="130" t="s">
        <v>58</v>
      </c>
      <c r="E40" s="83">
        <v>-5526000</v>
      </c>
      <c r="F40" s="83">
        <v>1037164.8457711451</v>
      </c>
      <c r="G40" s="83">
        <v>12261064.887175154</v>
      </c>
      <c r="H40" s="83">
        <v>9665770.267053701</v>
      </c>
      <c r="I40" s="83">
        <v>7366000.000000001</v>
      </c>
      <c r="J40" s="83">
        <v>8102000</v>
      </c>
      <c r="K40" s="83">
        <v>8257000</v>
      </c>
      <c r="L40" s="83">
        <v>8498000.000000002</v>
      </c>
      <c r="M40" s="83">
        <v>9067000.000000002</v>
      </c>
      <c r="N40" s="83">
        <v>10212000.000000002</v>
      </c>
      <c r="O40" s="83">
        <v>10337000</v>
      </c>
      <c r="P40" s="83">
        <v>10982000</v>
      </c>
      <c r="Q40" s="83">
        <v>11230999.999999998</v>
      </c>
      <c r="R40" s="83">
        <v>11607000</v>
      </c>
      <c r="S40" s="83">
        <v>12578000</v>
      </c>
      <c r="T40" s="83">
        <v>13112000</v>
      </c>
      <c r="U40" s="83">
        <v>13797000</v>
      </c>
      <c r="V40" s="83">
        <v>14843000</v>
      </c>
      <c r="W40" s="83">
        <v>14820000</v>
      </c>
      <c r="X40" s="83">
        <v>16675999.999999998</v>
      </c>
      <c r="Y40" s="134">
        <v>9862000</v>
      </c>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row>
    <row r="41" spans="1:52" s="8" customFormat="1" ht="12.75">
      <c r="A41" s="139"/>
      <c r="B41" s="78" t="s">
        <v>114</v>
      </c>
      <c r="C41" s="9"/>
      <c r="D41" s="9"/>
      <c r="E41" s="120">
        <f>E40*'ERR &amp; Sensitivity Analysis'!$G$11</f>
        <v>-5526000</v>
      </c>
      <c r="F41" s="120">
        <f>F40*'ERR &amp; Sensitivity Analysis'!$G$11</f>
        <v>1037164.8457711451</v>
      </c>
      <c r="G41" s="120">
        <f>G40*'ERR &amp; Sensitivity Analysis'!$G$11</f>
        <v>12261064.887175154</v>
      </c>
      <c r="H41" s="120">
        <f>H40*'ERR &amp; Sensitivity Analysis'!$G$11</f>
        <v>9665770.267053701</v>
      </c>
      <c r="I41" s="120">
        <f>I40*'ERR &amp; Sensitivity Analysis'!$G$11</f>
        <v>7366000.000000001</v>
      </c>
      <c r="J41" s="120">
        <f>J40*'ERR &amp; Sensitivity Analysis'!$G$11</f>
        <v>8102000</v>
      </c>
      <c r="K41" s="120">
        <f>K40*'ERR &amp; Sensitivity Analysis'!$G$11</f>
        <v>8257000</v>
      </c>
      <c r="L41" s="120">
        <f>L40*'ERR &amp; Sensitivity Analysis'!$G$11</f>
        <v>8498000.000000002</v>
      </c>
      <c r="M41" s="120">
        <f>M40*'ERR &amp; Sensitivity Analysis'!$G$11</f>
        <v>9067000.000000002</v>
      </c>
      <c r="N41" s="120">
        <f>N40*'ERR &amp; Sensitivity Analysis'!$G$11</f>
        <v>10212000.000000002</v>
      </c>
      <c r="O41" s="120">
        <f>O40*'ERR &amp; Sensitivity Analysis'!$G$11</f>
        <v>10337000</v>
      </c>
      <c r="P41" s="120">
        <f>P40*'ERR &amp; Sensitivity Analysis'!$G$11</f>
        <v>10982000</v>
      </c>
      <c r="Q41" s="120">
        <f>Q40*'ERR &amp; Sensitivity Analysis'!$G$11</f>
        <v>11230999.999999998</v>
      </c>
      <c r="R41" s="120">
        <f>R40*'ERR &amp; Sensitivity Analysis'!$G$11</f>
        <v>11607000</v>
      </c>
      <c r="S41" s="120">
        <f>S40*'ERR &amp; Sensitivity Analysis'!$G$11</f>
        <v>12578000</v>
      </c>
      <c r="T41" s="120">
        <f>T40*'ERR &amp; Sensitivity Analysis'!$G$11</f>
        <v>13112000</v>
      </c>
      <c r="U41" s="120">
        <f>U40*'ERR &amp; Sensitivity Analysis'!$G$11</f>
        <v>13797000</v>
      </c>
      <c r="V41" s="120">
        <f>V40*'ERR &amp; Sensitivity Analysis'!$G$11</f>
        <v>14843000</v>
      </c>
      <c r="W41" s="120">
        <f>W40*'ERR &amp; Sensitivity Analysis'!$G$11</f>
        <v>14820000</v>
      </c>
      <c r="X41" s="120">
        <f>X40*'ERR &amp; Sensitivity Analysis'!$G$11</f>
        <v>16675999.999999998</v>
      </c>
      <c r="Y41" s="208">
        <f>Y40*'ERR &amp; Sensitivity Analysis'!$G$11</f>
        <v>9862000</v>
      </c>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row>
    <row r="42" spans="1:52" s="8" customFormat="1" ht="12.75">
      <c r="A42" s="139"/>
      <c r="B42" s="128"/>
      <c r="C42" s="3"/>
      <c r="D42" s="3"/>
      <c r="E42" s="129"/>
      <c r="F42" s="129"/>
      <c r="G42" s="129"/>
      <c r="H42" s="129"/>
      <c r="I42" s="129"/>
      <c r="J42" s="129"/>
      <c r="K42" s="129"/>
      <c r="L42" s="129"/>
      <c r="M42" s="129"/>
      <c r="N42" s="129"/>
      <c r="O42" s="129"/>
      <c r="P42" s="129"/>
      <c r="Q42" s="129"/>
      <c r="R42" s="129"/>
      <c r="S42" s="129"/>
      <c r="T42" s="129"/>
      <c r="U42" s="129"/>
      <c r="V42" s="129"/>
      <c r="W42" s="129"/>
      <c r="X42" s="129"/>
      <c r="Y42" s="206"/>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row>
    <row r="43" spans="1:52" s="8" customFormat="1" ht="12.75">
      <c r="A43" s="139"/>
      <c r="B43" s="78" t="s">
        <v>71</v>
      </c>
      <c r="C43" s="9"/>
      <c r="D43" s="9"/>
      <c r="E43" s="120">
        <f>E41-E38</f>
        <v>-5526000</v>
      </c>
      <c r="F43" s="120">
        <f aca="true" t="shared" si="6" ref="F43:Y43">F41-F38</f>
        <v>-6613000</v>
      </c>
      <c r="G43" s="120">
        <f t="shared" si="6"/>
        <v>1668000</v>
      </c>
      <c r="H43" s="120">
        <f t="shared" si="6"/>
        <v>6609000</v>
      </c>
      <c r="I43" s="120">
        <f t="shared" si="6"/>
        <v>7366000.000000001</v>
      </c>
      <c r="J43" s="120">
        <f t="shared" si="6"/>
        <v>8102000</v>
      </c>
      <c r="K43" s="120">
        <f t="shared" si="6"/>
        <v>8257000</v>
      </c>
      <c r="L43" s="120">
        <f t="shared" si="6"/>
        <v>8498000.000000002</v>
      </c>
      <c r="M43" s="120">
        <f t="shared" si="6"/>
        <v>9067000.000000002</v>
      </c>
      <c r="N43" s="120">
        <f t="shared" si="6"/>
        <v>10212000.000000002</v>
      </c>
      <c r="O43" s="120">
        <f t="shared" si="6"/>
        <v>10337000</v>
      </c>
      <c r="P43" s="120">
        <f t="shared" si="6"/>
        <v>10982000</v>
      </c>
      <c r="Q43" s="120">
        <f t="shared" si="6"/>
        <v>11230999.999999998</v>
      </c>
      <c r="R43" s="120">
        <f t="shared" si="6"/>
        <v>11607000</v>
      </c>
      <c r="S43" s="120">
        <f t="shared" si="6"/>
        <v>12578000</v>
      </c>
      <c r="T43" s="120">
        <f t="shared" si="6"/>
        <v>13112000</v>
      </c>
      <c r="U43" s="120">
        <f t="shared" si="6"/>
        <v>13797000</v>
      </c>
      <c r="V43" s="120">
        <f t="shared" si="6"/>
        <v>14843000</v>
      </c>
      <c r="W43" s="120">
        <f t="shared" si="6"/>
        <v>14820000</v>
      </c>
      <c r="X43" s="120">
        <f t="shared" si="6"/>
        <v>16675999.999999998</v>
      </c>
      <c r="Y43" s="208">
        <f t="shared" si="6"/>
        <v>9862000</v>
      </c>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row>
    <row r="44" spans="1:52" s="8" customFormat="1" ht="13.5" thickBot="1">
      <c r="A44" s="139"/>
      <c r="B44" s="67"/>
      <c r="I44" s="92"/>
      <c r="J44" s="92"/>
      <c r="Y44" s="6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row>
    <row r="45" spans="1:52" s="8" customFormat="1" ht="13.5" thickBot="1">
      <c r="A45" s="139"/>
      <c r="B45" s="67"/>
      <c r="D45" s="106" t="s">
        <v>69</v>
      </c>
      <c r="E45" s="132">
        <f>IRR(E43:Y43)</f>
        <v>0.42070177563064415</v>
      </c>
      <c r="I45" s="92"/>
      <c r="J45" s="92"/>
      <c r="Y45" s="6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row>
    <row r="46" spans="1:52" s="8" customFormat="1" ht="13.5" thickBot="1">
      <c r="A46" s="139"/>
      <c r="B46" s="72"/>
      <c r="C46" s="73"/>
      <c r="D46" s="73"/>
      <c r="E46" s="73"/>
      <c r="F46" s="73"/>
      <c r="G46" s="73"/>
      <c r="H46" s="73"/>
      <c r="I46" s="107"/>
      <c r="J46" s="107"/>
      <c r="K46" s="73"/>
      <c r="L46" s="73"/>
      <c r="M46" s="73"/>
      <c r="N46" s="73"/>
      <c r="O46" s="73"/>
      <c r="P46" s="73"/>
      <c r="Q46" s="73"/>
      <c r="R46" s="73"/>
      <c r="S46" s="73"/>
      <c r="T46" s="73"/>
      <c r="U46" s="73"/>
      <c r="V46" s="73"/>
      <c r="W46" s="73"/>
      <c r="X46" s="73"/>
      <c r="Y46" s="75"/>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row>
    <row r="47" spans="9:10" s="139" customFormat="1" ht="12.75">
      <c r="I47" s="275"/>
      <c r="J47" s="275"/>
    </row>
    <row r="48" spans="1:10" s="272" customFormat="1" ht="13.5" thickBot="1">
      <c r="A48" s="139"/>
      <c r="I48" s="273"/>
      <c r="J48" s="273"/>
    </row>
    <row r="49" spans="9:10" s="139" customFormat="1" ht="13.5" thickTop="1">
      <c r="I49" s="275"/>
      <c r="J49" s="275"/>
    </row>
    <row r="50" spans="9:10" s="139" customFormat="1" ht="13.5" thickBot="1">
      <c r="I50" s="275"/>
      <c r="J50" s="275"/>
    </row>
    <row r="51" spans="2:25" s="139" customFormat="1" ht="18.75" thickBot="1">
      <c r="B51" s="290" t="s">
        <v>97</v>
      </c>
      <c r="C51" s="289"/>
      <c r="D51" s="289"/>
      <c r="E51" s="289"/>
      <c r="F51" s="289"/>
      <c r="G51" s="289"/>
      <c r="H51" s="289"/>
      <c r="I51" s="292"/>
      <c r="J51" s="292"/>
      <c r="K51" s="289"/>
      <c r="L51" s="289"/>
      <c r="M51" s="289"/>
      <c r="N51" s="289"/>
      <c r="O51" s="289"/>
      <c r="P51" s="289"/>
      <c r="Q51" s="289"/>
      <c r="R51" s="289"/>
      <c r="S51" s="289"/>
      <c r="T51" s="289"/>
      <c r="U51" s="289"/>
      <c r="V51" s="289"/>
      <c r="W51" s="289"/>
      <c r="X51" s="289"/>
      <c r="Y51" s="291"/>
    </row>
    <row r="52" spans="1:52" s="8" customFormat="1" ht="12.75">
      <c r="A52" s="139"/>
      <c r="B52" s="285" t="s">
        <v>57</v>
      </c>
      <c r="C52" s="86"/>
      <c r="D52" s="86"/>
      <c r="E52" s="86">
        <v>2005</v>
      </c>
      <c r="F52" s="86">
        <f>E52+1</f>
        <v>2006</v>
      </c>
      <c r="G52" s="86">
        <f aca="true" t="shared" si="7" ref="G52:N52">F52+1</f>
        <v>2007</v>
      </c>
      <c r="H52" s="86">
        <f t="shared" si="7"/>
        <v>2008</v>
      </c>
      <c r="I52" s="86">
        <f t="shared" si="7"/>
        <v>2009</v>
      </c>
      <c r="J52" s="86">
        <f t="shared" si="7"/>
        <v>2010</v>
      </c>
      <c r="K52" s="86">
        <f t="shared" si="7"/>
        <v>2011</v>
      </c>
      <c r="L52" s="86">
        <f t="shared" si="7"/>
        <v>2012</v>
      </c>
      <c r="M52" s="86">
        <f t="shared" si="7"/>
        <v>2013</v>
      </c>
      <c r="N52" s="86">
        <f t="shared" si="7"/>
        <v>2014</v>
      </c>
      <c r="O52" s="87">
        <f>N52+1</f>
        <v>2015</v>
      </c>
      <c r="P52" s="86">
        <f aca="true" t="shared" si="8" ref="P52:Y52">O52+1</f>
        <v>2016</v>
      </c>
      <c r="Q52" s="86">
        <f t="shared" si="8"/>
        <v>2017</v>
      </c>
      <c r="R52" s="86">
        <f t="shared" si="8"/>
        <v>2018</v>
      </c>
      <c r="S52" s="86">
        <f t="shared" si="8"/>
        <v>2019</v>
      </c>
      <c r="T52" s="86">
        <f t="shared" si="8"/>
        <v>2020</v>
      </c>
      <c r="U52" s="86">
        <f t="shared" si="8"/>
        <v>2021</v>
      </c>
      <c r="V52" s="86">
        <f t="shared" si="8"/>
        <v>2022</v>
      </c>
      <c r="W52" s="86">
        <f t="shared" si="8"/>
        <v>2023</v>
      </c>
      <c r="X52" s="86">
        <f t="shared" si="8"/>
        <v>2024</v>
      </c>
      <c r="Y52" s="87">
        <f t="shared" si="8"/>
        <v>2025</v>
      </c>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row>
    <row r="53" spans="1:52" s="8" customFormat="1" ht="12.75">
      <c r="A53" s="139"/>
      <c r="B53" s="67"/>
      <c r="I53" s="92"/>
      <c r="J53" s="92"/>
      <c r="Y53" s="6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row>
    <row r="54" spans="1:52" s="8" customFormat="1" ht="12.75">
      <c r="A54" s="139"/>
      <c r="B54" s="78" t="s">
        <v>6</v>
      </c>
      <c r="C54" s="120">
        <f>'ERR &amp; Sensitivity Analysis'!G16*8</f>
        <v>4700000</v>
      </c>
      <c r="D54" s="9"/>
      <c r="E54" s="9"/>
      <c r="F54" s="9"/>
      <c r="G54" s="120">
        <f>C54*(3/8)</f>
        <v>1762500</v>
      </c>
      <c r="H54" s="120">
        <f>C54*(5/8)</f>
        <v>2937500</v>
      </c>
      <c r="I54" s="121"/>
      <c r="J54" s="121"/>
      <c r="K54" s="9"/>
      <c r="L54" s="9"/>
      <c r="M54" s="9"/>
      <c r="N54" s="9"/>
      <c r="O54" s="9"/>
      <c r="P54" s="9"/>
      <c r="Q54" s="9"/>
      <c r="R54" s="9"/>
      <c r="S54" s="9"/>
      <c r="T54" s="9"/>
      <c r="U54" s="9"/>
      <c r="V54" s="9"/>
      <c r="W54" s="9"/>
      <c r="X54" s="9"/>
      <c r="Y54" s="66"/>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row>
    <row r="55" spans="1:52" s="8" customFormat="1" ht="12.75">
      <c r="A55" s="139"/>
      <c r="B55" s="78" t="s">
        <v>94</v>
      </c>
      <c r="C55" s="9"/>
      <c r="D55" s="9"/>
      <c r="E55" s="9"/>
      <c r="F55" s="9"/>
      <c r="G55" s="120">
        <f>G54*'ERR &amp; Sensitivity Analysis'!G11*(1/'ERR &amp; Sensitivity Analysis'!G10)</f>
        <v>1762500</v>
      </c>
      <c r="H55" s="120">
        <f>H54*'ERR &amp; Sensitivity Analysis'!G11*(1/'ERR &amp; Sensitivity Analysis'!G10)</f>
        <v>2937500</v>
      </c>
      <c r="I55" s="121"/>
      <c r="J55" s="121"/>
      <c r="K55" s="9"/>
      <c r="L55" s="9"/>
      <c r="M55" s="9"/>
      <c r="N55" s="9"/>
      <c r="O55" s="9"/>
      <c r="P55" s="9"/>
      <c r="Q55" s="9"/>
      <c r="R55" s="9"/>
      <c r="S55" s="9"/>
      <c r="T55" s="9"/>
      <c r="U55" s="9"/>
      <c r="V55" s="9"/>
      <c r="W55" s="9"/>
      <c r="X55" s="9"/>
      <c r="Y55" s="66"/>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row>
    <row r="56" spans="1:52" s="8" customFormat="1" ht="13.5" thickBot="1">
      <c r="A56" s="139"/>
      <c r="B56" s="72"/>
      <c r="C56" s="73"/>
      <c r="D56" s="73"/>
      <c r="E56" s="73"/>
      <c r="F56" s="73"/>
      <c r="G56" s="73"/>
      <c r="H56" s="73"/>
      <c r="I56" s="107"/>
      <c r="J56" s="107"/>
      <c r="K56" s="73"/>
      <c r="L56" s="73"/>
      <c r="M56" s="73"/>
      <c r="N56" s="73"/>
      <c r="O56" s="73"/>
      <c r="P56" s="73"/>
      <c r="Q56" s="73"/>
      <c r="R56" s="73"/>
      <c r="S56" s="73"/>
      <c r="T56" s="73"/>
      <c r="U56" s="73"/>
      <c r="V56" s="73"/>
      <c r="W56" s="73"/>
      <c r="X56" s="73"/>
      <c r="Y56" s="75"/>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row>
    <row r="57" spans="9:10" s="139" customFormat="1" ht="12.75">
      <c r="I57" s="275"/>
      <c r="J57" s="275"/>
    </row>
    <row r="58" spans="9:10" s="139" customFormat="1" ht="12.75">
      <c r="I58" s="275"/>
      <c r="J58" s="275"/>
    </row>
    <row r="59" spans="2:25" s="139" customFormat="1" ht="12.75">
      <c r="B59" s="139" t="s">
        <v>101</v>
      </c>
      <c r="E59" s="276">
        <f>E26+E43-E55</f>
        <v>-13274600</v>
      </c>
      <c r="F59" s="276">
        <f aca="true" t="shared" si="9" ref="F59:Y59">F26+F43-F55</f>
        <v>-37607400</v>
      </c>
      <c r="G59" s="276">
        <f t="shared" si="9"/>
        <v>-31079900</v>
      </c>
      <c r="H59" s="276">
        <f t="shared" si="9"/>
        <v>9995899.999999996</v>
      </c>
      <c r="I59" s="276">
        <f t="shared" si="9"/>
        <v>26732999.999999993</v>
      </c>
      <c r="J59" s="276">
        <f t="shared" si="9"/>
        <v>30687000</v>
      </c>
      <c r="K59" s="276">
        <f t="shared" si="9"/>
        <v>25581000.00000001</v>
      </c>
      <c r="L59" s="276">
        <f t="shared" si="9"/>
        <v>21877000.000000007</v>
      </c>
      <c r="M59" s="276">
        <f t="shared" si="9"/>
        <v>24427000.000000007</v>
      </c>
      <c r="N59" s="276">
        <f t="shared" si="9"/>
        <v>27716000.000000015</v>
      </c>
      <c r="O59" s="276">
        <f t="shared" si="9"/>
        <v>30114000.000000022</v>
      </c>
      <c r="P59" s="276">
        <f t="shared" si="9"/>
        <v>34829000.00000001</v>
      </c>
      <c r="Q59" s="276">
        <f t="shared" si="9"/>
        <v>39929999.99999999</v>
      </c>
      <c r="R59" s="276">
        <f t="shared" si="9"/>
        <v>38270000</v>
      </c>
      <c r="S59" s="276">
        <f t="shared" si="9"/>
        <v>29242999.999999996</v>
      </c>
      <c r="T59" s="276">
        <f t="shared" si="9"/>
        <v>32227999.999999993</v>
      </c>
      <c r="U59" s="276">
        <f t="shared" si="9"/>
        <v>35336000.00000001</v>
      </c>
      <c r="V59" s="276">
        <f t="shared" si="9"/>
        <v>38727000.00000001</v>
      </c>
      <c r="W59" s="276">
        <f t="shared" si="9"/>
        <v>72954000</v>
      </c>
      <c r="X59" s="276">
        <f t="shared" si="9"/>
        <v>46698000.00000001</v>
      </c>
      <c r="Y59" s="276">
        <f t="shared" si="9"/>
        <v>9862000</v>
      </c>
    </row>
    <row r="60" s="269" customFormat="1" ht="13.5" thickBot="1">
      <c r="I60" s="277"/>
    </row>
    <row r="61" spans="2:25" ht="15.75">
      <c r="B61" s="396" t="s">
        <v>98</v>
      </c>
      <c r="C61" s="397"/>
      <c r="D61" s="397"/>
      <c r="E61" s="397"/>
      <c r="F61" s="397"/>
      <c r="G61" s="398"/>
      <c r="H61" s="269"/>
      <c r="I61" s="277"/>
      <c r="J61" s="269"/>
      <c r="K61" s="269"/>
      <c r="L61" s="269"/>
      <c r="M61" s="269"/>
      <c r="N61" s="269"/>
      <c r="O61" s="269"/>
      <c r="P61" s="269"/>
      <c r="Q61" s="269"/>
      <c r="R61" s="269"/>
      <c r="S61" s="269"/>
      <c r="T61" s="269"/>
      <c r="U61" s="269"/>
      <c r="V61" s="269"/>
      <c r="W61" s="269"/>
      <c r="X61" s="269"/>
      <c r="Y61" s="269"/>
    </row>
    <row r="62" spans="2:25" ht="18">
      <c r="B62" s="117"/>
      <c r="C62" s="118"/>
      <c r="D62" s="118"/>
      <c r="E62" s="118"/>
      <c r="F62" s="118"/>
      <c r="G62" s="119"/>
      <c r="H62" s="269"/>
      <c r="I62" s="281"/>
      <c r="J62" s="269"/>
      <c r="K62" s="269"/>
      <c r="L62" s="269"/>
      <c r="M62" s="269"/>
      <c r="N62" s="269"/>
      <c r="O62" s="269"/>
      <c r="P62" s="269"/>
      <c r="Q62" s="269"/>
      <c r="R62" s="269"/>
      <c r="S62" s="269"/>
      <c r="T62" s="269"/>
      <c r="U62" s="269"/>
      <c r="V62" s="269"/>
      <c r="W62" s="269"/>
      <c r="X62" s="269"/>
      <c r="Y62" s="269"/>
    </row>
    <row r="63" spans="2:25" ht="12.75">
      <c r="B63" s="1"/>
      <c r="C63" s="2"/>
      <c r="D63" s="2"/>
      <c r="E63" s="283" t="s">
        <v>21</v>
      </c>
      <c r="F63" s="283" t="s">
        <v>69</v>
      </c>
      <c r="G63" s="108"/>
      <c r="H63" s="269"/>
      <c r="I63" s="271"/>
      <c r="J63" s="269"/>
      <c r="K63" s="269"/>
      <c r="L63" s="269"/>
      <c r="M63" s="269"/>
      <c r="N63" s="269"/>
      <c r="O63" s="269"/>
      <c r="P63" s="269"/>
      <c r="Q63" s="269"/>
      <c r="R63" s="269"/>
      <c r="S63" s="269"/>
      <c r="T63" s="269"/>
      <c r="U63" s="269"/>
      <c r="V63" s="269"/>
      <c r="W63" s="269"/>
      <c r="X63" s="269"/>
      <c r="Y63" s="269"/>
    </row>
    <row r="64" spans="2:25" ht="12.75">
      <c r="B64" s="1"/>
      <c r="C64" s="109" t="s">
        <v>17</v>
      </c>
      <c r="D64" s="2"/>
      <c r="E64" s="110">
        <f>SUM(E9:I9)</f>
        <v>90100000</v>
      </c>
      <c r="F64" s="133">
        <f>E28</f>
        <v>0.21074072915302833</v>
      </c>
      <c r="G64" s="111"/>
      <c r="H64" s="282"/>
      <c r="I64" s="282"/>
      <c r="J64" s="271"/>
      <c r="K64" s="269"/>
      <c r="L64" s="269"/>
      <c r="M64" s="269"/>
      <c r="N64" s="269"/>
      <c r="O64" s="269"/>
      <c r="P64" s="269"/>
      <c r="Q64" s="269"/>
      <c r="R64" s="269"/>
      <c r="S64" s="269"/>
      <c r="T64" s="269"/>
      <c r="U64" s="269"/>
      <c r="V64" s="269"/>
      <c r="W64" s="269"/>
      <c r="X64" s="269"/>
      <c r="Y64" s="269"/>
    </row>
    <row r="65" spans="2:25" ht="12.75">
      <c r="B65" s="1"/>
      <c r="C65" s="109" t="s">
        <v>105</v>
      </c>
      <c r="D65" s="2"/>
      <c r="E65" s="110">
        <f>SUM(E38:I38)</f>
        <v>21300000</v>
      </c>
      <c r="F65" s="116">
        <f>E45</f>
        <v>0.42070177563064415</v>
      </c>
      <c r="G65" s="108"/>
      <c r="H65" s="269"/>
      <c r="I65" s="269"/>
      <c r="J65" s="269"/>
      <c r="K65" s="269"/>
      <c r="L65" s="269"/>
      <c r="M65" s="269"/>
      <c r="N65" s="269"/>
      <c r="O65" s="269"/>
      <c r="P65" s="269"/>
      <c r="Q65" s="269"/>
      <c r="R65" s="269"/>
      <c r="S65" s="269"/>
      <c r="T65" s="269"/>
      <c r="U65" s="269"/>
      <c r="V65" s="269"/>
      <c r="W65" s="269"/>
      <c r="X65" s="269"/>
      <c r="Y65" s="269"/>
    </row>
    <row r="66" spans="2:25" ht="12.75">
      <c r="B66" s="1"/>
      <c r="C66" s="109" t="s">
        <v>19</v>
      </c>
      <c r="D66" s="2"/>
      <c r="E66" s="110">
        <f>SUM(G55:H55)</f>
        <v>4700000</v>
      </c>
      <c r="F66" s="2"/>
      <c r="G66" s="108"/>
      <c r="H66" s="269"/>
      <c r="I66" s="269"/>
      <c r="J66" s="269"/>
      <c r="K66" s="271"/>
      <c r="L66" s="269"/>
      <c r="M66" s="269"/>
      <c r="N66" s="269"/>
      <c r="O66" s="269"/>
      <c r="P66" s="269"/>
      <c r="Q66" s="269"/>
      <c r="R66" s="269"/>
      <c r="S66" s="269"/>
      <c r="T66" s="269"/>
      <c r="U66" s="269"/>
      <c r="V66" s="269"/>
      <c r="W66" s="269"/>
      <c r="X66" s="269"/>
      <c r="Y66" s="269"/>
    </row>
    <row r="67" spans="2:25" ht="12.75">
      <c r="B67" s="1"/>
      <c r="C67" s="109" t="s">
        <v>109</v>
      </c>
      <c r="D67" s="2"/>
      <c r="E67" s="110">
        <v>2700000</v>
      </c>
      <c r="F67" s="2"/>
      <c r="G67" s="108"/>
      <c r="H67" s="269"/>
      <c r="I67" s="269"/>
      <c r="J67" s="269"/>
      <c r="K67" s="269"/>
      <c r="L67" s="269"/>
      <c r="M67" s="269"/>
      <c r="N67" s="269"/>
      <c r="O67" s="269"/>
      <c r="P67" s="269"/>
      <c r="Q67" s="269"/>
      <c r="R67" s="269"/>
      <c r="S67" s="269"/>
      <c r="T67" s="269"/>
      <c r="U67" s="269"/>
      <c r="V67" s="269"/>
      <c r="W67" s="269"/>
      <c r="X67" s="269"/>
      <c r="Y67" s="269"/>
    </row>
    <row r="68" spans="2:25" ht="12.75">
      <c r="B68" s="1"/>
      <c r="C68" s="109"/>
      <c r="D68" s="2"/>
      <c r="E68" s="110"/>
      <c r="F68" s="2"/>
      <c r="G68" s="108"/>
      <c r="H68" s="269"/>
      <c r="I68" s="269"/>
      <c r="J68" s="269"/>
      <c r="K68" s="269"/>
      <c r="L68" s="269"/>
      <c r="M68" s="269"/>
      <c r="N68" s="269"/>
      <c r="O68" s="269"/>
      <c r="P68" s="269"/>
      <c r="Q68" s="269"/>
      <c r="R68" s="269"/>
      <c r="S68" s="269"/>
      <c r="T68" s="269"/>
      <c r="U68" s="269"/>
      <c r="V68" s="269"/>
      <c r="W68" s="269"/>
      <c r="X68" s="269"/>
      <c r="Y68" s="269"/>
    </row>
    <row r="69" spans="2:25" ht="12.75">
      <c r="B69" s="1"/>
      <c r="C69" s="105" t="s">
        <v>20</v>
      </c>
      <c r="D69" s="105"/>
      <c r="E69" s="115">
        <f>SUM(E64:E67)</f>
        <v>118800000</v>
      </c>
      <c r="F69" s="116">
        <f>SUMPRODUCT(E64:E66,F64:F66)/SUM(E64:E66)</f>
        <v>0.24072943598295066</v>
      </c>
      <c r="G69" s="108"/>
      <c r="H69" s="269"/>
      <c r="I69" s="269"/>
      <c r="J69" s="269"/>
      <c r="K69" s="269"/>
      <c r="L69" s="269"/>
      <c r="M69" s="269"/>
      <c r="N69" s="269"/>
      <c r="O69" s="269"/>
      <c r="P69" s="269"/>
      <c r="Q69" s="269"/>
      <c r="R69" s="269"/>
      <c r="S69" s="269"/>
      <c r="T69" s="269"/>
      <c r="U69" s="269"/>
      <c r="V69" s="269"/>
      <c r="W69" s="269"/>
      <c r="X69" s="269"/>
      <c r="Y69" s="269"/>
    </row>
    <row r="70" spans="2:25" ht="12.75">
      <c r="B70" s="1"/>
      <c r="C70" s="2"/>
      <c r="D70" s="2"/>
      <c r="E70" s="112"/>
      <c r="F70" s="2"/>
      <c r="G70" s="108"/>
      <c r="H70" s="269"/>
      <c r="I70" s="269"/>
      <c r="J70" s="269"/>
      <c r="K70" s="269"/>
      <c r="L70" s="269"/>
      <c r="M70" s="269"/>
      <c r="N70" s="269"/>
      <c r="O70" s="269"/>
      <c r="P70" s="269"/>
      <c r="Q70" s="269"/>
      <c r="R70" s="269"/>
      <c r="S70" s="269"/>
      <c r="T70" s="269"/>
      <c r="U70" s="269"/>
      <c r="V70" s="269"/>
      <c r="W70" s="269"/>
      <c r="X70" s="269"/>
      <c r="Y70" s="269"/>
    </row>
    <row r="71" spans="2:25" ht="13.5" thickBot="1">
      <c r="B71" s="4"/>
      <c r="C71" s="5"/>
      <c r="D71" s="5"/>
      <c r="E71" s="113"/>
      <c r="F71" s="5"/>
      <c r="G71" s="114"/>
      <c r="H71" s="269"/>
      <c r="I71" s="269"/>
      <c r="J71" s="269"/>
      <c r="K71" s="269"/>
      <c r="L71" s="269"/>
      <c r="M71" s="269"/>
      <c r="N71" s="269"/>
      <c r="O71" s="269"/>
      <c r="P71" s="269"/>
      <c r="Q71" s="269"/>
      <c r="R71" s="269"/>
      <c r="S71" s="269"/>
      <c r="T71" s="269"/>
      <c r="U71" s="269"/>
      <c r="V71" s="269"/>
      <c r="W71" s="269"/>
      <c r="X71" s="269"/>
      <c r="Y71" s="269"/>
    </row>
    <row r="72" spans="2:25" ht="12.75">
      <c r="B72" s="269"/>
      <c r="C72" s="269"/>
      <c r="D72" s="269"/>
      <c r="E72" s="270"/>
      <c r="F72" s="269"/>
      <c r="G72" s="269"/>
      <c r="H72" s="269"/>
      <c r="I72" s="269"/>
      <c r="J72" s="269"/>
      <c r="K72" s="269"/>
      <c r="L72" s="269"/>
      <c r="M72" s="269"/>
      <c r="N72" s="269"/>
      <c r="O72" s="269"/>
      <c r="P72" s="269"/>
      <c r="Q72" s="269"/>
      <c r="R72" s="269"/>
      <c r="S72" s="269"/>
      <c r="T72" s="269"/>
      <c r="U72" s="269"/>
      <c r="V72" s="269"/>
      <c r="W72" s="269"/>
      <c r="X72" s="269"/>
      <c r="Y72" s="269"/>
    </row>
    <row r="73" spans="2:25" ht="12.75">
      <c r="B73" s="269"/>
      <c r="C73" s="269"/>
      <c r="D73" s="269"/>
      <c r="E73" s="270"/>
      <c r="F73" s="269"/>
      <c r="G73" s="269"/>
      <c r="H73" s="269"/>
      <c r="I73" s="269"/>
      <c r="J73" s="269"/>
      <c r="K73" s="269"/>
      <c r="L73" s="271"/>
      <c r="M73" s="269"/>
      <c r="N73" s="269"/>
      <c r="O73" s="269"/>
      <c r="P73" s="269"/>
      <c r="Q73" s="269"/>
      <c r="R73" s="269"/>
      <c r="S73" s="269"/>
      <c r="T73" s="269"/>
      <c r="U73" s="269"/>
      <c r="V73" s="269"/>
      <c r="W73" s="269"/>
      <c r="X73" s="269"/>
      <c r="Y73" s="269"/>
    </row>
    <row r="74" spans="2:25" ht="12.75">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row>
    <row r="75" spans="2:25" ht="12.75">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row>
    <row r="76" spans="2:25" ht="12.75">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row>
    <row r="77" spans="2:25" ht="12.75">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row>
    <row r="78" spans="2:25" ht="12.75">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row>
    <row r="79" spans="2:25" ht="12.75">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row>
    <row r="80" spans="2:25" ht="12.75">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row>
    <row r="81" spans="2:25" ht="12.75">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row>
    <row r="82" spans="2:25" ht="12.75">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row>
    <row r="83" spans="2:25" ht="12.75">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row>
    <row r="84" spans="2:25" ht="12.75">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row>
    <row r="85" spans="2:25" ht="12.75">
      <c r="B85" s="269"/>
      <c r="C85" s="269"/>
      <c r="D85" s="269"/>
      <c r="E85" s="269"/>
      <c r="F85" s="269"/>
      <c r="G85" s="269"/>
      <c r="H85" s="269"/>
      <c r="I85" s="278"/>
      <c r="J85" s="278"/>
      <c r="K85" s="269"/>
      <c r="L85" s="269"/>
      <c r="M85" s="269"/>
      <c r="N85" s="269"/>
      <c r="O85" s="269"/>
      <c r="P85" s="269"/>
      <c r="Q85" s="269"/>
      <c r="R85" s="269"/>
      <c r="S85" s="269"/>
      <c r="T85" s="269"/>
      <c r="U85" s="269"/>
      <c r="V85" s="269"/>
      <c r="W85" s="269"/>
      <c r="X85" s="269"/>
      <c r="Y85" s="269"/>
    </row>
    <row r="86" spans="2:26" ht="12.75">
      <c r="B86" s="269"/>
      <c r="C86" s="139"/>
      <c r="D86" s="139"/>
      <c r="E86" s="139"/>
      <c r="F86" s="139"/>
      <c r="G86" s="139"/>
      <c r="H86" s="139"/>
      <c r="I86" s="139"/>
      <c r="J86" s="275"/>
      <c r="K86" s="275"/>
      <c r="L86" s="139"/>
      <c r="M86" s="139"/>
      <c r="N86" s="139"/>
      <c r="O86" s="139"/>
      <c r="P86" s="139"/>
      <c r="Q86" s="139"/>
      <c r="R86" s="139"/>
      <c r="S86" s="139"/>
      <c r="T86" s="139"/>
      <c r="U86" s="139"/>
      <c r="V86" s="139"/>
      <c r="W86" s="139"/>
      <c r="X86" s="139"/>
      <c r="Y86" s="139"/>
      <c r="Z86" s="139"/>
    </row>
    <row r="87" spans="2:25" ht="12.75">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row>
    <row r="88" spans="2:25" ht="12.75">
      <c r="B88" s="269"/>
      <c r="C88" s="269"/>
      <c r="D88" s="269"/>
      <c r="E88" s="269"/>
      <c r="F88" s="269"/>
      <c r="G88" s="269"/>
      <c r="H88" s="269"/>
      <c r="I88" s="278"/>
      <c r="J88" s="278"/>
      <c r="K88" s="269"/>
      <c r="L88" s="269"/>
      <c r="M88" s="269"/>
      <c r="N88" s="269"/>
      <c r="O88" s="269"/>
      <c r="P88" s="269"/>
      <c r="Q88" s="269"/>
      <c r="R88" s="269"/>
      <c r="S88" s="269"/>
      <c r="T88" s="269"/>
      <c r="U88" s="269"/>
      <c r="V88" s="269"/>
      <c r="W88" s="269"/>
      <c r="X88" s="269"/>
      <c r="Y88" s="269"/>
    </row>
    <row r="89" spans="2:25" ht="12.75">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row>
    <row r="90" spans="2:25" ht="12.75">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row>
    <row r="91" spans="2:25" ht="12.75">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row>
    <row r="92" spans="2:25" ht="12.75">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row>
    <row r="93" spans="2:25" ht="12.75">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row>
    <row r="94" spans="2:25" ht="12.75">
      <c r="B94" s="269"/>
      <c r="C94" s="269"/>
      <c r="D94" s="269"/>
      <c r="E94" s="269"/>
      <c r="F94" s="279"/>
      <c r="G94" s="269"/>
      <c r="H94" s="269"/>
      <c r="I94" s="269"/>
      <c r="J94" s="269"/>
      <c r="K94" s="269"/>
      <c r="L94" s="269"/>
      <c r="M94" s="269"/>
      <c r="N94" s="269"/>
      <c r="O94" s="269"/>
      <c r="P94" s="269"/>
      <c r="Q94" s="269"/>
      <c r="R94" s="269"/>
      <c r="S94" s="269"/>
      <c r="T94" s="269"/>
      <c r="U94" s="269"/>
      <c r="V94" s="269"/>
      <c r="W94" s="269"/>
      <c r="X94" s="269"/>
      <c r="Y94" s="269"/>
    </row>
    <row r="95" spans="2:25" ht="12.75">
      <c r="B95" s="269"/>
      <c r="C95" s="269"/>
      <c r="D95" s="269"/>
      <c r="E95" s="269"/>
      <c r="F95" s="279"/>
      <c r="G95" s="269"/>
      <c r="H95" s="269"/>
      <c r="I95" s="269"/>
      <c r="J95" s="269"/>
      <c r="K95" s="269"/>
      <c r="L95" s="269"/>
      <c r="M95" s="269"/>
      <c r="N95" s="269"/>
      <c r="O95" s="269"/>
      <c r="P95" s="269"/>
      <c r="Q95" s="269"/>
      <c r="R95" s="269"/>
      <c r="S95" s="269"/>
      <c r="T95" s="269"/>
      <c r="U95" s="269"/>
      <c r="V95" s="269"/>
      <c r="W95" s="269"/>
      <c r="X95" s="269"/>
      <c r="Y95" s="269"/>
    </row>
    <row r="96" spans="2:25" ht="12.75">
      <c r="B96" s="269"/>
      <c r="C96" s="269"/>
      <c r="D96" s="269"/>
      <c r="E96" s="269"/>
      <c r="F96" s="280"/>
      <c r="G96" s="278"/>
      <c r="H96" s="269"/>
      <c r="I96" s="269"/>
      <c r="J96" s="269"/>
      <c r="K96" s="269"/>
      <c r="L96" s="269"/>
      <c r="M96" s="269"/>
      <c r="N96" s="269"/>
      <c r="O96" s="269"/>
      <c r="P96" s="269"/>
      <c r="Q96" s="269"/>
      <c r="R96" s="269"/>
      <c r="S96" s="269"/>
      <c r="T96" s="269"/>
      <c r="U96" s="269"/>
      <c r="V96" s="269"/>
      <c r="W96" s="269"/>
      <c r="X96" s="269"/>
      <c r="Y96" s="269"/>
    </row>
    <row r="97" spans="6:7" s="269" customFormat="1" ht="12.75">
      <c r="F97" s="280"/>
      <c r="G97" s="278"/>
    </row>
    <row r="98" spans="6:7" s="269" customFormat="1" ht="12.75">
      <c r="F98" s="280"/>
      <c r="G98" s="278"/>
    </row>
    <row r="99" s="269" customFormat="1" ht="12.75">
      <c r="G99" s="278"/>
    </row>
    <row r="100" s="269" customFormat="1" ht="12.75"/>
    <row r="101" s="269" customFormat="1" ht="12.75"/>
    <row r="102" s="269" customFormat="1" ht="12.75"/>
    <row r="103" s="269" customFormat="1" ht="12.75"/>
    <row r="104" s="269" customFormat="1" ht="12.75"/>
    <row r="105" s="269" customFormat="1" ht="12.75"/>
    <row r="106" s="269" customFormat="1" ht="12.75"/>
    <row r="107" s="269" customFormat="1" ht="12.75"/>
    <row r="108" s="269" customFormat="1" ht="12.75"/>
    <row r="109" s="269" customFormat="1" ht="12.75"/>
    <row r="110" s="269" customFormat="1" ht="12.75"/>
    <row r="111" s="269" customFormat="1" ht="12.75"/>
    <row r="112" s="269" customFormat="1" ht="12.75"/>
    <row r="113" s="269" customFormat="1" ht="12.75"/>
    <row r="114" s="269" customFormat="1" ht="12.75"/>
    <row r="115" s="269" customFormat="1" ht="12.75"/>
    <row r="116" s="269" customFormat="1" ht="12.75"/>
    <row r="117" s="269" customFormat="1" ht="12.75"/>
    <row r="118" s="269" customFormat="1" ht="12.75"/>
    <row r="119" s="269" customFormat="1" ht="12.75"/>
    <row r="120" s="269" customFormat="1" ht="12.75"/>
    <row r="121" s="269" customFormat="1" ht="12.75"/>
    <row r="122" s="269" customFormat="1" ht="12.75"/>
    <row r="123" s="269" customFormat="1" ht="12.75"/>
    <row r="124" s="269" customFormat="1" ht="12.75"/>
    <row r="125" s="269" customFormat="1" ht="12.75"/>
    <row r="126" s="269" customFormat="1" ht="12.75"/>
    <row r="127" s="269" customFormat="1" ht="12.75"/>
    <row r="128" s="269" customFormat="1" ht="12.75"/>
    <row r="129" s="269" customFormat="1" ht="12.75"/>
    <row r="130" s="269" customFormat="1" ht="12.75"/>
    <row r="131" s="269" customFormat="1" ht="12.75"/>
    <row r="132" s="269" customFormat="1" ht="12.75"/>
    <row r="133" s="269" customFormat="1" ht="12.75"/>
    <row r="134" s="269" customFormat="1" ht="12.75"/>
    <row r="135" s="269" customFormat="1" ht="12.75"/>
    <row r="136" s="269" customFormat="1" ht="12.75"/>
    <row r="137" s="269" customFormat="1" ht="12.75"/>
    <row r="138" s="269" customFormat="1" ht="12.75"/>
    <row r="139" s="269" customFormat="1" ht="12.75"/>
    <row r="140" s="269" customFormat="1" ht="12.75"/>
    <row r="141" s="269" customFormat="1" ht="12.75"/>
    <row r="142" s="269" customFormat="1" ht="12.75"/>
    <row r="143" s="269" customFormat="1" ht="12.75"/>
    <row r="144" s="269" customFormat="1" ht="12.75"/>
    <row r="145" s="269" customFormat="1" ht="12.75"/>
    <row r="146" s="269" customFormat="1" ht="12.75"/>
    <row r="147" s="269" customFormat="1" ht="12.75"/>
    <row r="148" s="269" customFormat="1" ht="12.75"/>
    <row r="149" s="269" customFormat="1" ht="12.75"/>
    <row r="150" s="269" customFormat="1" ht="12.75"/>
    <row r="151" s="269" customFormat="1" ht="12.75"/>
    <row r="152" s="269" customFormat="1" ht="12.75"/>
    <row r="153" s="269" customFormat="1" ht="12.75"/>
  </sheetData>
  <sheetProtection/>
  <mergeCells count="1">
    <mergeCell ref="B61:G61"/>
  </mergeCells>
  <printOptions/>
  <pageMargins left="0.75" right="0.75" top="1" bottom="1" header="0.5" footer="0.5"/>
  <pageSetup fitToHeight="1" fitToWidth="1" horizontalDpi="600" verticalDpi="600" orientation="landscape" scale="36" r:id="rId1"/>
</worksheet>
</file>

<file path=xl/worksheets/sheet6.xml><?xml version="1.0" encoding="utf-8"?>
<worksheet xmlns="http://schemas.openxmlformats.org/spreadsheetml/2006/main" xmlns:r="http://schemas.openxmlformats.org/officeDocument/2006/relationships">
  <dimension ref="A1:AU181"/>
  <sheetViews>
    <sheetView zoomScalePageLayoutView="0" workbookViewId="0" topLeftCell="A1">
      <selection activeCell="A1" sqref="A1"/>
    </sheetView>
  </sheetViews>
  <sheetFormatPr defaultColWidth="9.140625" defaultRowHeight="12.75"/>
  <cols>
    <col min="1" max="1" width="9.140625" style="82" customWidth="1"/>
    <col min="2" max="2" width="16.421875" style="82" customWidth="1"/>
    <col min="3" max="3" width="17.57421875" style="82" customWidth="1"/>
    <col min="4" max="4" width="15.8515625" style="82" bestFit="1" customWidth="1"/>
    <col min="5" max="5" width="19.140625" style="82" customWidth="1"/>
    <col min="6" max="6" width="22.8515625" style="82" bestFit="1" customWidth="1"/>
    <col min="7" max="7" width="14.8515625" style="82" bestFit="1" customWidth="1"/>
    <col min="8" max="9" width="13.421875" style="82" customWidth="1"/>
    <col min="10" max="12" width="12.7109375" style="82" customWidth="1"/>
    <col min="13" max="13" width="10.140625" style="82" bestFit="1" customWidth="1"/>
    <col min="14" max="16" width="13.8515625" style="82" customWidth="1"/>
    <col min="17" max="17" width="10.140625" style="82" customWidth="1"/>
    <col min="18" max="20" width="13.7109375" style="82" bestFit="1" customWidth="1"/>
    <col min="21" max="22" width="19.57421875" style="82" bestFit="1" customWidth="1"/>
    <col min="23" max="23" width="17.28125" style="82" bestFit="1" customWidth="1"/>
    <col min="24" max="39" width="18.421875" style="82" bestFit="1" customWidth="1"/>
    <col min="40" max="40" width="13.7109375" style="82" bestFit="1" customWidth="1"/>
    <col min="41" max="16384" width="9.140625" style="82" customWidth="1"/>
  </cols>
  <sheetData>
    <row r="1" spans="1:47" ht="12.75">
      <c r="A1" s="177"/>
      <c r="B1" s="360">
        <f>IF('ERR &amp; Sensitivity Analysis'!I10="y",IF('ERR &amp; Sensitivity Analysis'!I11="y","","Note:Current calculations are based on user input and are not the original MCC estimates"),"Note:Current calculations are based on user input and are not the original MCC estimates")</f>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row>
    <row r="2" spans="1:47" ht="20.25">
      <c r="A2" s="177"/>
      <c r="B2" s="186" t="s">
        <v>140</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row>
    <row r="3" spans="1:47" ht="12.7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row>
    <row r="4" spans="1:47" ht="15.75">
      <c r="A4" s="177"/>
      <c r="B4" s="187" t="s">
        <v>124</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row>
    <row r="5" spans="1:47" ht="12.7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row>
    <row r="6" spans="1:47" ht="12.75">
      <c r="A6" s="177"/>
      <c r="B6" s="293" t="s">
        <v>123</v>
      </c>
      <c r="C6" s="294"/>
      <c r="D6" s="295"/>
      <c r="E6" s="294"/>
      <c r="F6" s="296"/>
      <c r="G6" s="177"/>
      <c r="H6" s="177"/>
      <c r="I6" s="178"/>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row>
    <row r="7" spans="1:47" ht="12.75">
      <c r="A7" s="177"/>
      <c r="B7" s="304"/>
      <c r="C7" s="177" t="s">
        <v>17</v>
      </c>
      <c r="D7" s="305"/>
      <c r="E7" s="179">
        <f>SUM(K109:K112)</f>
        <v>90100000</v>
      </c>
      <c r="F7" s="306"/>
      <c r="G7" s="179"/>
      <c r="H7" s="177"/>
      <c r="I7" s="178"/>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row>
    <row r="8" spans="1:47" ht="12.75">
      <c r="A8" s="177"/>
      <c r="B8" s="304"/>
      <c r="C8" s="177" t="s">
        <v>18</v>
      </c>
      <c r="D8" s="305"/>
      <c r="E8" s="179">
        <v>21300000</v>
      </c>
      <c r="F8" s="306"/>
      <c r="G8" s="179"/>
      <c r="H8" s="177"/>
      <c r="I8" s="178"/>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row>
    <row r="9" spans="1:47" ht="12.75">
      <c r="A9" s="177"/>
      <c r="B9" s="304"/>
      <c r="C9" s="177" t="s">
        <v>19</v>
      </c>
      <c r="D9" s="305"/>
      <c r="E9" s="179">
        <v>4700000</v>
      </c>
      <c r="F9" s="306"/>
      <c r="G9" s="179"/>
      <c r="H9" s="177"/>
      <c r="I9" s="178"/>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row>
    <row r="10" spans="1:47" ht="12.75">
      <c r="A10" s="177"/>
      <c r="B10" s="304"/>
      <c r="C10" s="177"/>
      <c r="D10" s="178"/>
      <c r="E10" s="180"/>
      <c r="F10" s="307"/>
      <c r="G10" s="180"/>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row>
    <row r="11" spans="1:47" ht="12.75">
      <c r="A11" s="177"/>
      <c r="B11" s="297" t="s">
        <v>125</v>
      </c>
      <c r="C11" s="298">
        <v>18.2</v>
      </c>
      <c r="D11" s="299"/>
      <c r="E11" s="300"/>
      <c r="F11" s="301"/>
      <c r="G11" s="180"/>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row>
    <row r="12" spans="1:47" ht="12.75">
      <c r="A12" s="177"/>
      <c r="B12" s="304"/>
      <c r="C12" s="177"/>
      <c r="D12" s="308"/>
      <c r="E12" s="308"/>
      <c r="F12" s="309"/>
      <c r="G12" s="177"/>
      <c r="H12" s="180"/>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row>
    <row r="13" spans="1:47" ht="12.75">
      <c r="A13" s="177"/>
      <c r="B13" s="297" t="s">
        <v>126</v>
      </c>
      <c r="C13" s="298"/>
      <c r="D13" s="298"/>
      <c r="E13" s="300"/>
      <c r="F13" s="302"/>
      <c r="G13" s="180"/>
      <c r="H13" s="180"/>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row>
    <row r="14" spans="1:47" ht="12.75">
      <c r="A14" s="177"/>
      <c r="B14" s="304"/>
      <c r="C14" s="177">
        <v>1</v>
      </c>
      <c r="D14" s="177">
        <v>25.9</v>
      </c>
      <c r="E14" s="177"/>
      <c r="F14" s="310"/>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row>
    <row r="15" spans="1:47" ht="12.75">
      <c r="A15" s="177"/>
      <c r="B15" s="304"/>
      <c r="C15" s="177">
        <v>2</v>
      </c>
      <c r="D15" s="177">
        <v>33.5</v>
      </c>
      <c r="E15" s="177"/>
      <c r="F15" s="310"/>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row>
    <row r="16" spans="1:47" ht="12.75">
      <c r="A16" s="177"/>
      <c r="B16" s="304"/>
      <c r="C16" s="180" t="s">
        <v>9</v>
      </c>
      <c r="D16" s="177">
        <v>50</v>
      </c>
      <c r="E16" s="177"/>
      <c r="F16" s="310"/>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row>
    <row r="17" spans="1:47" ht="12.75">
      <c r="A17" s="177"/>
      <c r="B17" s="304"/>
      <c r="C17" s="311" t="s">
        <v>63</v>
      </c>
      <c r="D17" s="311">
        <f>SUM(D14:D16)</f>
        <v>109.4</v>
      </c>
      <c r="E17" s="177"/>
      <c r="F17" s="310"/>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row>
    <row r="18" spans="1:47" ht="12.75">
      <c r="A18" s="177"/>
      <c r="B18" s="304"/>
      <c r="C18" s="177"/>
      <c r="D18" s="177"/>
      <c r="E18" s="177"/>
      <c r="F18" s="310"/>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row>
    <row r="19" spans="1:47" ht="12.75">
      <c r="A19" s="177"/>
      <c r="B19" s="303" t="s">
        <v>127</v>
      </c>
      <c r="C19" s="298"/>
      <c r="D19" s="298"/>
      <c r="E19" s="298"/>
      <c r="F19" s="302"/>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row>
    <row r="20" spans="1:47" ht="12.75">
      <c r="A20" s="177"/>
      <c r="B20" s="304" t="s">
        <v>128</v>
      </c>
      <c r="C20" s="177"/>
      <c r="D20" s="312">
        <v>0.0812</v>
      </c>
      <c r="E20" s="312">
        <v>0.0711</v>
      </c>
      <c r="F20" s="313">
        <v>0.06178383400433571</v>
      </c>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row>
    <row r="21" spans="1:47" ht="12.75">
      <c r="A21" s="177"/>
      <c r="B21" s="304" t="s">
        <v>129</v>
      </c>
      <c r="C21" s="177"/>
      <c r="D21" s="312">
        <v>0.0102</v>
      </c>
      <c r="E21" s="312">
        <v>0.009000000000000001</v>
      </c>
      <c r="F21" s="313">
        <v>0.010065035614741405</v>
      </c>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row>
    <row r="22" spans="1:47" ht="12.75">
      <c r="A22" s="177"/>
      <c r="B22" s="304" t="s">
        <v>130</v>
      </c>
      <c r="C22" s="177"/>
      <c r="D22" s="312">
        <v>0.057050000000000003</v>
      </c>
      <c r="E22" s="312">
        <v>0.0591</v>
      </c>
      <c r="F22" s="313">
        <v>0.07688138742644782</v>
      </c>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row>
    <row r="23" spans="1:47" ht="12.75">
      <c r="A23" s="177"/>
      <c r="B23" s="304" t="s">
        <v>131</v>
      </c>
      <c r="C23" s="177"/>
      <c r="D23" s="312">
        <v>0.057050000000000003</v>
      </c>
      <c r="E23" s="312">
        <v>0.0591</v>
      </c>
      <c r="F23" s="313">
        <v>0.07688138742644782</v>
      </c>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row>
    <row r="24" spans="1:47" ht="12.75">
      <c r="A24" s="177"/>
      <c r="B24" s="304" t="s">
        <v>132</v>
      </c>
      <c r="C24" s="177"/>
      <c r="D24" s="312">
        <v>0.451</v>
      </c>
      <c r="E24" s="312">
        <v>0.4216</v>
      </c>
      <c r="F24" s="313">
        <v>0.4488231650665841</v>
      </c>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7" ht="12.75">
      <c r="A25" s="177"/>
      <c r="B25" s="304" t="s">
        <v>133</v>
      </c>
      <c r="C25" s="177"/>
      <c r="D25" s="312">
        <v>0.0897</v>
      </c>
      <c r="E25" s="312">
        <v>0.1318</v>
      </c>
      <c r="F25" s="313">
        <v>0.15538866522143077</v>
      </c>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row>
    <row r="26" spans="1:47" ht="12.75">
      <c r="A26" s="177"/>
      <c r="B26" s="304" t="s">
        <v>134</v>
      </c>
      <c r="C26" s="177"/>
      <c r="D26" s="312">
        <v>0.25379999999999997</v>
      </c>
      <c r="E26" s="312">
        <v>0.2483</v>
      </c>
      <c r="F26" s="313">
        <v>0.1701765252400124</v>
      </c>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row>
    <row r="27" spans="1:47" ht="12.75">
      <c r="A27" s="177"/>
      <c r="B27" s="314"/>
      <c r="C27" s="315"/>
      <c r="D27" s="316">
        <f>SUM(D20:D26)</f>
        <v>1</v>
      </c>
      <c r="E27" s="316">
        <f>SUM(E20:E26)</f>
        <v>0.9999999999999999</v>
      </c>
      <c r="F27" s="317">
        <f>SUM(F20:F26)</f>
        <v>1</v>
      </c>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row>
    <row r="28" spans="1:47" ht="12.75">
      <c r="A28" s="177"/>
      <c r="B28" s="177"/>
      <c r="C28" s="177"/>
      <c r="D28" s="189"/>
      <c r="E28" s="189"/>
      <c r="F28" s="189"/>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row>
    <row r="29" spans="1:47" ht="12.75">
      <c r="A29" s="177"/>
      <c r="B29" s="177"/>
      <c r="C29" s="177"/>
      <c r="D29" s="189"/>
      <c r="E29" s="189"/>
      <c r="F29" s="189"/>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row>
    <row r="30" spans="1:47" ht="12.75">
      <c r="A30" s="177"/>
      <c r="B30" s="177"/>
      <c r="C30" s="177"/>
      <c r="D30" s="189"/>
      <c r="E30" s="189"/>
      <c r="F30" s="189"/>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row>
    <row r="31" spans="1:47" ht="15.75">
      <c r="A31" s="177"/>
      <c r="B31" s="187" t="s">
        <v>139</v>
      </c>
      <c r="C31" s="177"/>
      <c r="D31" s="189"/>
      <c r="E31" s="189"/>
      <c r="F31" s="189"/>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row>
    <row r="32" spans="1:47" ht="12.75">
      <c r="A32" s="177"/>
      <c r="B32" s="177"/>
      <c r="C32" s="177"/>
      <c r="D32" s="189"/>
      <c r="E32" s="189"/>
      <c r="F32" s="189"/>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row>
    <row r="33" spans="1:47" ht="12.75">
      <c r="A33" s="177"/>
      <c r="B33" s="293" t="s">
        <v>135</v>
      </c>
      <c r="C33" s="294"/>
      <c r="D33" s="294">
        <v>365</v>
      </c>
      <c r="E33" s="318" t="s">
        <v>136</v>
      </c>
      <c r="F33" s="319"/>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row>
    <row r="34" spans="1:47" ht="12.75">
      <c r="A34" s="177"/>
      <c r="B34" s="165">
        <v>2005</v>
      </c>
      <c r="D34" s="148">
        <v>8045</v>
      </c>
      <c r="E34" s="148">
        <v>5198</v>
      </c>
      <c r="F34" s="166">
        <v>6467</v>
      </c>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row>
    <row r="35" spans="1:47" ht="12.75">
      <c r="A35" s="177"/>
      <c r="B35" s="165">
        <f>B34+1</f>
        <v>2006</v>
      </c>
      <c r="D35" s="148">
        <v>8374</v>
      </c>
      <c r="E35" s="148">
        <v>5411</v>
      </c>
      <c r="F35" s="166">
        <v>6732</v>
      </c>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row>
    <row r="36" spans="1:47" ht="12.75">
      <c r="A36" s="177"/>
      <c r="B36" s="165">
        <f aca="true" t="shared" si="0" ref="B36:B53">B35+1</f>
        <v>2007</v>
      </c>
      <c r="D36" s="148">
        <v>8718</v>
      </c>
      <c r="E36" s="148">
        <v>5632</v>
      </c>
      <c r="F36" s="166">
        <v>7008</v>
      </c>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row>
    <row r="37" spans="1:47" ht="12.75">
      <c r="A37" s="177"/>
      <c r="B37" s="165">
        <f t="shared" si="0"/>
        <v>2008</v>
      </c>
      <c r="D37" s="148">
        <v>9075</v>
      </c>
      <c r="E37" s="148">
        <v>5863</v>
      </c>
      <c r="F37" s="166">
        <v>7295</v>
      </c>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row>
    <row r="38" spans="1:47" ht="12.75">
      <c r="A38" s="177"/>
      <c r="B38" s="165">
        <f t="shared" si="0"/>
        <v>2009</v>
      </c>
      <c r="D38" s="148">
        <v>9447</v>
      </c>
      <c r="E38" s="148">
        <v>6104</v>
      </c>
      <c r="F38" s="166">
        <v>7594</v>
      </c>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row>
    <row r="39" spans="1:47" ht="12.75">
      <c r="A39" s="177"/>
      <c r="B39" s="165">
        <f t="shared" si="0"/>
        <v>2010</v>
      </c>
      <c r="D39" s="148">
        <v>9835</v>
      </c>
      <c r="E39" s="148">
        <v>6354</v>
      </c>
      <c r="F39" s="166">
        <v>7905</v>
      </c>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row>
    <row r="40" spans="1:47" ht="12.75">
      <c r="A40" s="177"/>
      <c r="B40" s="165">
        <f t="shared" si="0"/>
        <v>2011</v>
      </c>
      <c r="D40" s="148">
        <v>10238</v>
      </c>
      <c r="E40" s="148">
        <v>6615</v>
      </c>
      <c r="F40" s="166">
        <v>8230</v>
      </c>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row>
    <row r="41" spans="1:47" ht="12.75">
      <c r="A41" s="177"/>
      <c r="B41" s="165">
        <f t="shared" si="0"/>
        <v>2012</v>
      </c>
      <c r="D41" s="148">
        <v>10658</v>
      </c>
      <c r="E41" s="148">
        <v>6886</v>
      </c>
      <c r="F41" s="166">
        <v>8567</v>
      </c>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row>
    <row r="42" spans="1:47" ht="12.75">
      <c r="A42" s="177"/>
      <c r="B42" s="165">
        <f t="shared" si="0"/>
        <v>2013</v>
      </c>
      <c r="D42" s="148">
        <v>11095</v>
      </c>
      <c r="E42" s="148">
        <v>7168</v>
      </c>
      <c r="F42" s="166">
        <v>8918</v>
      </c>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row>
    <row r="43" spans="1:47" ht="12.75">
      <c r="A43" s="177"/>
      <c r="B43" s="165">
        <f t="shared" si="0"/>
        <v>2014</v>
      </c>
      <c r="D43" s="148">
        <v>11550</v>
      </c>
      <c r="E43" s="148">
        <v>7462</v>
      </c>
      <c r="F43" s="166">
        <v>9284</v>
      </c>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row>
    <row r="44" spans="1:47" ht="12.75">
      <c r="A44" s="177"/>
      <c r="B44" s="165">
        <f t="shared" si="0"/>
        <v>2015</v>
      </c>
      <c r="D44" s="148">
        <v>11908</v>
      </c>
      <c r="E44" s="148">
        <v>7693</v>
      </c>
      <c r="F44" s="166">
        <v>9572</v>
      </c>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row>
    <row r="45" spans="1:47" ht="12.75">
      <c r="A45" s="177"/>
      <c r="B45" s="165">
        <f t="shared" si="0"/>
        <v>2016</v>
      </c>
      <c r="D45" s="148">
        <v>12277</v>
      </c>
      <c r="E45" s="148">
        <v>7932</v>
      </c>
      <c r="F45" s="166">
        <v>9869</v>
      </c>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row>
    <row r="46" spans="1:47" ht="12.75">
      <c r="A46" s="177"/>
      <c r="B46" s="165">
        <f t="shared" si="0"/>
        <v>2017</v>
      </c>
      <c r="D46" s="148">
        <v>12657</v>
      </c>
      <c r="E46" s="148">
        <v>8178</v>
      </c>
      <c r="F46" s="166">
        <v>10175</v>
      </c>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row>
    <row r="47" spans="1:47" ht="12.75">
      <c r="A47" s="177"/>
      <c r="B47" s="165">
        <f t="shared" si="0"/>
        <v>2018</v>
      </c>
      <c r="D47" s="148">
        <v>13050</v>
      </c>
      <c r="E47" s="148">
        <v>8431</v>
      </c>
      <c r="F47" s="166">
        <v>10490</v>
      </c>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row>
    <row r="48" spans="1:47" ht="12.75">
      <c r="A48" s="177"/>
      <c r="B48" s="165">
        <f t="shared" si="0"/>
        <v>2019</v>
      </c>
      <c r="D48" s="148">
        <v>13454</v>
      </c>
      <c r="E48" s="148">
        <v>8693</v>
      </c>
      <c r="F48" s="166">
        <v>10815</v>
      </c>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row>
    <row r="49" spans="1:47" ht="12.75">
      <c r="A49" s="177"/>
      <c r="B49" s="165">
        <f t="shared" si="0"/>
        <v>2020</v>
      </c>
      <c r="D49" s="148">
        <v>13871</v>
      </c>
      <c r="E49" s="148">
        <v>8962</v>
      </c>
      <c r="F49" s="166">
        <v>11150</v>
      </c>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row>
    <row r="50" spans="1:47" ht="12.75">
      <c r="A50" s="177"/>
      <c r="B50" s="165">
        <f t="shared" si="0"/>
        <v>2021</v>
      </c>
      <c r="D50" s="148">
        <v>14301</v>
      </c>
      <c r="E50" s="148">
        <v>9240</v>
      </c>
      <c r="F50" s="166">
        <v>11496</v>
      </c>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row>
    <row r="51" spans="1:47" ht="12.75">
      <c r="A51" s="177"/>
      <c r="B51" s="165">
        <f t="shared" si="0"/>
        <v>2022</v>
      </c>
      <c r="D51" s="148">
        <v>14745</v>
      </c>
      <c r="E51" s="148">
        <v>9527</v>
      </c>
      <c r="F51" s="166">
        <v>11853</v>
      </c>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row>
    <row r="52" spans="1:47" ht="12.75">
      <c r="A52" s="177"/>
      <c r="B52" s="165">
        <f t="shared" si="0"/>
        <v>2023</v>
      </c>
      <c r="D52" s="148">
        <v>15202</v>
      </c>
      <c r="E52" s="148">
        <v>9822</v>
      </c>
      <c r="F52" s="166">
        <v>12220</v>
      </c>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row>
    <row r="53" spans="1:47" ht="12.75">
      <c r="A53" s="177"/>
      <c r="B53" s="167">
        <f t="shared" si="0"/>
        <v>2024</v>
      </c>
      <c r="C53" s="157"/>
      <c r="D53" s="168">
        <v>15673</v>
      </c>
      <c r="E53" s="168">
        <v>10126</v>
      </c>
      <c r="F53" s="169">
        <v>12599</v>
      </c>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row>
    <row r="54" spans="1:47" ht="12.75">
      <c r="A54" s="177"/>
      <c r="B54" s="177"/>
      <c r="C54" s="177"/>
      <c r="D54" s="190"/>
      <c r="E54" s="190"/>
      <c r="F54" s="190"/>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row>
    <row r="55" spans="1:47" ht="12.75">
      <c r="A55" s="177"/>
      <c r="B55" s="293" t="s">
        <v>66</v>
      </c>
      <c r="C55" s="294"/>
      <c r="D55" s="318"/>
      <c r="E55" s="318"/>
      <c r="F55" s="319"/>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row>
    <row r="56" spans="1:47" ht="12.75">
      <c r="A56" s="177"/>
      <c r="B56" s="165">
        <v>2005</v>
      </c>
      <c r="D56" s="149"/>
      <c r="E56" s="149"/>
      <c r="F56" s="170"/>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row>
    <row r="57" spans="1:47" ht="12.75">
      <c r="A57" s="177"/>
      <c r="B57" s="165">
        <f>B56+1</f>
        <v>2006</v>
      </c>
      <c r="D57" s="149"/>
      <c r="E57" s="149"/>
      <c r="F57" s="170"/>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row>
    <row r="58" spans="1:47" ht="12.75">
      <c r="A58" s="177"/>
      <c r="B58" s="165">
        <f aca="true" t="shared" si="1" ref="B58:B75">B57+1</f>
        <v>2007</v>
      </c>
      <c r="D58" s="149">
        <v>0.0030000000000000027</v>
      </c>
      <c r="E58" s="149">
        <v>0.0020000000000000018</v>
      </c>
      <c r="F58" s="170">
        <v>0.0040000000000000036</v>
      </c>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row>
    <row r="59" spans="1:47" ht="12.75">
      <c r="A59" s="177"/>
      <c r="B59" s="165">
        <f t="shared" si="1"/>
        <v>2008</v>
      </c>
      <c r="D59" s="149">
        <v>0.004</v>
      </c>
      <c r="E59" s="149">
        <v>0.0040000000000000036</v>
      </c>
      <c r="F59" s="170">
        <v>0.006000000000000005</v>
      </c>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row>
    <row r="60" spans="1:47" ht="12.75">
      <c r="A60" s="177"/>
      <c r="B60" s="165">
        <f t="shared" si="1"/>
        <v>2009</v>
      </c>
      <c r="D60" s="148">
        <v>0.9809999999999999</v>
      </c>
      <c r="E60" s="148">
        <v>1.373</v>
      </c>
      <c r="F60" s="166">
        <v>0.009000000000000001</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row>
    <row r="61" spans="1:47" ht="12.75">
      <c r="A61" s="177"/>
      <c r="B61" s="165">
        <f t="shared" si="1"/>
        <v>2010</v>
      </c>
      <c r="D61" s="148">
        <v>0</v>
      </c>
      <c r="E61" s="148">
        <v>0</v>
      </c>
      <c r="F61" s="166">
        <v>1.962</v>
      </c>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row>
    <row r="62" spans="1:47" ht="12.75">
      <c r="A62" s="177"/>
      <c r="B62" s="165">
        <f t="shared" si="1"/>
        <v>2011</v>
      </c>
      <c r="D62" s="148">
        <v>0</v>
      </c>
      <c r="E62" s="148">
        <v>0</v>
      </c>
      <c r="F62" s="166">
        <v>0</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row>
    <row r="63" spans="1:47" ht="12.75">
      <c r="A63" s="177"/>
      <c r="B63" s="165">
        <f t="shared" si="1"/>
        <v>2012</v>
      </c>
      <c r="D63" s="148">
        <v>0</v>
      </c>
      <c r="E63" s="148">
        <v>0</v>
      </c>
      <c r="F63" s="166">
        <v>0</v>
      </c>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row>
    <row r="64" spans="1:47" ht="12.75">
      <c r="A64" s="177"/>
      <c r="B64" s="165">
        <f t="shared" si="1"/>
        <v>2013</v>
      </c>
      <c r="D64" s="148">
        <v>0</v>
      </c>
      <c r="E64" s="148">
        <v>0</v>
      </c>
      <c r="F64" s="166">
        <v>0</v>
      </c>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row>
    <row r="65" spans="1:47" ht="12.75">
      <c r="A65" s="177"/>
      <c r="B65" s="165">
        <f t="shared" si="1"/>
        <v>2014</v>
      </c>
      <c r="D65" s="148">
        <v>0</v>
      </c>
      <c r="E65" s="148">
        <v>0</v>
      </c>
      <c r="F65" s="166">
        <v>0</v>
      </c>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row>
    <row r="66" spans="1:47" ht="12.75">
      <c r="A66" s="177"/>
      <c r="B66" s="165">
        <f t="shared" si="1"/>
        <v>2015</v>
      </c>
      <c r="D66" s="148">
        <v>0</v>
      </c>
      <c r="E66" s="148">
        <v>0</v>
      </c>
      <c r="F66" s="166">
        <v>0</v>
      </c>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row>
    <row r="67" spans="1:47" ht="12.75">
      <c r="A67" s="177"/>
      <c r="B67" s="165">
        <f t="shared" si="1"/>
        <v>2016</v>
      </c>
      <c r="D67" s="148">
        <v>0</v>
      </c>
      <c r="E67" s="148">
        <v>1.373</v>
      </c>
      <c r="F67" s="166">
        <v>0</v>
      </c>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row>
    <row r="68" spans="1:47" ht="12.75">
      <c r="A68" s="177"/>
      <c r="B68" s="165">
        <f t="shared" si="1"/>
        <v>2017</v>
      </c>
      <c r="D68" s="148">
        <v>0.9809999999999999</v>
      </c>
      <c r="E68" s="148">
        <v>0</v>
      </c>
      <c r="F68" s="166">
        <v>1.962</v>
      </c>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row>
    <row r="69" spans="1:47" ht="12.75">
      <c r="A69" s="177"/>
      <c r="B69" s="165">
        <f t="shared" si="1"/>
        <v>2018</v>
      </c>
      <c r="D69" s="148">
        <v>0</v>
      </c>
      <c r="E69" s="148">
        <v>0</v>
      </c>
      <c r="F69" s="166">
        <v>0</v>
      </c>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row>
    <row r="70" spans="1:47" ht="12.75">
      <c r="A70" s="177"/>
      <c r="B70" s="165">
        <f t="shared" si="1"/>
        <v>2019</v>
      </c>
      <c r="D70" s="148">
        <v>0</v>
      </c>
      <c r="E70" s="148">
        <v>0</v>
      </c>
      <c r="F70" s="166">
        <v>0</v>
      </c>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row>
    <row r="71" spans="1:47" ht="12.75">
      <c r="A71" s="177"/>
      <c r="B71" s="165">
        <f t="shared" si="1"/>
        <v>2020</v>
      </c>
      <c r="D71" s="148">
        <v>0</v>
      </c>
      <c r="E71" s="148">
        <v>0</v>
      </c>
      <c r="F71" s="166">
        <v>0</v>
      </c>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row>
    <row r="72" spans="1:47" ht="12.75">
      <c r="A72" s="177"/>
      <c r="B72" s="165">
        <f t="shared" si="1"/>
        <v>2021</v>
      </c>
      <c r="D72" s="148">
        <v>0</v>
      </c>
      <c r="E72" s="148">
        <v>0</v>
      </c>
      <c r="F72" s="166">
        <v>0</v>
      </c>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row>
    <row r="73" spans="1:47" ht="12.75">
      <c r="A73" s="177"/>
      <c r="B73" s="165">
        <f t="shared" si="1"/>
        <v>2022</v>
      </c>
      <c r="D73" s="148">
        <v>0</v>
      </c>
      <c r="E73" s="148">
        <v>0</v>
      </c>
      <c r="F73" s="166">
        <v>0</v>
      </c>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row>
    <row r="74" spans="1:47" ht="12.75">
      <c r="A74" s="177"/>
      <c r="B74" s="165">
        <f t="shared" si="1"/>
        <v>2023</v>
      </c>
      <c r="D74" s="148">
        <v>10.176</v>
      </c>
      <c r="E74" s="148">
        <v>8.593</v>
      </c>
      <c r="F74" s="166">
        <v>12.726</v>
      </c>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row>
    <row r="75" spans="1:47" ht="12.75">
      <c r="A75" s="177"/>
      <c r="B75" s="167">
        <f t="shared" si="1"/>
        <v>2024</v>
      </c>
      <c r="C75" s="157"/>
      <c r="D75" s="168">
        <v>0</v>
      </c>
      <c r="E75" s="168">
        <v>0</v>
      </c>
      <c r="F75" s="169">
        <v>0</v>
      </c>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row>
    <row r="76" spans="1:47" ht="12.75">
      <c r="A76" s="177"/>
      <c r="B76" s="177"/>
      <c r="C76" s="177"/>
      <c r="D76" s="189"/>
      <c r="E76" s="189"/>
      <c r="F76" s="189"/>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row>
    <row r="77" spans="1:47" ht="12.75">
      <c r="A77" s="177"/>
      <c r="B77" s="177"/>
      <c r="C77" s="177"/>
      <c r="D77" s="189"/>
      <c r="E77" s="189"/>
      <c r="F77" s="189"/>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row>
    <row r="78" spans="1:47" ht="12.75">
      <c r="A78" s="177"/>
      <c r="B78" s="177"/>
      <c r="C78" s="177"/>
      <c r="D78" s="189"/>
      <c r="E78" s="189"/>
      <c r="F78" s="189"/>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row>
    <row r="79" spans="1:47" ht="12.75">
      <c r="A79" s="177"/>
      <c r="B79" s="293" t="s">
        <v>55</v>
      </c>
      <c r="C79" s="294"/>
      <c r="D79" s="318"/>
      <c r="E79" s="318"/>
      <c r="F79" s="319"/>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row>
    <row r="80" spans="1:47" ht="12.75">
      <c r="A80" s="177"/>
      <c r="B80" s="165">
        <v>2005</v>
      </c>
      <c r="D80" s="150">
        <v>0</v>
      </c>
      <c r="E80" s="150">
        <v>0</v>
      </c>
      <c r="F80" s="171">
        <v>0</v>
      </c>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row>
    <row r="81" spans="1:47" ht="12.75">
      <c r="A81" s="177"/>
      <c r="B81" s="165">
        <f>B80+1</f>
        <v>2006</v>
      </c>
      <c r="D81" s="150">
        <v>0</v>
      </c>
      <c r="E81" s="150">
        <v>0</v>
      </c>
      <c r="F81" s="171">
        <v>0</v>
      </c>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row>
    <row r="82" spans="1:47" ht="12.75">
      <c r="A82" s="177"/>
      <c r="B82" s="165">
        <f aca="true" t="shared" si="2" ref="B82:B100">B81+1</f>
        <v>2007</v>
      </c>
      <c r="D82" s="150">
        <v>0</v>
      </c>
      <c r="E82" s="150">
        <v>0</v>
      </c>
      <c r="F82" s="171">
        <v>0</v>
      </c>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row>
    <row r="83" spans="1:47" ht="12.75">
      <c r="A83" s="177"/>
      <c r="B83" s="165">
        <f t="shared" si="2"/>
        <v>2008</v>
      </c>
      <c r="D83" s="150">
        <v>1.314766594965847</v>
      </c>
      <c r="E83" s="150">
        <v>1.6457982378463516</v>
      </c>
      <c r="F83" s="171">
        <v>2.3217253326072456</v>
      </c>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row>
    <row r="84" spans="1:47" ht="12.75">
      <c r="A84" s="177"/>
      <c r="B84" s="165">
        <f t="shared" si="2"/>
        <v>2009</v>
      </c>
      <c r="D84" s="150">
        <v>1.5347337924194226</v>
      </c>
      <c r="E84" s="150">
        <v>1.8815418589202668</v>
      </c>
      <c r="F84" s="171">
        <v>2.713028670796339</v>
      </c>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row>
    <row r="85" spans="1:47" ht="12.75">
      <c r="A85" s="177"/>
      <c r="B85" s="165">
        <f t="shared" si="2"/>
        <v>2010</v>
      </c>
      <c r="D85" s="150">
        <v>1.793148595664074</v>
      </c>
      <c r="E85" s="150">
        <v>2.1554753558323743</v>
      </c>
      <c r="F85" s="171">
        <v>3.184043391992235</v>
      </c>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row>
    <row r="86" spans="1:47" ht="12.75">
      <c r="A86" s="177"/>
      <c r="B86" s="165">
        <f t="shared" si="2"/>
        <v>2011</v>
      </c>
      <c r="D86" s="150">
        <v>0.8408106249347709</v>
      </c>
      <c r="E86" s="150">
        <v>1.2350510980647957</v>
      </c>
      <c r="F86" s="171">
        <v>3.7284242414154747</v>
      </c>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row>
    <row r="87" spans="1:47" ht="12.75">
      <c r="A87" s="177"/>
      <c r="B87" s="165">
        <f t="shared" si="2"/>
        <v>2012</v>
      </c>
      <c r="D87" s="150">
        <v>0.9503440723670167</v>
      </c>
      <c r="E87" s="150">
        <v>1.3642928475087448</v>
      </c>
      <c r="F87" s="171">
        <v>1.9997089820608238</v>
      </c>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row>
    <row r="88" spans="1:47" ht="12.75">
      <c r="A88" s="177"/>
      <c r="B88" s="165">
        <f t="shared" si="2"/>
        <v>2013</v>
      </c>
      <c r="D88" s="150">
        <v>1.050454666115181</v>
      </c>
      <c r="E88" s="150">
        <v>1.4734436154598836</v>
      </c>
      <c r="F88" s="171">
        <v>2.2276018641688218</v>
      </c>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row>
    <row r="89" spans="1:47" ht="12.75">
      <c r="A89" s="177"/>
      <c r="B89" s="165">
        <f t="shared" si="2"/>
        <v>2014</v>
      </c>
      <c r="D89" s="150">
        <v>1.1632568344897134</v>
      </c>
      <c r="E89" s="150">
        <v>1.594563138164876</v>
      </c>
      <c r="F89" s="171">
        <v>2.4366563774471324</v>
      </c>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row>
    <row r="90" spans="1:47" ht="12.75">
      <c r="A90" s="177"/>
      <c r="B90" s="165">
        <f t="shared" si="2"/>
        <v>2015</v>
      </c>
      <c r="D90" s="150">
        <v>1.2911775668251115</v>
      </c>
      <c r="E90" s="150">
        <v>1.7275979408428626</v>
      </c>
      <c r="F90" s="171">
        <v>2.665880507645017</v>
      </c>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row>
    <row r="91" spans="1:47" ht="12.75">
      <c r="A91" s="177"/>
      <c r="B91" s="165">
        <f t="shared" si="2"/>
        <v>2016</v>
      </c>
      <c r="D91" s="150">
        <v>1.443617143539373</v>
      </c>
      <c r="E91" s="150">
        <v>1.8762218583991324</v>
      </c>
      <c r="F91" s="171">
        <v>2.9351629635901553</v>
      </c>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row>
    <row r="92" spans="1:47" ht="12.75">
      <c r="A92" s="177"/>
      <c r="B92" s="165">
        <f t="shared" si="2"/>
        <v>2017</v>
      </c>
      <c r="D92" s="150">
        <v>1.627774332466414</v>
      </c>
      <c r="E92" s="150">
        <v>2.050606873770926</v>
      </c>
      <c r="F92" s="171">
        <v>3.262091481269561</v>
      </c>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row>
    <row r="93" spans="1:47" ht="12.75">
      <c r="A93" s="177"/>
      <c r="B93" s="165">
        <f t="shared" si="2"/>
        <v>2018</v>
      </c>
      <c r="D93" s="150">
        <v>1.8529365454259175</v>
      </c>
      <c r="E93" s="150">
        <v>1.2367924635599543</v>
      </c>
      <c r="F93" s="171">
        <v>3.6645467960353635</v>
      </c>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row>
    <row r="94" spans="1:47" ht="12.75">
      <c r="A94" s="177"/>
      <c r="B94" s="165">
        <f t="shared" si="2"/>
        <v>2019</v>
      </c>
      <c r="D94" s="150">
        <v>0.9017026051222743</v>
      </c>
      <c r="E94" s="150">
        <v>1.3703357606261672</v>
      </c>
      <c r="F94" s="171">
        <v>1.9984927073635674</v>
      </c>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row>
    <row r="95" spans="1:47" ht="12.75">
      <c r="A95" s="177"/>
      <c r="B95" s="165">
        <f t="shared" si="2"/>
        <v>2020</v>
      </c>
      <c r="D95" s="150">
        <v>1.0203608000529334</v>
      </c>
      <c r="E95" s="150">
        <v>1.485419411640624</v>
      </c>
      <c r="F95" s="171">
        <v>2.2337981448491924</v>
      </c>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row>
    <row r="96" spans="1:47" ht="12.75">
      <c r="A96" s="177"/>
      <c r="B96" s="165">
        <f t="shared" si="2"/>
        <v>2021</v>
      </c>
      <c r="D96" s="150">
        <v>1.1310637344069265</v>
      </c>
      <c r="E96" s="150">
        <v>1.6109233232520914</v>
      </c>
      <c r="F96" s="171">
        <v>2.4313400253572404</v>
      </c>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row>
    <row r="97" spans="1:47" ht="12.75">
      <c r="A97" s="177"/>
      <c r="B97" s="165">
        <f t="shared" si="2"/>
        <v>2022</v>
      </c>
      <c r="D97" s="150">
        <v>1.2558703437896295</v>
      </c>
      <c r="E97" s="150">
        <v>1.6978421817732148</v>
      </c>
      <c r="F97" s="171">
        <v>2.593644288654744</v>
      </c>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row>
    <row r="98" spans="1:47" ht="12.75">
      <c r="A98" s="177"/>
      <c r="B98" s="165">
        <f t="shared" si="2"/>
        <v>2023</v>
      </c>
      <c r="D98" s="150">
        <v>1.4015819836250838</v>
      </c>
      <c r="E98" s="150">
        <v>1.7913378688602322</v>
      </c>
      <c r="F98" s="171">
        <v>2.7890500638970472</v>
      </c>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row>
    <row r="99" spans="1:47" ht="12.75">
      <c r="A99" s="177"/>
      <c r="B99" s="165">
        <f t="shared" si="2"/>
        <v>2024</v>
      </c>
      <c r="D99" s="150">
        <v>1.5777941123771875</v>
      </c>
      <c r="E99" s="150">
        <v>1.903414240839398</v>
      </c>
      <c r="F99" s="171">
        <v>3.035900870584424</v>
      </c>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row>
    <row r="100" spans="1:47" ht="12.75">
      <c r="A100" s="177"/>
      <c r="B100" s="167">
        <f t="shared" si="2"/>
        <v>2025</v>
      </c>
      <c r="C100" s="157"/>
      <c r="D100" s="172">
        <v>0</v>
      </c>
      <c r="E100" s="172">
        <v>0</v>
      </c>
      <c r="F100" s="173">
        <v>0</v>
      </c>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row>
    <row r="101" spans="1:47" ht="12.75">
      <c r="A101" s="177"/>
      <c r="B101" s="177"/>
      <c r="C101" s="177"/>
      <c r="D101" s="182"/>
      <c r="E101" s="182"/>
      <c r="F101" s="150"/>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row>
    <row r="102" spans="1:47" ht="12.75">
      <c r="A102" s="177"/>
      <c r="B102" s="320" t="s">
        <v>56</v>
      </c>
      <c r="C102" s="321"/>
      <c r="D102" s="321"/>
      <c r="E102" s="322">
        <f>'ERR &amp; Sensitivity Analysis'!G13</f>
        <v>0.14</v>
      </c>
      <c r="F102" s="323" t="s">
        <v>10</v>
      </c>
      <c r="G102" s="177"/>
      <c r="H102" s="177"/>
      <c r="I102" s="177"/>
      <c r="J102" s="177"/>
      <c r="K102" s="177"/>
      <c r="L102" s="177"/>
      <c r="M102" s="181"/>
      <c r="N102" s="181"/>
      <c r="O102" s="181"/>
      <c r="P102" s="181"/>
      <c r="Q102" s="181"/>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row>
    <row r="103" spans="1:47" ht="12.75">
      <c r="A103" s="177"/>
      <c r="B103" s="177"/>
      <c r="C103" s="177"/>
      <c r="D103" s="177"/>
      <c r="E103" s="177"/>
      <c r="F103" s="177"/>
      <c r="G103" s="182"/>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row>
    <row r="104" spans="1:47" ht="12.75">
      <c r="A104" s="177"/>
      <c r="B104" s="177"/>
      <c r="C104" s="177"/>
      <c r="D104" s="177"/>
      <c r="E104" s="177"/>
      <c r="F104" s="177"/>
      <c r="G104" s="182"/>
      <c r="H104" s="177"/>
      <c r="I104" s="183"/>
      <c r="J104" s="184"/>
      <c r="K104" s="184"/>
      <c r="L104" s="184"/>
      <c r="M104" s="185"/>
      <c r="N104" s="185"/>
      <c r="O104" s="185"/>
      <c r="P104" s="185"/>
      <c r="Q104" s="185"/>
      <c r="R104" s="185"/>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row>
    <row r="105" spans="1:47" ht="12.75">
      <c r="A105" s="177"/>
      <c r="B105" s="177"/>
      <c r="C105" s="177"/>
      <c r="D105" s="177"/>
      <c r="E105" s="177"/>
      <c r="F105" s="177"/>
      <c r="G105" s="182"/>
      <c r="H105" s="177"/>
      <c r="I105" s="177"/>
      <c r="J105" s="177"/>
      <c r="K105" s="177"/>
      <c r="L105" s="177"/>
      <c r="M105" s="185"/>
      <c r="N105" s="185"/>
      <c r="O105" s="185"/>
      <c r="P105" s="185"/>
      <c r="Q105" s="185"/>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row>
    <row r="106" spans="1:47" ht="13.5" thickBot="1">
      <c r="A106" s="177"/>
      <c r="B106" s="177"/>
      <c r="C106" s="177"/>
      <c r="D106" s="177"/>
      <c r="E106" s="177"/>
      <c r="F106" s="177"/>
      <c r="G106" s="182"/>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row>
    <row r="107" spans="1:47" ht="21" thickBot="1">
      <c r="A107" s="177"/>
      <c r="B107" s="324" t="s">
        <v>141</v>
      </c>
      <c r="C107" s="325"/>
      <c r="D107" s="325"/>
      <c r="E107" s="325"/>
      <c r="F107" s="325"/>
      <c r="G107" s="326"/>
      <c r="H107" s="325"/>
      <c r="I107" s="325"/>
      <c r="J107" s="325"/>
      <c r="K107" s="325"/>
      <c r="L107" s="325"/>
      <c r="M107" s="325"/>
      <c r="N107" s="32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row>
    <row r="108" spans="1:47" s="158" customFormat="1" ht="39" thickBot="1">
      <c r="A108" s="188"/>
      <c r="B108" s="328"/>
      <c r="C108" s="329" t="s">
        <v>137</v>
      </c>
      <c r="D108" s="330" t="s">
        <v>11</v>
      </c>
      <c r="E108" s="330" t="s">
        <v>12</v>
      </c>
      <c r="F108" s="330" t="s">
        <v>13</v>
      </c>
      <c r="G108" s="330" t="s">
        <v>14</v>
      </c>
      <c r="H108" s="331" t="s">
        <v>15</v>
      </c>
      <c r="I108" s="331" t="s">
        <v>3</v>
      </c>
      <c r="J108" s="331" t="s">
        <v>4</v>
      </c>
      <c r="K108" s="332" t="s">
        <v>138</v>
      </c>
      <c r="L108" s="332" t="s">
        <v>2</v>
      </c>
      <c r="M108" s="332" t="s">
        <v>5</v>
      </c>
      <c r="N108" s="333" t="s">
        <v>91</v>
      </c>
      <c r="O108" s="198"/>
      <c r="P108" s="198"/>
      <c r="Q108" s="199"/>
      <c r="R108" s="200">
        <v>2005</v>
      </c>
      <c r="S108" s="200">
        <f>R108+1</f>
        <v>2006</v>
      </c>
      <c r="T108" s="200">
        <f aca="true" t="shared" si="3" ref="T108:AK108">S108+1</f>
        <v>2007</v>
      </c>
      <c r="U108" s="200">
        <f t="shared" si="3"/>
        <v>2008</v>
      </c>
      <c r="V108" s="200">
        <f t="shared" si="3"/>
        <v>2009</v>
      </c>
      <c r="W108" s="200">
        <f t="shared" si="3"/>
        <v>2010</v>
      </c>
      <c r="X108" s="200">
        <f t="shared" si="3"/>
        <v>2011</v>
      </c>
      <c r="Y108" s="200">
        <f t="shared" si="3"/>
        <v>2012</v>
      </c>
      <c r="Z108" s="200">
        <f t="shared" si="3"/>
        <v>2013</v>
      </c>
      <c r="AA108" s="200">
        <f t="shared" si="3"/>
        <v>2014</v>
      </c>
      <c r="AB108" s="200">
        <f t="shared" si="3"/>
        <v>2015</v>
      </c>
      <c r="AC108" s="200">
        <f t="shared" si="3"/>
        <v>2016</v>
      </c>
      <c r="AD108" s="200">
        <f t="shared" si="3"/>
        <v>2017</v>
      </c>
      <c r="AE108" s="200">
        <f t="shared" si="3"/>
        <v>2018</v>
      </c>
      <c r="AF108" s="200">
        <f t="shared" si="3"/>
        <v>2019</v>
      </c>
      <c r="AG108" s="200">
        <f t="shared" si="3"/>
        <v>2020</v>
      </c>
      <c r="AH108" s="200">
        <f t="shared" si="3"/>
        <v>2021</v>
      </c>
      <c r="AI108" s="200">
        <f t="shared" si="3"/>
        <v>2022</v>
      </c>
      <c r="AJ108" s="200">
        <f t="shared" si="3"/>
        <v>2023</v>
      </c>
      <c r="AK108" s="200">
        <f t="shared" si="3"/>
        <v>2024</v>
      </c>
      <c r="AL108" s="199"/>
      <c r="AM108" s="199"/>
      <c r="AN108" s="199"/>
      <c r="AO108" s="199"/>
      <c r="AP108" s="199"/>
      <c r="AQ108" s="199"/>
      <c r="AR108" s="199"/>
      <c r="AS108" s="199"/>
      <c r="AT108" s="199"/>
      <c r="AU108" s="199"/>
    </row>
    <row r="109" spans="1:47" ht="12.75">
      <c r="A109" s="177"/>
      <c r="B109" s="146">
        <v>2005</v>
      </c>
      <c r="D109" s="153">
        <f aca="true" t="shared" si="4" ref="D109:F129">D80*D34*$D$33</f>
        <v>0</v>
      </c>
      <c r="E109" s="153">
        <f t="shared" si="4"/>
        <v>0</v>
      </c>
      <c r="F109" s="153">
        <f t="shared" si="4"/>
        <v>0</v>
      </c>
      <c r="G109" s="153">
        <f>K109*$E$102</f>
        <v>1261400.0000000002</v>
      </c>
      <c r="H109" s="153">
        <f aca="true" t="shared" si="5" ref="H109:H128">SUM(C109:G109)</f>
        <v>1261400.0000000002</v>
      </c>
      <c r="I109" s="147">
        <f>'ERR &amp; Sensitivity Analysis'!D11</f>
        <v>1</v>
      </c>
      <c r="J109" s="144">
        <f>H109*I109</f>
        <v>1261400.0000000002</v>
      </c>
      <c r="K109" s="153">
        <f>90.1*0.1*1000000</f>
        <v>9010000</v>
      </c>
      <c r="L109" s="147">
        <f>'ERR &amp; Sensitivity Analysis'!D10</f>
        <v>1</v>
      </c>
      <c r="M109" s="144">
        <f>K109*L109</f>
        <v>9010000</v>
      </c>
      <c r="N109" s="162">
        <f>J109-M109</f>
        <v>-7748600</v>
      </c>
      <c r="O109" s="201"/>
      <c r="P109" s="201"/>
      <c r="Q109" s="201" t="s">
        <v>16</v>
      </c>
      <c r="R109" s="202">
        <f>J109</f>
        <v>1261400.0000000002</v>
      </c>
      <c r="S109" s="202">
        <f>J110</f>
        <v>5045600.000000001</v>
      </c>
      <c r="T109" s="202">
        <f>J111</f>
        <v>5054600.000000001</v>
      </c>
      <c r="U109" s="202">
        <f>J112</f>
        <v>15334399.999999996</v>
      </c>
      <c r="V109" s="202">
        <f>+N113</f>
        <v>19366999.999999993</v>
      </c>
      <c r="W109" s="202">
        <f>+N114</f>
        <v>22584999.999999996</v>
      </c>
      <c r="X109" s="202">
        <f>+N115</f>
        <v>17324000.00000001</v>
      </c>
      <c r="Y109" s="202">
        <f>+N116</f>
        <v>13379000.000000004</v>
      </c>
      <c r="Z109" s="202">
        <f>+N117</f>
        <v>15360000.000000004</v>
      </c>
      <c r="AA109" s="202">
        <f>+N118</f>
        <v>17504000.00000001</v>
      </c>
      <c r="AB109" s="202">
        <f>+N119</f>
        <v>19777000.000000022</v>
      </c>
      <c r="AC109" s="202">
        <f>+N120</f>
        <v>23847000.000000007</v>
      </c>
      <c r="AD109" s="202">
        <f>+N121</f>
        <v>28698999.999999993</v>
      </c>
      <c r="AE109" s="202">
        <f>+N122</f>
        <v>26663000.000000004</v>
      </c>
      <c r="AF109" s="202">
        <f>+N123</f>
        <v>16664999.999999996</v>
      </c>
      <c r="AG109" s="202">
        <f>+N124</f>
        <v>19115999.999999993</v>
      </c>
      <c r="AH109" s="202">
        <f>+N125</f>
        <v>21539000.000000007</v>
      </c>
      <c r="AI109" s="202">
        <f>+N126</f>
        <v>23884000.000000007</v>
      </c>
      <c r="AJ109" s="202">
        <f>+N127</f>
        <v>58134000.00000001</v>
      </c>
      <c r="AK109" s="202">
        <f>+N128</f>
        <v>30022000.000000007</v>
      </c>
      <c r="AL109" s="202">
        <f>+N129</f>
        <v>0</v>
      </c>
      <c r="AM109" s="191"/>
      <c r="AN109" s="191"/>
      <c r="AO109" s="191"/>
      <c r="AP109" s="191"/>
      <c r="AQ109" s="191"/>
      <c r="AR109" s="191"/>
      <c r="AS109" s="191"/>
      <c r="AT109" s="191"/>
      <c r="AU109" s="191"/>
    </row>
    <row r="110" spans="1:47" ht="12.75">
      <c r="A110" s="177"/>
      <c r="B110" s="146">
        <f>B109+1</f>
        <v>2006</v>
      </c>
      <c r="D110" s="153">
        <f t="shared" si="4"/>
        <v>0</v>
      </c>
      <c r="E110" s="153">
        <f t="shared" si="4"/>
        <v>0</v>
      </c>
      <c r="F110" s="153">
        <f t="shared" si="4"/>
        <v>0</v>
      </c>
      <c r="G110" s="153">
        <f>K110*$E$102</f>
        <v>5045600.000000001</v>
      </c>
      <c r="H110" s="153">
        <f t="shared" si="5"/>
        <v>5045600.000000001</v>
      </c>
      <c r="I110" s="147">
        <f>I109</f>
        <v>1</v>
      </c>
      <c r="J110" s="144">
        <f aca="true" t="shared" si="6" ref="J110:J129">H110*I110</f>
        <v>5045600.000000001</v>
      </c>
      <c r="K110" s="153">
        <f>90.1*0.4*1000000</f>
        <v>36040000</v>
      </c>
      <c r="L110" s="147">
        <f>L109</f>
        <v>1</v>
      </c>
      <c r="M110" s="144">
        <f>K110*L110</f>
        <v>36040000</v>
      </c>
      <c r="N110" s="162">
        <f aca="true" t="shared" si="7" ref="N110:N128">J110-M110</f>
        <v>-30994400</v>
      </c>
      <c r="O110" s="201"/>
      <c r="P110" s="201"/>
      <c r="Q110" s="191"/>
      <c r="R110" s="203">
        <f>R109/1000000</f>
        <v>1.2614000000000003</v>
      </c>
      <c r="S110" s="203">
        <f>S109/1000000</f>
        <v>5.045600000000001</v>
      </c>
      <c r="T110" s="203">
        <f aca="true" t="shared" si="8" ref="T110:AL110">T109/1000000</f>
        <v>5.054600000000001</v>
      </c>
      <c r="U110" s="203">
        <f t="shared" si="8"/>
        <v>15.334399999999997</v>
      </c>
      <c r="V110" s="203">
        <f t="shared" si="8"/>
        <v>19.366999999999994</v>
      </c>
      <c r="W110" s="203">
        <f t="shared" si="8"/>
        <v>22.584999999999997</v>
      </c>
      <c r="X110" s="203">
        <f t="shared" si="8"/>
        <v>17.324000000000012</v>
      </c>
      <c r="Y110" s="203">
        <f t="shared" si="8"/>
        <v>13.379000000000003</v>
      </c>
      <c r="Z110" s="203">
        <f t="shared" si="8"/>
        <v>15.360000000000003</v>
      </c>
      <c r="AA110" s="203">
        <f t="shared" si="8"/>
        <v>17.504000000000012</v>
      </c>
      <c r="AB110" s="203">
        <f t="shared" si="8"/>
        <v>19.777000000000022</v>
      </c>
      <c r="AC110" s="203">
        <f t="shared" si="8"/>
        <v>23.84700000000001</v>
      </c>
      <c r="AD110" s="203">
        <f t="shared" si="8"/>
        <v>28.69899999999999</v>
      </c>
      <c r="AE110" s="203">
        <f t="shared" si="8"/>
        <v>26.663000000000004</v>
      </c>
      <c r="AF110" s="203">
        <f t="shared" si="8"/>
        <v>16.664999999999996</v>
      </c>
      <c r="AG110" s="203">
        <f t="shared" si="8"/>
        <v>19.115999999999993</v>
      </c>
      <c r="AH110" s="203">
        <f t="shared" si="8"/>
        <v>21.53900000000001</v>
      </c>
      <c r="AI110" s="203">
        <f t="shared" si="8"/>
        <v>23.884000000000007</v>
      </c>
      <c r="AJ110" s="203">
        <f t="shared" si="8"/>
        <v>58.13400000000001</v>
      </c>
      <c r="AK110" s="203">
        <f t="shared" si="8"/>
        <v>30.02200000000001</v>
      </c>
      <c r="AL110" s="203">
        <f t="shared" si="8"/>
        <v>0</v>
      </c>
      <c r="AM110" s="191"/>
      <c r="AN110" s="191"/>
      <c r="AO110" s="191"/>
      <c r="AP110" s="191"/>
      <c r="AQ110" s="191"/>
      <c r="AR110" s="191"/>
      <c r="AS110" s="191"/>
      <c r="AT110" s="191"/>
      <c r="AU110" s="191"/>
    </row>
    <row r="111" spans="1:47" ht="12.75">
      <c r="A111" s="177"/>
      <c r="B111" s="146">
        <f aca="true" t="shared" si="9" ref="B111:B129">B110+1</f>
        <v>2007</v>
      </c>
      <c r="C111" s="154">
        <f>1000000*SUM(D58:F58)</f>
        <v>9000.000000000007</v>
      </c>
      <c r="D111" s="153">
        <f t="shared" si="4"/>
        <v>0</v>
      </c>
      <c r="E111" s="153">
        <f t="shared" si="4"/>
        <v>0</v>
      </c>
      <c r="F111" s="153">
        <f t="shared" si="4"/>
        <v>0</v>
      </c>
      <c r="G111" s="153">
        <f>K111*$E$102</f>
        <v>5045600.000000001</v>
      </c>
      <c r="H111" s="153">
        <f t="shared" si="5"/>
        <v>5054600.000000001</v>
      </c>
      <c r="I111" s="147">
        <f aca="true" t="shared" si="10" ref="I111:I129">I110</f>
        <v>1</v>
      </c>
      <c r="J111" s="144">
        <f t="shared" si="6"/>
        <v>5054600.000000001</v>
      </c>
      <c r="K111" s="153">
        <f>90.1*0.4*1000000</f>
        <v>36040000</v>
      </c>
      <c r="L111" s="147">
        <f>L110</f>
        <v>1</v>
      </c>
      <c r="M111" s="144">
        <f>K111*L111</f>
        <v>36040000</v>
      </c>
      <c r="N111" s="162">
        <f t="shared" si="7"/>
        <v>-30985400</v>
      </c>
      <c r="O111" s="201"/>
      <c r="P111" s="20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row>
    <row r="112" spans="1:47" ht="12.75">
      <c r="A112" s="177"/>
      <c r="B112" s="146">
        <f t="shared" si="9"/>
        <v>2008</v>
      </c>
      <c r="C112" s="154">
        <f>1000000*SUM(D59:F59)</f>
        <v>14000.00000000001</v>
      </c>
      <c r="D112" s="153">
        <f t="shared" si="4"/>
        <v>4354999.999999997</v>
      </c>
      <c r="E112" s="153">
        <f t="shared" si="4"/>
        <v>3522000.000000003</v>
      </c>
      <c r="F112" s="153">
        <f t="shared" si="4"/>
        <v>6181999.999999997</v>
      </c>
      <c r="G112" s="153">
        <f>K112*$E$102</f>
        <v>1261400.0000000002</v>
      </c>
      <c r="H112" s="153">
        <f t="shared" si="5"/>
        <v>15334399.999999996</v>
      </c>
      <c r="I112" s="147">
        <f t="shared" si="10"/>
        <v>1</v>
      </c>
      <c r="J112" s="144">
        <f t="shared" si="6"/>
        <v>15334399.999999996</v>
      </c>
      <c r="K112" s="153">
        <f>90.1*0.1*1000000</f>
        <v>9010000</v>
      </c>
      <c r="L112" s="147">
        <f>L111</f>
        <v>1</v>
      </c>
      <c r="M112" s="144">
        <f>K112*L112</f>
        <v>9010000</v>
      </c>
      <c r="N112" s="162">
        <f t="shared" si="7"/>
        <v>6324399.999999996</v>
      </c>
      <c r="O112" s="201"/>
      <c r="P112" s="20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row>
    <row r="113" spans="1:47" ht="12.75">
      <c r="A113" s="177"/>
      <c r="B113" s="146">
        <f t="shared" si="9"/>
        <v>2009</v>
      </c>
      <c r="C113" s="154">
        <f aca="true" t="shared" si="11" ref="C113:C129">1000000*SUM(D60:F60)</f>
        <v>2363000</v>
      </c>
      <c r="D113" s="153">
        <f t="shared" si="4"/>
        <v>5291999.999999994</v>
      </c>
      <c r="E113" s="153">
        <f t="shared" si="4"/>
        <v>4191999.9999999977</v>
      </c>
      <c r="F113" s="153">
        <f t="shared" si="4"/>
        <v>7520000</v>
      </c>
      <c r="G113" s="153"/>
      <c r="H113" s="153">
        <f t="shared" si="5"/>
        <v>19366999.999999993</v>
      </c>
      <c r="I113" s="147">
        <f t="shared" si="10"/>
        <v>1</v>
      </c>
      <c r="J113" s="144">
        <f t="shared" si="6"/>
        <v>19366999.999999993</v>
      </c>
      <c r="K113" s="153"/>
      <c r="L113" s="153"/>
      <c r="M113" s="144"/>
      <c r="N113" s="162">
        <f t="shared" si="7"/>
        <v>19366999.999999993</v>
      </c>
      <c r="O113" s="201"/>
      <c r="P113" s="20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row>
    <row r="114" spans="1:47" ht="12.75">
      <c r="A114" s="177"/>
      <c r="B114" s="146">
        <f t="shared" si="9"/>
        <v>2010</v>
      </c>
      <c r="C114" s="154">
        <f t="shared" si="11"/>
        <v>1962000</v>
      </c>
      <c r="D114" s="153">
        <f t="shared" si="4"/>
        <v>6437000.000000001</v>
      </c>
      <c r="E114" s="153">
        <f t="shared" si="4"/>
        <v>4999000.000000001</v>
      </c>
      <c r="F114" s="153">
        <f t="shared" si="4"/>
        <v>9186999.999999996</v>
      </c>
      <c r="G114" s="153"/>
      <c r="H114" s="153">
        <f t="shared" si="5"/>
        <v>22584999.999999996</v>
      </c>
      <c r="I114" s="147">
        <f t="shared" si="10"/>
        <v>1</v>
      </c>
      <c r="J114" s="144">
        <f t="shared" si="6"/>
        <v>22584999.999999996</v>
      </c>
      <c r="K114" s="153"/>
      <c r="L114" s="153"/>
      <c r="M114" s="144"/>
      <c r="N114" s="162">
        <f t="shared" si="7"/>
        <v>22584999.999999996</v>
      </c>
      <c r="O114" s="201"/>
      <c r="P114" s="20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row>
    <row r="115" spans="1:47" ht="12.75">
      <c r="A115" s="177"/>
      <c r="B115" s="146">
        <f t="shared" si="9"/>
        <v>2011</v>
      </c>
      <c r="C115" s="154">
        <f t="shared" si="11"/>
        <v>0</v>
      </c>
      <c r="D115" s="153">
        <f t="shared" si="4"/>
        <v>3141999.9999999977</v>
      </c>
      <c r="E115" s="153">
        <f t="shared" si="4"/>
        <v>2981999.9999999977</v>
      </c>
      <c r="F115" s="153">
        <f t="shared" si="4"/>
        <v>11200000.000000015</v>
      </c>
      <c r="G115" s="153"/>
      <c r="H115" s="153">
        <f t="shared" si="5"/>
        <v>17324000.00000001</v>
      </c>
      <c r="I115" s="147">
        <f t="shared" si="10"/>
        <v>1</v>
      </c>
      <c r="J115" s="144">
        <f t="shared" si="6"/>
        <v>17324000.00000001</v>
      </c>
      <c r="K115" s="153"/>
      <c r="L115" s="153"/>
      <c r="M115" s="144"/>
      <c r="N115" s="162">
        <f t="shared" si="7"/>
        <v>17324000.00000001</v>
      </c>
      <c r="O115" s="201"/>
      <c r="P115" s="20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row>
    <row r="116" spans="1:47" ht="12.75">
      <c r="A116" s="177"/>
      <c r="B116" s="146">
        <f t="shared" si="9"/>
        <v>2012</v>
      </c>
      <c r="C116" s="154">
        <f t="shared" si="11"/>
        <v>0</v>
      </c>
      <c r="D116" s="153">
        <f t="shared" si="4"/>
        <v>3696999.999999997</v>
      </c>
      <c r="E116" s="153">
        <f t="shared" si="4"/>
        <v>3429000.0000000037</v>
      </c>
      <c r="F116" s="153">
        <f t="shared" si="4"/>
        <v>6253000.000000004</v>
      </c>
      <c r="G116" s="153"/>
      <c r="H116" s="153">
        <f t="shared" si="5"/>
        <v>13379000.000000004</v>
      </c>
      <c r="I116" s="147">
        <f t="shared" si="10"/>
        <v>1</v>
      </c>
      <c r="J116" s="144">
        <f t="shared" si="6"/>
        <v>13379000.000000004</v>
      </c>
      <c r="K116" s="153"/>
      <c r="L116" s="153"/>
      <c r="M116" s="144"/>
      <c r="N116" s="162">
        <f t="shared" si="7"/>
        <v>13379000.000000004</v>
      </c>
      <c r="O116" s="201"/>
      <c r="P116" s="20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row>
    <row r="117" spans="1:47" ht="12.75">
      <c r="A117" s="177"/>
      <c r="B117" s="146">
        <f t="shared" si="9"/>
        <v>2013</v>
      </c>
      <c r="C117" s="154">
        <f t="shared" si="11"/>
        <v>0</v>
      </c>
      <c r="D117" s="153">
        <f t="shared" si="4"/>
        <v>4253999.999999995</v>
      </c>
      <c r="E117" s="153">
        <f t="shared" si="4"/>
        <v>3855000.0000000023</v>
      </c>
      <c r="F117" s="153">
        <f t="shared" si="4"/>
        <v>7251000.0000000065</v>
      </c>
      <c r="G117" s="153"/>
      <c r="H117" s="153">
        <f t="shared" si="5"/>
        <v>15360000.000000004</v>
      </c>
      <c r="I117" s="147">
        <f t="shared" si="10"/>
        <v>1</v>
      </c>
      <c r="J117" s="144">
        <f t="shared" si="6"/>
        <v>15360000.000000004</v>
      </c>
      <c r="K117" s="153"/>
      <c r="L117" s="153"/>
      <c r="M117" s="144"/>
      <c r="N117" s="162">
        <f t="shared" si="7"/>
        <v>15360000.000000004</v>
      </c>
      <c r="O117" s="201"/>
      <c r="P117" s="20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row>
    <row r="118" spans="1:47" ht="12.75">
      <c r="A118" s="177"/>
      <c r="B118" s="146">
        <f t="shared" si="9"/>
        <v>2014</v>
      </c>
      <c r="C118" s="154">
        <f t="shared" si="11"/>
        <v>0</v>
      </c>
      <c r="D118" s="153">
        <f t="shared" si="4"/>
        <v>4904000.000000009</v>
      </c>
      <c r="E118" s="153">
        <f t="shared" si="4"/>
        <v>4343000.000000001</v>
      </c>
      <c r="F118" s="153">
        <f t="shared" si="4"/>
        <v>8256999.999999999</v>
      </c>
      <c r="G118" s="153"/>
      <c r="H118" s="153">
        <f t="shared" si="5"/>
        <v>17504000.00000001</v>
      </c>
      <c r="I118" s="147">
        <f t="shared" si="10"/>
        <v>1</v>
      </c>
      <c r="J118" s="144">
        <f t="shared" si="6"/>
        <v>17504000.00000001</v>
      </c>
      <c r="K118" s="153"/>
      <c r="L118" s="153"/>
      <c r="M118" s="144"/>
      <c r="N118" s="162">
        <f t="shared" si="7"/>
        <v>17504000.00000001</v>
      </c>
      <c r="O118" s="201"/>
      <c r="P118" s="20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row>
    <row r="119" spans="1:47" ht="12.75">
      <c r="A119" s="177"/>
      <c r="B119" s="146">
        <f t="shared" si="9"/>
        <v>2015</v>
      </c>
      <c r="C119" s="154">
        <f t="shared" si="11"/>
        <v>0</v>
      </c>
      <c r="D119" s="153">
        <f t="shared" si="4"/>
        <v>5612000.000000002</v>
      </c>
      <c r="E119" s="153">
        <f t="shared" si="4"/>
        <v>4851000.000000012</v>
      </c>
      <c r="F119" s="153">
        <f t="shared" si="4"/>
        <v>9314000.000000007</v>
      </c>
      <c r="G119" s="153"/>
      <c r="H119" s="153">
        <f t="shared" si="5"/>
        <v>19777000.000000022</v>
      </c>
      <c r="I119" s="147">
        <f t="shared" si="10"/>
        <v>1</v>
      </c>
      <c r="J119" s="144">
        <f t="shared" si="6"/>
        <v>19777000.000000022</v>
      </c>
      <c r="K119" s="153"/>
      <c r="L119" s="153"/>
      <c r="M119" s="144"/>
      <c r="N119" s="162">
        <f t="shared" si="7"/>
        <v>19777000.000000022</v>
      </c>
      <c r="O119" s="201"/>
      <c r="P119" s="20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row>
    <row r="120" spans="1:47" ht="12.75">
      <c r="A120" s="177"/>
      <c r="B120" s="146">
        <f t="shared" si="9"/>
        <v>2016</v>
      </c>
      <c r="C120" s="154">
        <f t="shared" si="11"/>
        <v>1373000</v>
      </c>
      <c r="D120" s="153">
        <f t="shared" si="4"/>
        <v>6469000.000000003</v>
      </c>
      <c r="E120" s="153">
        <f t="shared" si="4"/>
        <v>5432000</v>
      </c>
      <c r="F120" s="153">
        <f t="shared" si="4"/>
        <v>10573000.000000004</v>
      </c>
      <c r="G120" s="153"/>
      <c r="H120" s="153">
        <f t="shared" si="5"/>
        <v>23847000.000000007</v>
      </c>
      <c r="I120" s="147">
        <f t="shared" si="10"/>
        <v>1</v>
      </c>
      <c r="J120" s="144">
        <f t="shared" si="6"/>
        <v>23847000.000000007</v>
      </c>
      <c r="K120" s="153"/>
      <c r="L120" s="153"/>
      <c r="M120" s="144"/>
      <c r="N120" s="162">
        <f t="shared" si="7"/>
        <v>23847000.000000007</v>
      </c>
      <c r="O120" s="201"/>
      <c r="P120" s="20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row>
    <row r="121" spans="1:47" ht="12.75">
      <c r="A121" s="177"/>
      <c r="B121" s="146">
        <f t="shared" si="9"/>
        <v>2017</v>
      </c>
      <c r="C121" s="154">
        <f t="shared" si="11"/>
        <v>2942999.9999999995</v>
      </c>
      <c r="D121" s="153">
        <f t="shared" si="4"/>
        <v>7520000.000000001</v>
      </c>
      <c r="E121" s="153">
        <f t="shared" si="4"/>
        <v>6121000.000000001</v>
      </c>
      <c r="F121" s="153">
        <f t="shared" si="4"/>
        <v>12114999.99999999</v>
      </c>
      <c r="G121" s="153"/>
      <c r="H121" s="153">
        <f t="shared" si="5"/>
        <v>28698999.999999993</v>
      </c>
      <c r="I121" s="147">
        <f t="shared" si="10"/>
        <v>1</v>
      </c>
      <c r="J121" s="144">
        <f t="shared" si="6"/>
        <v>28698999.999999993</v>
      </c>
      <c r="M121" s="143"/>
      <c r="N121" s="162">
        <f t="shared" si="7"/>
        <v>28698999.999999993</v>
      </c>
      <c r="O121" s="201"/>
      <c r="P121" s="20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row>
    <row r="122" spans="1:47" ht="12.75">
      <c r="A122" s="177"/>
      <c r="B122" s="146">
        <f t="shared" si="9"/>
        <v>2018</v>
      </c>
      <c r="C122" s="154">
        <f t="shared" si="11"/>
        <v>0</v>
      </c>
      <c r="D122" s="153">
        <f t="shared" si="4"/>
        <v>8826000.000000002</v>
      </c>
      <c r="E122" s="153">
        <f t="shared" si="4"/>
        <v>3806000.0000000005</v>
      </c>
      <c r="F122" s="153">
        <f t="shared" si="4"/>
        <v>14031000.000000002</v>
      </c>
      <c r="G122" s="153"/>
      <c r="H122" s="153">
        <f t="shared" si="5"/>
        <v>26663000.000000004</v>
      </c>
      <c r="I122" s="147">
        <f t="shared" si="10"/>
        <v>1</v>
      </c>
      <c r="J122" s="144">
        <f t="shared" si="6"/>
        <v>26663000.000000004</v>
      </c>
      <c r="M122" s="143"/>
      <c r="N122" s="162">
        <f t="shared" si="7"/>
        <v>26663000.000000004</v>
      </c>
      <c r="O122" s="201"/>
      <c r="P122" s="20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row>
    <row r="123" spans="1:47" ht="12.75">
      <c r="A123" s="177"/>
      <c r="B123" s="146">
        <f t="shared" si="9"/>
        <v>2019</v>
      </c>
      <c r="C123" s="154">
        <f t="shared" si="11"/>
        <v>0</v>
      </c>
      <c r="D123" s="153">
        <f t="shared" si="4"/>
        <v>4428000.000000004</v>
      </c>
      <c r="E123" s="153">
        <f t="shared" si="4"/>
        <v>4347999.999999994</v>
      </c>
      <c r="F123" s="153">
        <f t="shared" si="4"/>
        <v>7888999.999999999</v>
      </c>
      <c r="G123" s="153"/>
      <c r="H123" s="153">
        <f t="shared" si="5"/>
        <v>16664999.999999996</v>
      </c>
      <c r="I123" s="147">
        <f t="shared" si="10"/>
        <v>1</v>
      </c>
      <c r="J123" s="144">
        <f t="shared" si="6"/>
        <v>16664999.999999996</v>
      </c>
      <c r="M123" s="143"/>
      <c r="N123" s="162">
        <f t="shared" si="7"/>
        <v>16664999.999999996</v>
      </c>
      <c r="O123" s="201"/>
      <c r="P123" s="20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row>
    <row r="124" spans="1:47" ht="12.75">
      <c r="A124" s="177"/>
      <c r="B124" s="146">
        <f t="shared" si="9"/>
        <v>2020</v>
      </c>
      <c r="C124" s="154">
        <f t="shared" si="11"/>
        <v>0</v>
      </c>
      <c r="D124" s="153">
        <f t="shared" si="4"/>
        <v>5165999.999999997</v>
      </c>
      <c r="E124" s="153">
        <f t="shared" si="4"/>
        <v>4858999.999999995</v>
      </c>
      <c r="F124" s="153">
        <f t="shared" si="4"/>
        <v>9091000</v>
      </c>
      <c r="G124" s="153"/>
      <c r="H124" s="153">
        <f t="shared" si="5"/>
        <v>19115999.999999993</v>
      </c>
      <c r="I124" s="147">
        <f t="shared" si="10"/>
        <v>1</v>
      </c>
      <c r="J124" s="144">
        <f t="shared" si="6"/>
        <v>19115999.999999993</v>
      </c>
      <c r="M124" s="143"/>
      <c r="N124" s="162">
        <f t="shared" si="7"/>
        <v>19115999.999999993</v>
      </c>
      <c r="O124" s="201"/>
      <c r="P124" s="20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row>
    <row r="125" spans="1:47" ht="12.75">
      <c r="A125" s="177"/>
      <c r="B125" s="146">
        <f t="shared" si="9"/>
        <v>2021</v>
      </c>
      <c r="C125" s="154">
        <f t="shared" si="11"/>
        <v>0</v>
      </c>
      <c r="D125" s="153">
        <f t="shared" si="4"/>
        <v>5904000.000000011</v>
      </c>
      <c r="E125" s="153">
        <f t="shared" si="4"/>
        <v>5433000.000000004</v>
      </c>
      <c r="F125" s="153">
        <f t="shared" si="4"/>
        <v>10201999.999999994</v>
      </c>
      <c r="G125" s="153"/>
      <c r="H125" s="153">
        <f t="shared" si="5"/>
        <v>21539000.000000007</v>
      </c>
      <c r="I125" s="147">
        <f t="shared" si="10"/>
        <v>1</v>
      </c>
      <c r="J125" s="144">
        <f t="shared" si="6"/>
        <v>21539000.000000007</v>
      </c>
      <c r="M125" s="143"/>
      <c r="N125" s="162">
        <f t="shared" si="7"/>
        <v>21539000.000000007</v>
      </c>
      <c r="O125" s="201"/>
      <c r="P125" s="20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row>
    <row r="126" spans="1:47" ht="12.75">
      <c r="A126" s="177"/>
      <c r="B126" s="146">
        <f t="shared" si="9"/>
        <v>2022</v>
      </c>
      <c r="C126" s="154">
        <f t="shared" si="11"/>
        <v>0</v>
      </c>
      <c r="D126" s="153">
        <f t="shared" si="4"/>
        <v>6759000.000000001</v>
      </c>
      <c r="E126" s="153">
        <f t="shared" si="4"/>
        <v>5903999.999999997</v>
      </c>
      <c r="F126" s="153">
        <f t="shared" si="4"/>
        <v>11221000.000000007</v>
      </c>
      <c r="G126" s="153"/>
      <c r="H126" s="153">
        <f t="shared" si="5"/>
        <v>23884000.000000007</v>
      </c>
      <c r="I126" s="147">
        <f t="shared" si="10"/>
        <v>1</v>
      </c>
      <c r="J126" s="144">
        <f t="shared" si="6"/>
        <v>23884000.000000007</v>
      </c>
      <c r="M126" s="143"/>
      <c r="N126" s="162">
        <f t="shared" si="7"/>
        <v>23884000.000000007</v>
      </c>
      <c r="O126" s="201"/>
      <c r="P126" s="20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row>
    <row r="127" spans="1:47" ht="12.75">
      <c r="A127" s="177"/>
      <c r="B127" s="146">
        <f t="shared" si="9"/>
        <v>2023</v>
      </c>
      <c r="C127" s="154">
        <f t="shared" si="11"/>
        <v>31494999.999999996</v>
      </c>
      <c r="D127" s="153">
        <f t="shared" si="4"/>
        <v>7777000.000000011</v>
      </c>
      <c r="E127" s="153">
        <f t="shared" si="4"/>
        <v>6421999.999999998</v>
      </c>
      <c r="F127" s="153">
        <f t="shared" si="4"/>
        <v>12439999.999999998</v>
      </c>
      <c r="G127" s="153"/>
      <c r="H127" s="153">
        <f t="shared" si="5"/>
        <v>58134000.00000001</v>
      </c>
      <c r="I127" s="147">
        <f t="shared" si="10"/>
        <v>1</v>
      </c>
      <c r="J127" s="144">
        <f t="shared" si="6"/>
        <v>58134000.00000001</v>
      </c>
      <c r="M127" s="143"/>
      <c r="N127" s="162">
        <f t="shared" si="7"/>
        <v>58134000.00000001</v>
      </c>
      <c r="O127" s="201"/>
      <c r="P127" s="20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row>
    <row r="128" spans="1:47" ht="12.75">
      <c r="A128" s="177"/>
      <c r="B128" s="146">
        <f t="shared" si="9"/>
        <v>2024</v>
      </c>
      <c r="C128" s="154">
        <f t="shared" si="11"/>
        <v>0</v>
      </c>
      <c r="D128" s="153">
        <f t="shared" si="4"/>
        <v>9025999.999999996</v>
      </c>
      <c r="E128" s="153">
        <f t="shared" si="4"/>
        <v>7035000.0000000065</v>
      </c>
      <c r="F128" s="153">
        <f t="shared" si="4"/>
        <v>13961000.000000004</v>
      </c>
      <c r="G128" s="153"/>
      <c r="H128" s="153">
        <f t="shared" si="5"/>
        <v>30022000.000000007</v>
      </c>
      <c r="I128" s="147">
        <f t="shared" si="10"/>
        <v>1</v>
      </c>
      <c r="J128" s="144">
        <f t="shared" si="6"/>
        <v>30022000.000000007</v>
      </c>
      <c r="M128" s="143"/>
      <c r="N128" s="162">
        <f t="shared" si="7"/>
        <v>30022000.000000007</v>
      </c>
      <c r="O128" s="201"/>
      <c r="P128" s="20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row>
    <row r="129" spans="1:47" ht="13.5" thickBot="1">
      <c r="A129" s="177"/>
      <c r="B129" s="151">
        <f t="shared" si="9"/>
        <v>2025</v>
      </c>
      <c r="C129" s="155">
        <f t="shared" si="11"/>
        <v>0</v>
      </c>
      <c r="D129" s="156">
        <f t="shared" si="4"/>
        <v>0</v>
      </c>
      <c r="E129" s="156">
        <f t="shared" si="4"/>
        <v>0</v>
      </c>
      <c r="F129" s="156">
        <f t="shared" si="4"/>
        <v>0</v>
      </c>
      <c r="G129" s="156"/>
      <c r="H129" s="156">
        <f>SUM(D129:G129)</f>
        <v>0</v>
      </c>
      <c r="I129" s="159">
        <f t="shared" si="10"/>
        <v>1</v>
      </c>
      <c r="J129" s="145">
        <f t="shared" si="6"/>
        <v>0</v>
      </c>
      <c r="K129" s="152"/>
      <c r="L129" s="152"/>
      <c r="M129" s="161"/>
      <c r="N129" s="163"/>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row>
    <row r="130" spans="1:47" ht="13.5" thickBot="1">
      <c r="A130" s="177"/>
      <c r="B130" s="177"/>
      <c r="C130" s="204"/>
      <c r="D130" s="184"/>
      <c r="E130" s="184"/>
      <c r="F130" s="184"/>
      <c r="G130" s="184"/>
      <c r="H130" s="184"/>
      <c r="I130" s="189"/>
      <c r="J130" s="184"/>
      <c r="K130" s="177"/>
      <c r="L130" s="177"/>
      <c r="M130" s="196"/>
      <c r="N130" s="196"/>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row>
    <row r="131" spans="1:47" ht="13.5" thickBot="1">
      <c r="A131" s="177"/>
      <c r="B131" s="177"/>
      <c r="C131" s="177"/>
      <c r="D131" s="177"/>
      <c r="E131" s="177"/>
      <c r="F131" s="177"/>
      <c r="G131" s="177"/>
      <c r="H131" s="177"/>
      <c r="I131" s="177"/>
      <c r="J131" s="177"/>
      <c r="K131" s="177"/>
      <c r="L131" s="177"/>
      <c r="M131" s="174" t="s">
        <v>8</v>
      </c>
      <c r="N131" s="175">
        <f>IRR(N109:N128)</f>
        <v>0.21074072915302833</v>
      </c>
      <c r="O131" s="197"/>
      <c r="P131" s="197"/>
      <c r="Q131" s="19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row>
    <row r="132" spans="1:47" ht="12.75">
      <c r="A132" s="177"/>
      <c r="B132" s="399" t="s">
        <v>23</v>
      </c>
      <c r="C132" s="399"/>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77"/>
      <c r="AD132" s="177"/>
      <c r="AE132" s="177"/>
      <c r="AF132" s="177"/>
      <c r="AG132" s="177"/>
      <c r="AH132" s="177"/>
      <c r="AI132" s="177"/>
      <c r="AJ132" s="177"/>
      <c r="AK132" s="177"/>
      <c r="AL132" s="177"/>
      <c r="AM132" s="177"/>
      <c r="AN132" s="177"/>
      <c r="AO132" s="177"/>
      <c r="AP132" s="177"/>
      <c r="AQ132" s="177"/>
      <c r="AR132" s="177"/>
      <c r="AS132" s="177"/>
      <c r="AT132" s="177"/>
      <c r="AU132" s="177"/>
    </row>
    <row r="133" spans="1:47" ht="12.75">
      <c r="A133" s="177"/>
      <c r="B133" s="191" t="s">
        <v>24</v>
      </c>
      <c r="C133" s="192">
        <f>$G$14*(7/8*K110+K109)/$E$7</f>
        <v>0</v>
      </c>
      <c r="D133" s="193"/>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77"/>
      <c r="AD133" s="177"/>
      <c r="AE133" s="177"/>
      <c r="AF133" s="177"/>
      <c r="AG133" s="177"/>
      <c r="AH133" s="177"/>
      <c r="AI133" s="177"/>
      <c r="AJ133" s="177"/>
      <c r="AK133" s="177"/>
      <c r="AL133" s="177"/>
      <c r="AM133" s="177"/>
      <c r="AN133" s="177"/>
      <c r="AO133" s="177"/>
      <c r="AP133" s="177"/>
      <c r="AQ133" s="177"/>
      <c r="AR133" s="177"/>
      <c r="AS133" s="177"/>
      <c r="AT133" s="177"/>
      <c r="AU133" s="177"/>
    </row>
    <row r="134" spans="1:47" ht="12.75">
      <c r="A134" s="177"/>
      <c r="B134" s="191" t="s">
        <v>25</v>
      </c>
      <c r="C134" s="192">
        <f>$G$14*(1/8*K110+K111+K112)/$E$7</f>
        <v>0</v>
      </c>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77"/>
      <c r="AD134" s="177"/>
      <c r="AE134" s="177"/>
      <c r="AF134" s="177"/>
      <c r="AG134" s="177"/>
      <c r="AH134" s="177"/>
      <c r="AI134" s="177"/>
      <c r="AJ134" s="177"/>
      <c r="AK134" s="177"/>
      <c r="AL134" s="177"/>
      <c r="AM134" s="177"/>
      <c r="AN134" s="177"/>
      <c r="AO134" s="177"/>
      <c r="AP134" s="177"/>
      <c r="AQ134" s="177"/>
      <c r="AR134" s="177"/>
      <c r="AS134" s="177"/>
      <c r="AT134" s="177"/>
      <c r="AU134" s="177"/>
    </row>
    <row r="135" spans="1:47" ht="12.75">
      <c r="A135" s="177"/>
      <c r="B135" s="191" t="s">
        <v>26</v>
      </c>
      <c r="C135" s="192">
        <f>SUM(C133:C134)</f>
        <v>0</v>
      </c>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77"/>
      <c r="AD135" s="177"/>
      <c r="AE135" s="177"/>
      <c r="AF135" s="177"/>
      <c r="AG135" s="177"/>
      <c r="AH135" s="177"/>
      <c r="AI135" s="177"/>
      <c r="AJ135" s="177"/>
      <c r="AK135" s="177"/>
      <c r="AL135" s="177"/>
      <c r="AM135" s="177"/>
      <c r="AN135" s="177"/>
      <c r="AO135" s="177"/>
      <c r="AP135" s="177"/>
      <c r="AQ135" s="177"/>
      <c r="AR135" s="177"/>
      <c r="AS135" s="177"/>
      <c r="AT135" s="177"/>
      <c r="AU135" s="177"/>
    </row>
    <row r="136" spans="1:47" ht="12.75">
      <c r="A136" s="177"/>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77"/>
      <c r="AD136" s="177"/>
      <c r="AE136" s="177"/>
      <c r="AF136" s="177"/>
      <c r="AG136" s="177"/>
      <c r="AH136" s="177"/>
      <c r="AI136" s="177"/>
      <c r="AJ136" s="177"/>
      <c r="AK136" s="177"/>
      <c r="AL136" s="177"/>
      <c r="AM136" s="177"/>
      <c r="AN136" s="177"/>
      <c r="AO136" s="177"/>
      <c r="AP136" s="177"/>
      <c r="AQ136" s="177"/>
      <c r="AR136" s="177"/>
      <c r="AS136" s="177"/>
      <c r="AT136" s="177"/>
      <c r="AU136" s="177"/>
    </row>
    <row r="137" spans="1:47" ht="12.75">
      <c r="A137" s="177"/>
      <c r="B137" s="191"/>
      <c r="C137" s="191"/>
      <c r="D137" s="191"/>
      <c r="E137" s="191"/>
      <c r="F137" s="191">
        <v>2005</v>
      </c>
      <c r="G137" s="191">
        <v>2006</v>
      </c>
      <c r="H137" s="191">
        <v>2007</v>
      </c>
      <c r="I137" s="191">
        <v>2008</v>
      </c>
      <c r="J137" s="191">
        <v>2009</v>
      </c>
      <c r="K137" s="191">
        <v>2010</v>
      </c>
      <c r="L137" s="191">
        <v>2011</v>
      </c>
      <c r="M137" s="191">
        <v>2012</v>
      </c>
      <c r="N137" s="191">
        <v>2013</v>
      </c>
      <c r="O137" s="191"/>
      <c r="P137" s="191"/>
      <c r="Q137" s="191">
        <v>2014</v>
      </c>
      <c r="R137" s="191">
        <v>2015</v>
      </c>
      <c r="S137" s="191">
        <v>2016</v>
      </c>
      <c r="T137" s="191">
        <v>2017</v>
      </c>
      <c r="U137" s="191">
        <v>2018</v>
      </c>
      <c r="V137" s="191">
        <v>2019</v>
      </c>
      <c r="W137" s="191">
        <v>2020</v>
      </c>
      <c r="X137" s="191">
        <v>2021</v>
      </c>
      <c r="Y137" s="191">
        <v>2022</v>
      </c>
      <c r="Z137" s="191">
        <v>2023</v>
      </c>
      <c r="AA137" s="191">
        <v>2024</v>
      </c>
      <c r="AB137" s="191"/>
      <c r="AC137" s="177"/>
      <c r="AD137" s="177"/>
      <c r="AE137" s="177"/>
      <c r="AF137" s="177"/>
      <c r="AG137" s="177"/>
      <c r="AH137" s="177"/>
      <c r="AI137" s="177"/>
      <c r="AJ137" s="177"/>
      <c r="AK137" s="177"/>
      <c r="AL137" s="177"/>
      <c r="AM137" s="177"/>
      <c r="AN137" s="177"/>
      <c r="AO137" s="177"/>
      <c r="AP137" s="177"/>
      <c r="AQ137" s="177"/>
      <c r="AR137" s="177"/>
      <c r="AS137" s="177"/>
      <c r="AT137" s="177"/>
      <c r="AU137" s="177"/>
    </row>
    <row r="138" spans="1:47" ht="12.75">
      <c r="A138" s="177"/>
      <c r="B138" s="191"/>
      <c r="C138" s="191"/>
      <c r="D138" s="194" t="s">
        <v>62</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77"/>
      <c r="AD138" s="177"/>
      <c r="AE138" s="177"/>
      <c r="AF138" s="177"/>
      <c r="AG138" s="177"/>
      <c r="AH138" s="177"/>
      <c r="AI138" s="177"/>
      <c r="AJ138" s="177"/>
      <c r="AK138" s="177"/>
      <c r="AL138" s="177"/>
      <c r="AM138" s="177"/>
      <c r="AN138" s="177"/>
      <c r="AO138" s="177"/>
      <c r="AP138" s="177"/>
      <c r="AQ138" s="177"/>
      <c r="AR138" s="177"/>
      <c r="AS138" s="177"/>
      <c r="AT138" s="177"/>
      <c r="AU138" s="177"/>
    </row>
    <row r="139" spans="1:47" ht="12.75">
      <c r="A139" s="177"/>
      <c r="B139" s="191"/>
      <c r="C139" s="191"/>
      <c r="D139" s="191"/>
      <c r="E139" s="191" t="s">
        <v>60</v>
      </c>
      <c r="F139" s="191">
        <v>8045</v>
      </c>
      <c r="G139" s="191">
        <v>8374</v>
      </c>
      <c r="H139" s="191">
        <v>8718</v>
      </c>
      <c r="I139" s="191">
        <v>9075</v>
      </c>
      <c r="J139" s="191">
        <v>9447</v>
      </c>
      <c r="K139" s="191">
        <v>9835</v>
      </c>
      <c r="L139" s="191">
        <v>10238</v>
      </c>
      <c r="M139" s="191">
        <v>10658</v>
      </c>
      <c r="N139" s="191">
        <v>11095</v>
      </c>
      <c r="O139" s="191"/>
      <c r="P139" s="191"/>
      <c r="Q139" s="191">
        <v>11550</v>
      </c>
      <c r="R139" s="191">
        <v>11908</v>
      </c>
      <c r="S139" s="191">
        <v>12277</v>
      </c>
      <c r="T139" s="191">
        <v>12657</v>
      </c>
      <c r="U139" s="191">
        <v>13050</v>
      </c>
      <c r="V139" s="191">
        <v>13454</v>
      </c>
      <c r="W139" s="191">
        <v>13871</v>
      </c>
      <c r="X139" s="191">
        <v>14301</v>
      </c>
      <c r="Y139" s="191">
        <v>14745</v>
      </c>
      <c r="Z139" s="191">
        <v>15202</v>
      </c>
      <c r="AA139" s="191">
        <v>15673</v>
      </c>
      <c r="AB139" s="191"/>
      <c r="AC139" s="177"/>
      <c r="AD139" s="177"/>
      <c r="AE139" s="177"/>
      <c r="AF139" s="177"/>
      <c r="AG139" s="177"/>
      <c r="AH139" s="177"/>
      <c r="AI139" s="177"/>
      <c r="AJ139" s="177"/>
      <c r="AK139" s="177"/>
      <c r="AL139" s="177"/>
      <c r="AM139" s="177"/>
      <c r="AN139" s="177"/>
      <c r="AO139" s="177"/>
      <c r="AP139" s="177"/>
      <c r="AQ139" s="177"/>
      <c r="AR139" s="177"/>
      <c r="AS139" s="177"/>
      <c r="AT139" s="177"/>
      <c r="AU139" s="177"/>
    </row>
    <row r="140" spans="1:47" ht="12.75">
      <c r="A140" s="177"/>
      <c r="B140" s="191"/>
      <c r="C140" s="191"/>
      <c r="D140" s="191"/>
      <c r="E140" s="191" t="s">
        <v>59</v>
      </c>
      <c r="F140" s="191">
        <v>5198</v>
      </c>
      <c r="G140" s="191">
        <v>5411</v>
      </c>
      <c r="H140" s="191">
        <v>5632</v>
      </c>
      <c r="I140" s="191">
        <v>5863</v>
      </c>
      <c r="J140" s="191">
        <v>6104</v>
      </c>
      <c r="K140" s="191">
        <v>6354</v>
      </c>
      <c r="L140" s="191">
        <v>6615</v>
      </c>
      <c r="M140" s="191">
        <v>6886</v>
      </c>
      <c r="N140" s="191">
        <v>7168</v>
      </c>
      <c r="O140" s="191"/>
      <c r="P140" s="191"/>
      <c r="Q140" s="191">
        <v>7462</v>
      </c>
      <c r="R140" s="191">
        <v>7693</v>
      </c>
      <c r="S140" s="191">
        <v>7932</v>
      </c>
      <c r="T140" s="191">
        <v>8178</v>
      </c>
      <c r="U140" s="191">
        <v>8431</v>
      </c>
      <c r="V140" s="191">
        <v>8693</v>
      </c>
      <c r="W140" s="191">
        <v>8962</v>
      </c>
      <c r="X140" s="191">
        <v>9240</v>
      </c>
      <c r="Y140" s="191">
        <v>9527</v>
      </c>
      <c r="Z140" s="191">
        <v>9822</v>
      </c>
      <c r="AA140" s="191">
        <v>10126</v>
      </c>
      <c r="AB140" s="191"/>
      <c r="AC140" s="177"/>
      <c r="AD140" s="177"/>
      <c r="AE140" s="177"/>
      <c r="AF140" s="177"/>
      <c r="AG140" s="177"/>
      <c r="AH140" s="177"/>
      <c r="AI140" s="177"/>
      <c r="AJ140" s="177"/>
      <c r="AK140" s="177"/>
      <c r="AL140" s="177"/>
      <c r="AM140" s="177"/>
      <c r="AN140" s="177"/>
      <c r="AO140" s="177"/>
      <c r="AP140" s="177"/>
      <c r="AQ140" s="177"/>
      <c r="AR140" s="177"/>
      <c r="AS140" s="177"/>
      <c r="AT140" s="177"/>
      <c r="AU140" s="177"/>
    </row>
    <row r="141" spans="1:47" ht="12.75">
      <c r="A141" s="177"/>
      <c r="B141" s="191"/>
      <c r="C141" s="191"/>
      <c r="D141" s="191"/>
      <c r="E141" s="191" t="s">
        <v>64</v>
      </c>
      <c r="F141" s="191">
        <v>6467</v>
      </c>
      <c r="G141" s="191">
        <v>6732</v>
      </c>
      <c r="H141" s="191">
        <v>7008</v>
      </c>
      <c r="I141" s="191">
        <v>7295</v>
      </c>
      <c r="J141" s="191">
        <v>7594</v>
      </c>
      <c r="K141" s="191">
        <v>7905</v>
      </c>
      <c r="L141" s="191">
        <v>8230</v>
      </c>
      <c r="M141" s="191">
        <v>8567</v>
      </c>
      <c r="N141" s="191">
        <v>8918</v>
      </c>
      <c r="O141" s="191"/>
      <c r="P141" s="191"/>
      <c r="Q141" s="191">
        <v>9284</v>
      </c>
      <c r="R141" s="191">
        <v>9572</v>
      </c>
      <c r="S141" s="191">
        <v>9869</v>
      </c>
      <c r="T141" s="191">
        <v>10175</v>
      </c>
      <c r="U141" s="191">
        <v>10490</v>
      </c>
      <c r="V141" s="191">
        <v>10815</v>
      </c>
      <c r="W141" s="191">
        <v>11150</v>
      </c>
      <c r="X141" s="191">
        <v>11496</v>
      </c>
      <c r="Y141" s="191">
        <v>11853</v>
      </c>
      <c r="Z141" s="191">
        <v>12220</v>
      </c>
      <c r="AA141" s="191">
        <v>12599</v>
      </c>
      <c r="AB141" s="191"/>
      <c r="AC141" s="177"/>
      <c r="AD141" s="177"/>
      <c r="AE141" s="177"/>
      <c r="AF141" s="177"/>
      <c r="AG141" s="177"/>
      <c r="AH141" s="177"/>
      <c r="AI141" s="177"/>
      <c r="AJ141" s="177"/>
      <c r="AK141" s="177"/>
      <c r="AL141" s="177"/>
      <c r="AM141" s="177"/>
      <c r="AN141" s="177"/>
      <c r="AO141" s="177"/>
      <c r="AP141" s="177"/>
      <c r="AQ141" s="177"/>
      <c r="AR141" s="177"/>
      <c r="AS141" s="177"/>
      <c r="AT141" s="177"/>
      <c r="AU141" s="177"/>
    </row>
    <row r="142" spans="1:47" ht="12.75">
      <c r="A142" s="177"/>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77"/>
      <c r="AD142" s="177"/>
      <c r="AE142" s="177"/>
      <c r="AF142" s="177"/>
      <c r="AG142" s="177"/>
      <c r="AH142" s="177"/>
      <c r="AI142" s="177"/>
      <c r="AJ142" s="177"/>
      <c r="AK142" s="177"/>
      <c r="AL142" s="177"/>
      <c r="AM142" s="177"/>
      <c r="AN142" s="177"/>
      <c r="AO142" s="177"/>
      <c r="AP142" s="177"/>
      <c r="AQ142" s="177"/>
      <c r="AR142" s="177"/>
      <c r="AS142" s="177"/>
      <c r="AT142" s="177"/>
      <c r="AU142" s="177"/>
    </row>
    <row r="143" spans="1:47" ht="12.75">
      <c r="A143" s="177"/>
      <c r="B143" s="191"/>
      <c r="C143" s="191"/>
      <c r="D143" s="194" t="s">
        <v>68</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77"/>
      <c r="AD143" s="177"/>
      <c r="AE143" s="177"/>
      <c r="AF143" s="177"/>
      <c r="AG143" s="177"/>
      <c r="AH143" s="177"/>
      <c r="AI143" s="177"/>
      <c r="AJ143" s="177"/>
      <c r="AK143" s="177"/>
      <c r="AL143" s="177"/>
      <c r="AM143" s="177"/>
      <c r="AN143" s="177"/>
      <c r="AO143" s="177"/>
      <c r="AP143" s="177"/>
      <c r="AQ143" s="177"/>
      <c r="AR143" s="177"/>
      <c r="AS143" s="177"/>
      <c r="AT143" s="177"/>
      <c r="AU143" s="177"/>
    </row>
    <row r="144" spans="1:47" ht="12.75">
      <c r="A144" s="177"/>
      <c r="B144" s="191"/>
      <c r="C144" s="191"/>
      <c r="D144" s="191"/>
      <c r="E144" s="191" t="s">
        <v>60</v>
      </c>
      <c r="F144" s="191">
        <v>0</v>
      </c>
      <c r="G144" s="191">
        <v>0</v>
      </c>
      <c r="H144" s="191">
        <v>0</v>
      </c>
      <c r="I144" s="191">
        <v>1.314766594965847</v>
      </c>
      <c r="J144" s="191">
        <v>1.5347337924194226</v>
      </c>
      <c r="K144" s="191">
        <v>1.793148595664074</v>
      </c>
      <c r="L144" s="191">
        <v>0.8408106249347709</v>
      </c>
      <c r="M144" s="191">
        <v>0.9503440723670167</v>
      </c>
      <c r="N144" s="191">
        <v>1.050454666115181</v>
      </c>
      <c r="O144" s="191"/>
      <c r="P144" s="191"/>
      <c r="Q144" s="191">
        <v>1.1632568344897134</v>
      </c>
      <c r="R144" s="191">
        <v>1.2911775668251115</v>
      </c>
      <c r="S144" s="191">
        <v>1.443617143539373</v>
      </c>
      <c r="T144" s="191">
        <v>1.627774332466414</v>
      </c>
      <c r="U144" s="191">
        <v>1.8529365454259175</v>
      </c>
      <c r="V144" s="191">
        <v>0.9017026051222743</v>
      </c>
      <c r="W144" s="191">
        <v>1.0203608000529334</v>
      </c>
      <c r="X144" s="191">
        <v>1.1310637344069265</v>
      </c>
      <c r="Y144" s="191">
        <v>1.2558703437896295</v>
      </c>
      <c r="Z144" s="191">
        <v>1.4015819836250838</v>
      </c>
      <c r="AA144" s="191">
        <v>1.5777941123771875</v>
      </c>
      <c r="AB144" s="191">
        <v>0</v>
      </c>
      <c r="AC144" s="177"/>
      <c r="AD144" s="177"/>
      <c r="AE144" s="177"/>
      <c r="AF144" s="177"/>
      <c r="AG144" s="177"/>
      <c r="AH144" s="177"/>
      <c r="AI144" s="177"/>
      <c r="AJ144" s="177"/>
      <c r="AK144" s="177"/>
      <c r="AL144" s="177"/>
      <c r="AM144" s="177"/>
      <c r="AN144" s="177"/>
      <c r="AO144" s="177"/>
      <c r="AP144" s="177"/>
      <c r="AQ144" s="177"/>
      <c r="AR144" s="177"/>
      <c r="AS144" s="177"/>
      <c r="AT144" s="177"/>
      <c r="AU144" s="177"/>
    </row>
    <row r="145" spans="1:47" ht="12.75">
      <c r="A145" s="177"/>
      <c r="B145" s="191"/>
      <c r="C145" s="191"/>
      <c r="D145" s="191"/>
      <c r="E145" s="191" t="s">
        <v>59</v>
      </c>
      <c r="F145" s="191">
        <v>0</v>
      </c>
      <c r="G145" s="191">
        <v>0</v>
      </c>
      <c r="H145" s="191">
        <v>0</v>
      </c>
      <c r="I145" s="191">
        <v>1.6457982378463516</v>
      </c>
      <c r="J145" s="191">
        <v>1.8815418589202668</v>
      </c>
      <c r="K145" s="191">
        <v>2.1554753558323743</v>
      </c>
      <c r="L145" s="191">
        <v>1.2350510980647957</v>
      </c>
      <c r="M145" s="191">
        <v>1.3642928475087448</v>
      </c>
      <c r="N145" s="191">
        <v>1.4734436154598836</v>
      </c>
      <c r="O145" s="191"/>
      <c r="P145" s="191"/>
      <c r="Q145" s="191">
        <v>1.594563138164876</v>
      </c>
      <c r="R145" s="191">
        <v>1.7275979408428626</v>
      </c>
      <c r="S145" s="191">
        <v>1.8762218583991324</v>
      </c>
      <c r="T145" s="191">
        <v>2.050606873770926</v>
      </c>
      <c r="U145" s="191">
        <v>1.2367924635599543</v>
      </c>
      <c r="V145" s="191">
        <v>1.3703357606261672</v>
      </c>
      <c r="W145" s="191">
        <v>1.485419411640624</v>
      </c>
      <c r="X145" s="191">
        <v>1.6109233232520914</v>
      </c>
      <c r="Y145" s="191">
        <v>1.6978421817732148</v>
      </c>
      <c r="Z145" s="191">
        <v>1.7913378688602322</v>
      </c>
      <c r="AA145" s="191">
        <v>1.903414240839398</v>
      </c>
      <c r="AB145" s="191">
        <v>0</v>
      </c>
      <c r="AC145" s="177"/>
      <c r="AD145" s="177"/>
      <c r="AE145" s="177"/>
      <c r="AF145" s="177"/>
      <c r="AG145" s="177"/>
      <c r="AH145" s="177"/>
      <c r="AI145" s="177"/>
      <c r="AJ145" s="177"/>
      <c r="AK145" s="177"/>
      <c r="AL145" s="177"/>
      <c r="AM145" s="177"/>
      <c r="AN145" s="177"/>
      <c r="AO145" s="177"/>
      <c r="AP145" s="177"/>
      <c r="AQ145" s="177"/>
      <c r="AR145" s="177"/>
      <c r="AS145" s="177"/>
      <c r="AT145" s="177"/>
      <c r="AU145" s="177"/>
    </row>
    <row r="146" spans="1:47" ht="12.75">
      <c r="A146" s="177"/>
      <c r="B146" s="191"/>
      <c r="C146" s="191"/>
      <c r="D146" s="191"/>
      <c r="E146" s="191" t="s">
        <v>64</v>
      </c>
      <c r="F146" s="191">
        <v>0</v>
      </c>
      <c r="G146" s="191">
        <v>0</v>
      </c>
      <c r="H146" s="191">
        <v>0</v>
      </c>
      <c r="I146" s="191">
        <v>2.3217253326072456</v>
      </c>
      <c r="J146" s="191">
        <v>2.713028670796339</v>
      </c>
      <c r="K146" s="191">
        <v>3.184043391992235</v>
      </c>
      <c r="L146" s="191">
        <v>3.7284242414154747</v>
      </c>
      <c r="M146" s="191">
        <v>1.9997089820608238</v>
      </c>
      <c r="N146" s="191">
        <v>2.2276018641688218</v>
      </c>
      <c r="O146" s="191"/>
      <c r="P146" s="191"/>
      <c r="Q146" s="191">
        <v>2.4366563774471324</v>
      </c>
      <c r="R146" s="191">
        <v>2.665880507645017</v>
      </c>
      <c r="S146" s="191">
        <v>2.9351629635901553</v>
      </c>
      <c r="T146" s="191">
        <v>3.262091481269561</v>
      </c>
      <c r="U146" s="191">
        <v>3.6645467960353635</v>
      </c>
      <c r="V146" s="191">
        <v>1.9984927073635674</v>
      </c>
      <c r="W146" s="191">
        <v>2.2337981448491924</v>
      </c>
      <c r="X146" s="191">
        <v>2.4313400253572404</v>
      </c>
      <c r="Y146" s="191">
        <v>2.593644288654744</v>
      </c>
      <c r="Z146" s="191">
        <v>2.7890500638970472</v>
      </c>
      <c r="AA146" s="191">
        <v>3.035900870584424</v>
      </c>
      <c r="AB146" s="191">
        <v>0</v>
      </c>
      <c r="AC146" s="177"/>
      <c r="AD146" s="177"/>
      <c r="AE146" s="177"/>
      <c r="AF146" s="177"/>
      <c r="AG146" s="177"/>
      <c r="AH146" s="177"/>
      <c r="AI146" s="177"/>
      <c r="AJ146" s="177"/>
      <c r="AK146" s="177"/>
      <c r="AL146" s="177"/>
      <c r="AM146" s="177"/>
      <c r="AN146" s="177"/>
      <c r="AO146" s="177"/>
      <c r="AP146" s="177"/>
      <c r="AQ146" s="177"/>
      <c r="AR146" s="177"/>
      <c r="AS146" s="177"/>
      <c r="AT146" s="177"/>
      <c r="AU146" s="177"/>
    </row>
    <row r="147" spans="1:47" ht="12.75">
      <c r="A147" s="177"/>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77"/>
      <c r="AD147" s="177"/>
      <c r="AE147" s="177"/>
      <c r="AF147" s="177"/>
      <c r="AG147" s="177"/>
      <c r="AH147" s="177"/>
      <c r="AI147" s="177"/>
      <c r="AJ147" s="177"/>
      <c r="AK147" s="177"/>
      <c r="AL147" s="177"/>
      <c r="AM147" s="177"/>
      <c r="AN147" s="177"/>
      <c r="AO147" s="177"/>
      <c r="AP147" s="177"/>
      <c r="AQ147" s="177"/>
      <c r="AR147" s="177"/>
      <c r="AS147" s="177"/>
      <c r="AT147" s="177"/>
      <c r="AU147" s="177"/>
    </row>
    <row r="148" spans="1:47" ht="12.75">
      <c r="A148" s="177"/>
      <c r="B148" s="177"/>
      <c r="C148" s="195"/>
      <c r="D148" s="195"/>
      <c r="E148" s="195"/>
      <c r="F148" s="195"/>
      <c r="G148" s="195"/>
      <c r="H148" s="195"/>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row>
    <row r="149" spans="1:47" ht="12.75">
      <c r="A149" s="177"/>
      <c r="B149" s="177"/>
      <c r="C149" s="195"/>
      <c r="D149" s="195"/>
      <c r="E149" s="195"/>
      <c r="F149" s="195"/>
      <c r="G149" s="195"/>
      <c r="H149" s="195"/>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row>
    <row r="150" spans="1:47" ht="12.75">
      <c r="A150" s="177"/>
      <c r="B150" s="177"/>
      <c r="C150" s="195"/>
      <c r="D150" s="195"/>
      <c r="E150" s="195"/>
      <c r="F150" s="195"/>
      <c r="G150" s="195"/>
      <c r="H150" s="195"/>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row>
    <row r="151" spans="1:47" ht="12.75">
      <c r="A151" s="177"/>
      <c r="B151" s="177"/>
      <c r="C151" s="195"/>
      <c r="D151" s="195"/>
      <c r="E151" s="195"/>
      <c r="F151" s="195"/>
      <c r="G151" s="195"/>
      <c r="H151" s="195"/>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row>
    <row r="152" spans="1:47" ht="12.75">
      <c r="A152" s="177"/>
      <c r="B152" s="177"/>
      <c r="C152" s="195"/>
      <c r="D152" s="195"/>
      <c r="E152" s="195"/>
      <c r="F152" s="195"/>
      <c r="G152" s="195"/>
      <c r="H152" s="195"/>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row>
    <row r="153" spans="1:47" ht="12.75">
      <c r="A153" s="177"/>
      <c r="B153" s="177"/>
      <c r="C153" s="195"/>
      <c r="D153" s="195"/>
      <c r="E153" s="195"/>
      <c r="F153" s="195"/>
      <c r="G153" s="195"/>
      <c r="H153" s="195"/>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row>
    <row r="154" spans="1:47" ht="12.75">
      <c r="A154" s="177"/>
      <c r="B154" s="177"/>
      <c r="C154" s="195"/>
      <c r="D154" s="195"/>
      <c r="E154" s="195"/>
      <c r="F154" s="195"/>
      <c r="G154" s="195"/>
      <c r="H154" s="195"/>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row>
    <row r="155" spans="1:47" ht="12.75">
      <c r="A155" s="177"/>
      <c r="B155" s="177"/>
      <c r="C155" s="195"/>
      <c r="D155" s="195"/>
      <c r="E155" s="195"/>
      <c r="F155" s="195"/>
      <c r="G155" s="195"/>
      <c r="H155" s="195"/>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row>
    <row r="156" spans="1:47" ht="12.75">
      <c r="A156" s="177"/>
      <c r="B156" s="177"/>
      <c r="C156" s="195"/>
      <c r="D156" s="195"/>
      <c r="E156" s="195"/>
      <c r="F156" s="195"/>
      <c r="G156" s="195"/>
      <c r="H156" s="195"/>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row>
    <row r="157" spans="1:47" ht="12.75">
      <c r="A157" s="177"/>
      <c r="B157" s="177"/>
      <c r="C157" s="195"/>
      <c r="D157" s="195"/>
      <c r="E157" s="195"/>
      <c r="F157" s="195"/>
      <c r="G157" s="195"/>
      <c r="H157" s="195"/>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row>
    <row r="158" spans="1:47" ht="12.75">
      <c r="A158" s="177"/>
      <c r="B158" s="177"/>
      <c r="C158" s="195"/>
      <c r="D158" s="195"/>
      <c r="E158" s="195"/>
      <c r="F158" s="195"/>
      <c r="G158" s="195"/>
      <c r="H158" s="195"/>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row>
    <row r="159" spans="1:47" ht="12.75">
      <c r="A159" s="177"/>
      <c r="B159" s="177"/>
      <c r="C159" s="195"/>
      <c r="D159" s="195"/>
      <c r="E159" s="195"/>
      <c r="F159" s="195"/>
      <c r="G159" s="195"/>
      <c r="H159" s="195"/>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row>
    <row r="160" spans="1:47" ht="12.75">
      <c r="A160" s="177"/>
      <c r="B160" s="177"/>
      <c r="C160" s="195"/>
      <c r="D160" s="195"/>
      <c r="E160" s="195"/>
      <c r="F160" s="195"/>
      <c r="G160" s="195"/>
      <c r="H160" s="195"/>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row>
    <row r="161" spans="1:47" ht="12.75">
      <c r="A161" s="177"/>
      <c r="B161" s="177"/>
      <c r="C161" s="195"/>
      <c r="D161" s="195"/>
      <c r="E161" s="195"/>
      <c r="F161" s="195"/>
      <c r="G161" s="195"/>
      <c r="H161" s="195"/>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row>
    <row r="162" spans="1:47" ht="12.75">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row>
    <row r="163" spans="1:47" ht="12.75">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row>
    <row r="164" spans="1:47" ht="12.75">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row>
    <row r="165" spans="1:47" ht="12.75">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row>
    <row r="166" spans="1:47" ht="12.75">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row>
    <row r="167" spans="1:47" ht="12.75">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row>
    <row r="168" spans="1:47" ht="12.75">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row>
    <row r="169" spans="1:47" ht="12.75">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row>
    <row r="170" spans="1:47" ht="12.75">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row>
    <row r="171" spans="1:47" ht="12.75">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row>
    <row r="172" spans="1:47" ht="12.75">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row>
    <row r="173" spans="1:47" ht="12.75">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row>
    <row r="174" spans="1:47" ht="12.75">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row>
    <row r="175" spans="1:47" ht="12.75">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row>
    <row r="176" spans="1:47" ht="12.75">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row>
    <row r="177" spans="1:47" ht="12.75">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row>
    <row r="178" spans="1:47" ht="12.75">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row>
    <row r="179" spans="1:47" ht="12.75">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row>
    <row r="180" spans="1:47" ht="12.75">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row>
    <row r="181" spans="1:47" ht="12.75">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row>
  </sheetData>
  <sheetProtection/>
  <mergeCells count="1">
    <mergeCell ref="B132:C132"/>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A150"/>
  <sheetViews>
    <sheetView zoomScalePageLayoutView="0" workbookViewId="0" topLeftCell="A1">
      <selection activeCell="A1" sqref="A1"/>
    </sheetView>
  </sheetViews>
  <sheetFormatPr defaultColWidth="9.140625" defaultRowHeight="12.75"/>
  <cols>
    <col min="1" max="1" width="9.140625" style="28" customWidth="1"/>
    <col min="2" max="2" width="25.140625" style="28" customWidth="1"/>
    <col min="3" max="3" width="12.140625" style="28" customWidth="1"/>
    <col min="4" max="4" width="12.57421875" style="28" customWidth="1"/>
    <col min="5" max="5" width="13.8515625" style="28" customWidth="1"/>
    <col min="6" max="6" width="14.8515625" style="28" bestFit="1" customWidth="1"/>
    <col min="7" max="7" width="15.00390625" style="28" bestFit="1" customWidth="1"/>
    <col min="8" max="8" width="14.140625" style="28" customWidth="1"/>
    <col min="9" max="9" width="16.140625" style="28" customWidth="1"/>
    <col min="10" max="10" width="15.00390625" style="28" bestFit="1" customWidth="1"/>
    <col min="11" max="25" width="14.140625" style="28" bestFit="1" customWidth="1"/>
    <col min="26" max="26" width="9.140625" style="28" customWidth="1"/>
    <col min="27" max="64" width="9.140625" style="261" customWidth="1"/>
    <col min="65" max="16384" width="9.140625" style="28" customWidth="1"/>
  </cols>
  <sheetData>
    <row r="1" spans="1:26" ht="12.75">
      <c r="A1" s="261"/>
      <c r="B1" s="360">
        <f>IF('ERR &amp; Sensitivity Analysis'!I10="y",IF('ERR &amp; Sensitivity Analysis'!I11="y","","Note:Current calculations are based on user input and are not the original MCC estimates"),"Note:Current calculations are based on user input and are not the original MCC estimates")</f>
      </c>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20.25">
      <c r="A2" s="261"/>
      <c r="B2" s="262" t="s">
        <v>18</v>
      </c>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26" ht="13.5" thickBo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row>
    <row r="4" spans="1:26" ht="25.5">
      <c r="A4" s="261"/>
      <c r="B4" s="221" t="s">
        <v>72</v>
      </c>
      <c r="C4" s="256" t="s">
        <v>147</v>
      </c>
      <c r="D4" s="221" t="s">
        <v>73</v>
      </c>
      <c r="E4" s="221" t="s">
        <v>74</v>
      </c>
      <c r="F4" s="221" t="s">
        <v>75</v>
      </c>
      <c r="G4" s="221" t="s">
        <v>76</v>
      </c>
      <c r="H4" s="221" t="s">
        <v>77</v>
      </c>
      <c r="I4" s="221" t="s">
        <v>93</v>
      </c>
      <c r="J4" s="261"/>
      <c r="K4" s="261"/>
      <c r="L4" s="261"/>
      <c r="M4" s="261"/>
      <c r="N4" s="261"/>
      <c r="O4" s="261"/>
      <c r="P4" s="261"/>
      <c r="Q4" s="261"/>
      <c r="R4" s="261"/>
      <c r="S4" s="261"/>
      <c r="T4" s="261"/>
      <c r="U4" s="261"/>
      <c r="V4" s="261"/>
      <c r="W4" s="261"/>
      <c r="X4" s="261"/>
      <c r="Y4" s="261"/>
      <c r="Z4" s="261"/>
    </row>
    <row r="5" spans="1:26" ht="25.5">
      <c r="A5" s="261"/>
      <c r="B5" s="101" t="s">
        <v>78</v>
      </c>
      <c r="C5" s="258">
        <v>1</v>
      </c>
      <c r="D5" s="222" t="s">
        <v>79</v>
      </c>
      <c r="E5" s="223">
        <v>583</v>
      </c>
      <c r="F5" s="223">
        <v>53.9</v>
      </c>
      <c r="G5" s="224">
        <v>18.2</v>
      </c>
      <c r="H5" s="225">
        <v>2.37</v>
      </c>
      <c r="I5" s="123">
        <v>130300</v>
      </c>
      <c r="J5" s="263"/>
      <c r="K5" s="261"/>
      <c r="L5" s="261"/>
      <c r="M5" s="261"/>
      <c r="N5" s="261"/>
      <c r="O5" s="261"/>
      <c r="P5" s="261"/>
      <c r="Q5" s="261"/>
      <c r="R5" s="261"/>
      <c r="S5" s="261"/>
      <c r="T5" s="261"/>
      <c r="U5" s="261"/>
      <c r="V5" s="261"/>
      <c r="W5" s="261"/>
      <c r="X5" s="261"/>
      <c r="Y5" s="261"/>
      <c r="Z5" s="261"/>
    </row>
    <row r="6" spans="1:26" ht="12.75">
      <c r="A6" s="261"/>
      <c r="B6" s="101" t="s">
        <v>80</v>
      </c>
      <c r="C6" s="258">
        <v>2</v>
      </c>
      <c r="D6" s="222" t="s">
        <v>81</v>
      </c>
      <c r="E6" s="223">
        <v>670</v>
      </c>
      <c r="F6" s="226">
        <v>49.4</v>
      </c>
      <c r="G6" s="224">
        <v>20.3</v>
      </c>
      <c r="H6" s="225">
        <v>5.83</v>
      </c>
      <c r="I6" s="124">
        <v>263900</v>
      </c>
      <c r="J6" s="261"/>
      <c r="K6" s="261"/>
      <c r="L6" s="261"/>
      <c r="M6" s="261"/>
      <c r="N6" s="261"/>
      <c r="O6" s="261"/>
      <c r="P6" s="261"/>
      <c r="Q6" s="261"/>
      <c r="R6" s="261"/>
      <c r="S6" s="261"/>
      <c r="T6" s="261"/>
      <c r="U6" s="261"/>
      <c r="V6" s="261"/>
      <c r="W6" s="261"/>
      <c r="X6" s="261"/>
      <c r="Y6" s="261"/>
      <c r="Z6" s="261"/>
    </row>
    <row r="7" spans="1:26" ht="12.75">
      <c r="A7" s="261"/>
      <c r="B7" s="101" t="s">
        <v>82</v>
      </c>
      <c r="C7" s="258">
        <v>3</v>
      </c>
      <c r="D7" s="222" t="s">
        <v>83</v>
      </c>
      <c r="E7" s="223">
        <v>805</v>
      </c>
      <c r="F7" s="226">
        <v>39.4</v>
      </c>
      <c r="G7" s="224">
        <v>9.44</v>
      </c>
      <c r="H7" s="225">
        <v>2.5</v>
      </c>
      <c r="I7" s="124">
        <v>263600</v>
      </c>
      <c r="J7" s="261"/>
      <c r="K7" s="261"/>
      <c r="L7" s="261"/>
      <c r="M7" s="261"/>
      <c r="N7" s="261"/>
      <c r="O7" s="261"/>
      <c r="P7" s="261"/>
      <c r="Q7" s="261"/>
      <c r="R7" s="261"/>
      <c r="S7" s="261"/>
      <c r="T7" s="261"/>
      <c r="U7" s="261"/>
      <c r="V7" s="261"/>
      <c r="W7" s="261"/>
      <c r="X7" s="261"/>
      <c r="Y7" s="261"/>
      <c r="Z7" s="261"/>
    </row>
    <row r="8" spans="1:26" ht="25.5">
      <c r="A8" s="261"/>
      <c r="B8" s="101" t="s">
        <v>84</v>
      </c>
      <c r="C8" s="259">
        <v>4</v>
      </c>
      <c r="D8" s="222" t="s">
        <v>85</v>
      </c>
      <c r="E8" s="223">
        <v>818</v>
      </c>
      <c r="F8" s="226">
        <v>38.7</v>
      </c>
      <c r="G8" s="224">
        <v>20.3</v>
      </c>
      <c r="H8" s="225">
        <v>5.49</v>
      </c>
      <c r="I8" s="124">
        <v>282600</v>
      </c>
      <c r="J8" s="261"/>
      <c r="K8" s="261"/>
      <c r="L8" s="261"/>
      <c r="M8" s="261"/>
      <c r="N8" s="261"/>
      <c r="O8" s="261"/>
      <c r="P8" s="261"/>
      <c r="Q8" s="261"/>
      <c r="R8" s="261"/>
      <c r="S8" s="261"/>
      <c r="T8" s="261"/>
      <c r="U8" s="261"/>
      <c r="V8" s="261"/>
      <c r="W8" s="261"/>
      <c r="X8" s="261"/>
      <c r="Y8" s="261"/>
      <c r="Z8" s="261"/>
    </row>
    <row r="9" spans="1:26" ht="12.75">
      <c r="A9" s="261"/>
      <c r="B9" s="101" t="s">
        <v>86</v>
      </c>
      <c r="C9" s="259">
        <v>5</v>
      </c>
      <c r="D9" s="222" t="s">
        <v>87</v>
      </c>
      <c r="E9" s="223">
        <v>516</v>
      </c>
      <c r="F9" s="223">
        <v>37.6</v>
      </c>
      <c r="G9" s="224">
        <v>5</v>
      </c>
      <c r="H9" s="225">
        <v>0.86</v>
      </c>
      <c r="I9" s="124">
        <v>172000</v>
      </c>
      <c r="J9" s="261"/>
      <c r="K9" s="261"/>
      <c r="L9" s="261"/>
      <c r="M9" s="261"/>
      <c r="N9" s="261"/>
      <c r="O9" s="261"/>
      <c r="P9" s="261"/>
      <c r="Q9" s="261"/>
      <c r="R9" s="261"/>
      <c r="S9" s="261"/>
      <c r="T9" s="261"/>
      <c r="U9" s="261"/>
      <c r="V9" s="261"/>
      <c r="W9" s="261"/>
      <c r="X9" s="261"/>
      <c r="Y9" s="261"/>
      <c r="Z9" s="261"/>
    </row>
    <row r="10" spans="1:26" ht="12.75">
      <c r="A10" s="261"/>
      <c r="B10" s="101" t="s">
        <v>88</v>
      </c>
      <c r="C10" s="259">
        <v>6</v>
      </c>
      <c r="D10" s="222" t="s">
        <v>89</v>
      </c>
      <c r="E10" s="223">
        <v>703</v>
      </c>
      <c r="F10" s="223">
        <v>36.7</v>
      </c>
      <c r="G10" s="224">
        <v>8.6</v>
      </c>
      <c r="H10" s="225">
        <v>2.1</v>
      </c>
      <c r="I10" s="124">
        <f>1000000*H10/G10</f>
        <v>244186.0465116279</v>
      </c>
      <c r="J10" s="261"/>
      <c r="K10" s="261"/>
      <c r="L10" s="261"/>
      <c r="M10" s="261"/>
      <c r="N10" s="261"/>
      <c r="O10" s="261"/>
      <c r="P10" s="261"/>
      <c r="Q10" s="261"/>
      <c r="R10" s="261"/>
      <c r="S10" s="261"/>
      <c r="T10" s="261"/>
      <c r="U10" s="261"/>
      <c r="V10" s="261"/>
      <c r="W10" s="261"/>
      <c r="X10" s="261"/>
      <c r="Y10" s="261"/>
      <c r="Z10" s="261"/>
    </row>
    <row r="11" spans="1:26" ht="26.25" thickBot="1">
      <c r="A11" s="261"/>
      <c r="B11" s="227" t="s">
        <v>90</v>
      </c>
      <c r="C11" s="260">
        <v>7</v>
      </c>
      <c r="D11" s="228" t="s">
        <v>87</v>
      </c>
      <c r="E11" s="229">
        <v>482</v>
      </c>
      <c r="F11" s="230">
        <v>28.4</v>
      </c>
      <c r="G11" s="231">
        <v>9</v>
      </c>
      <c r="H11" s="232">
        <v>2.13</v>
      </c>
      <c r="I11" s="125">
        <v>237000</v>
      </c>
      <c r="J11" s="261"/>
      <c r="K11" s="261"/>
      <c r="L11" s="261"/>
      <c r="M11" s="261"/>
      <c r="N11" s="261"/>
      <c r="O11" s="261"/>
      <c r="P11" s="261"/>
      <c r="Q11" s="261"/>
      <c r="R11" s="261"/>
      <c r="S11" s="261"/>
      <c r="T11" s="261"/>
      <c r="U11" s="261"/>
      <c r="V11" s="261"/>
      <c r="W11" s="261"/>
      <c r="X11" s="261"/>
      <c r="Y11" s="261"/>
      <c r="Z11" s="261"/>
    </row>
    <row r="12" spans="1:26" ht="14.25" thickBot="1" thickTop="1">
      <c r="A12" s="261"/>
      <c r="B12" s="102" t="s">
        <v>63</v>
      </c>
      <c r="C12" s="257"/>
      <c r="D12" s="103"/>
      <c r="E12" s="220">
        <f>SUMPRODUCT(E5:E11,G5:G11)/SUM(G5:G11)</f>
        <v>675.6935270805814</v>
      </c>
      <c r="F12" s="220">
        <f>SUMPRODUCT(F5:F11,H5:H11)/SUM(H5:H11)</f>
        <v>42.13374060150377</v>
      </c>
      <c r="G12" s="104">
        <f>SUM(G5:G11)</f>
        <v>90.83999999999999</v>
      </c>
      <c r="H12" s="127">
        <f>SUM(H5:H11)</f>
        <v>21.279999999999998</v>
      </c>
      <c r="I12" s="126">
        <f>1000000*H12/G12</f>
        <v>234258.03610744164</v>
      </c>
      <c r="J12" s="264"/>
      <c r="K12" s="264"/>
      <c r="L12" s="264"/>
      <c r="M12" s="261"/>
      <c r="N12" s="261"/>
      <c r="O12" s="261"/>
      <c r="P12" s="261"/>
      <c r="Q12" s="261"/>
      <c r="R12" s="261"/>
      <c r="S12" s="261"/>
      <c r="T12" s="261"/>
      <c r="U12" s="261"/>
      <c r="V12" s="261"/>
      <c r="W12" s="261"/>
      <c r="X12" s="261"/>
      <c r="Y12" s="261"/>
      <c r="Z12" s="261"/>
    </row>
    <row r="13" spans="1:26" ht="12.75">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row>
    <row r="14" spans="1:26" ht="13.5" thickBot="1">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1:26" ht="12.75">
      <c r="A15" s="261"/>
      <c r="B15" s="334" t="s">
        <v>142</v>
      </c>
      <c r="C15" s="335">
        <v>1</v>
      </c>
      <c r="D15" s="335">
        <v>2</v>
      </c>
      <c r="E15" s="335">
        <v>3</v>
      </c>
      <c r="F15" s="335">
        <v>4</v>
      </c>
      <c r="G15" s="335">
        <v>5</v>
      </c>
      <c r="H15" s="335">
        <v>6</v>
      </c>
      <c r="I15" s="335">
        <v>7</v>
      </c>
      <c r="J15" s="336"/>
      <c r="K15" s="337"/>
      <c r="L15" s="261"/>
      <c r="M15" s="261"/>
      <c r="N15" s="261"/>
      <c r="O15" s="261"/>
      <c r="P15" s="261"/>
      <c r="Q15" s="261"/>
      <c r="R15" s="261"/>
      <c r="S15" s="261"/>
      <c r="T15" s="261"/>
      <c r="U15" s="261"/>
      <c r="V15" s="261"/>
      <c r="W15" s="261"/>
      <c r="X15" s="261"/>
      <c r="Y15" s="261"/>
      <c r="Z15" s="261"/>
    </row>
    <row r="16" spans="1:26" ht="39" thickBot="1">
      <c r="A16" s="261"/>
      <c r="B16" s="338"/>
      <c r="C16" s="339" t="s">
        <v>78</v>
      </c>
      <c r="D16" s="339" t="s">
        <v>80</v>
      </c>
      <c r="E16" s="339" t="s">
        <v>82</v>
      </c>
      <c r="F16" s="339" t="s">
        <v>84</v>
      </c>
      <c r="G16" s="339" t="s">
        <v>86</v>
      </c>
      <c r="H16" s="339" t="s">
        <v>88</v>
      </c>
      <c r="I16" s="339" t="s">
        <v>90</v>
      </c>
      <c r="J16" s="339" t="s">
        <v>63</v>
      </c>
      <c r="K16" s="340" t="s">
        <v>91</v>
      </c>
      <c r="L16" s="261"/>
      <c r="M16" s="261"/>
      <c r="N16" s="261"/>
      <c r="O16" s="261"/>
      <c r="P16" s="261"/>
      <c r="Q16" s="261"/>
      <c r="R16" s="261"/>
      <c r="S16" s="261"/>
      <c r="T16" s="261"/>
      <c r="U16" s="261"/>
      <c r="V16" s="261"/>
      <c r="W16" s="261"/>
      <c r="X16" s="261"/>
      <c r="Y16" s="261"/>
      <c r="Z16" s="261"/>
    </row>
    <row r="17" spans="1:26" ht="12.75">
      <c r="A17" s="261"/>
      <c r="B17" s="255" t="s">
        <v>57</v>
      </c>
      <c r="C17" s="158"/>
      <c r="D17" s="158"/>
      <c r="E17" s="158"/>
      <c r="F17" s="158"/>
      <c r="G17" s="158"/>
      <c r="H17" s="158"/>
      <c r="I17" s="158"/>
      <c r="J17" s="82"/>
      <c r="K17" s="265"/>
      <c r="L17" s="261"/>
      <c r="M17" s="261"/>
      <c r="N17" s="261"/>
      <c r="O17" s="261"/>
      <c r="P17" s="261"/>
      <c r="Q17" s="261"/>
      <c r="R17" s="261"/>
      <c r="S17" s="261"/>
      <c r="T17" s="261"/>
      <c r="U17" s="261"/>
      <c r="V17" s="261"/>
      <c r="W17" s="261"/>
      <c r="X17" s="261"/>
      <c r="Y17" s="261"/>
      <c r="Z17" s="261"/>
    </row>
    <row r="18" spans="1:26" ht="12.75">
      <c r="A18" s="261"/>
      <c r="B18" s="255">
        <v>1</v>
      </c>
      <c r="C18" s="158">
        <v>0</v>
      </c>
      <c r="D18" s="158">
        <v>0</v>
      </c>
      <c r="E18" s="158">
        <v>0</v>
      </c>
      <c r="F18" s="158">
        <v>0</v>
      </c>
      <c r="G18" s="158">
        <v>0</v>
      </c>
      <c r="H18" s="158">
        <v>0</v>
      </c>
      <c r="I18" s="158">
        <v>0</v>
      </c>
      <c r="J18" s="82"/>
      <c r="K18" s="265"/>
      <c r="L18" s="261"/>
      <c r="M18" s="261"/>
      <c r="N18" s="261"/>
      <c r="O18" s="261"/>
      <c r="P18" s="261"/>
      <c r="Q18" s="261"/>
      <c r="R18" s="261"/>
      <c r="S18" s="261"/>
      <c r="T18" s="261"/>
      <c r="U18" s="261"/>
      <c r="V18" s="261"/>
      <c r="W18" s="261"/>
      <c r="X18" s="261"/>
      <c r="Y18" s="261"/>
      <c r="Z18" s="261"/>
    </row>
    <row r="19" spans="1:26" ht="12.75">
      <c r="A19" s="261"/>
      <c r="B19" s="233">
        <v>2</v>
      </c>
      <c r="C19" s="82">
        <v>-2.04</v>
      </c>
      <c r="D19" s="82">
        <v>-1.361</v>
      </c>
      <c r="E19" s="82">
        <v>-2.125</v>
      </c>
      <c r="F19" s="82"/>
      <c r="G19" s="82"/>
      <c r="H19" s="82"/>
      <c r="I19" s="82"/>
      <c r="J19" s="82"/>
      <c r="K19" s="265">
        <f aca="true" t="shared" si="0" ref="K19:K40">SUM(C19:I19)</f>
        <v>-5.526</v>
      </c>
      <c r="L19" s="261"/>
      <c r="M19" s="261"/>
      <c r="N19" s="261"/>
      <c r="O19" s="261"/>
      <c r="P19" s="261"/>
      <c r="Q19" s="261"/>
      <c r="R19" s="261"/>
      <c r="S19" s="261"/>
      <c r="T19" s="261"/>
      <c r="U19" s="261"/>
      <c r="V19" s="261"/>
      <c r="W19" s="261"/>
      <c r="X19" s="261"/>
      <c r="Y19" s="261"/>
      <c r="Z19" s="261"/>
    </row>
    <row r="20" spans="1:26" ht="12.75">
      <c r="A20" s="261"/>
      <c r="B20" s="233">
        <f>B19+1</f>
        <v>3</v>
      </c>
      <c r="C20" s="82">
        <v>0.88</v>
      </c>
      <c r="D20" s="82">
        <v>-1.252</v>
      </c>
      <c r="E20" s="82">
        <v>0.575</v>
      </c>
      <c r="F20" s="82">
        <v>-2.466</v>
      </c>
      <c r="G20" s="82">
        <v>-0.721</v>
      </c>
      <c r="H20" s="82">
        <v>-1.795</v>
      </c>
      <c r="I20" s="82">
        <v>-1.834</v>
      </c>
      <c r="J20" s="82">
        <f>SUMIF(C20:I20,"&gt;0",C20:I20)</f>
        <v>1.455</v>
      </c>
      <c r="K20" s="265">
        <f t="shared" si="0"/>
        <v>-6.6129999999999995</v>
      </c>
      <c r="L20" s="261"/>
      <c r="M20" s="261"/>
      <c r="N20" s="261"/>
      <c r="O20" s="261"/>
      <c r="P20" s="261"/>
      <c r="Q20" s="261"/>
      <c r="R20" s="261"/>
      <c r="S20" s="261"/>
      <c r="T20" s="261"/>
      <c r="U20" s="261"/>
      <c r="V20" s="261"/>
      <c r="W20" s="261"/>
      <c r="X20" s="261"/>
      <c r="Y20" s="261"/>
      <c r="Z20" s="261"/>
    </row>
    <row r="21" spans="1:26" ht="12.75">
      <c r="A21" s="261"/>
      <c r="B21" s="233">
        <f aca="true" t="shared" si="1" ref="B21:B40">B20+1</f>
        <v>4</v>
      </c>
      <c r="C21" s="82">
        <v>1.01</v>
      </c>
      <c r="D21" s="82">
        <v>1.329</v>
      </c>
      <c r="E21" s="82">
        <v>0.66</v>
      </c>
      <c r="F21" s="82">
        <v>-2.357</v>
      </c>
      <c r="G21" s="82">
        <v>0.189</v>
      </c>
      <c r="H21" s="82">
        <v>0.492</v>
      </c>
      <c r="I21" s="82">
        <v>0.345</v>
      </c>
      <c r="J21" s="82">
        <f aca="true" t="shared" si="2" ref="J21:J40">SUMIF(C21:I21,"&gt;0",C21:I21)</f>
        <v>4.025</v>
      </c>
      <c r="K21" s="265">
        <f t="shared" si="0"/>
        <v>1.668</v>
      </c>
      <c r="L21" s="261"/>
      <c r="M21" s="261"/>
      <c r="N21" s="261"/>
      <c r="O21" s="261"/>
      <c r="P21" s="261"/>
      <c r="Q21" s="261"/>
      <c r="R21" s="261"/>
      <c r="S21" s="261"/>
      <c r="T21" s="261"/>
      <c r="U21" s="261"/>
      <c r="V21" s="261"/>
      <c r="W21" s="261"/>
      <c r="X21" s="261"/>
      <c r="Y21" s="261"/>
      <c r="Z21" s="261"/>
    </row>
    <row r="22" spans="1:26" ht="12.75">
      <c r="A22" s="261"/>
      <c r="B22" s="233">
        <f t="shared" si="1"/>
        <v>5</v>
      </c>
      <c r="C22" s="82">
        <v>1.23</v>
      </c>
      <c r="D22" s="82">
        <v>1.57</v>
      </c>
      <c r="E22" s="82">
        <v>0.85</v>
      </c>
      <c r="F22" s="82">
        <v>1.793</v>
      </c>
      <c r="G22" s="82">
        <v>0.228</v>
      </c>
      <c r="H22" s="82">
        <v>0.517</v>
      </c>
      <c r="I22" s="82">
        <v>0.421</v>
      </c>
      <c r="J22" s="82">
        <f t="shared" si="2"/>
        <v>6.609</v>
      </c>
      <c r="K22" s="265">
        <f t="shared" si="0"/>
        <v>6.609</v>
      </c>
      <c r="L22" s="261"/>
      <c r="M22" s="261"/>
      <c r="N22" s="261"/>
      <c r="O22" s="261"/>
      <c r="P22" s="261"/>
      <c r="Q22" s="261"/>
      <c r="R22" s="261"/>
      <c r="S22" s="261"/>
      <c r="T22" s="261"/>
      <c r="U22" s="261"/>
      <c r="V22" s="261"/>
      <c r="W22" s="261"/>
      <c r="X22" s="261"/>
      <c r="Y22" s="261"/>
      <c r="Z22" s="261"/>
    </row>
    <row r="23" spans="1:26" ht="12.75">
      <c r="A23" s="261"/>
      <c r="B23" s="233">
        <f t="shared" si="1"/>
        <v>6</v>
      </c>
      <c r="C23" s="82">
        <v>1.3</v>
      </c>
      <c r="D23" s="82">
        <v>1.667</v>
      </c>
      <c r="E23" s="82">
        <v>1.01</v>
      </c>
      <c r="F23" s="82">
        <v>2.079</v>
      </c>
      <c r="G23" s="82">
        <v>0.255</v>
      </c>
      <c r="H23" s="82">
        <v>0.596</v>
      </c>
      <c r="I23" s="82">
        <v>0.459</v>
      </c>
      <c r="J23" s="82">
        <f t="shared" si="2"/>
        <v>7.3660000000000005</v>
      </c>
      <c r="K23" s="265">
        <f t="shared" si="0"/>
        <v>7.3660000000000005</v>
      </c>
      <c r="L23" s="261"/>
      <c r="M23" s="261"/>
      <c r="N23" s="261"/>
      <c r="O23" s="261"/>
      <c r="P23" s="261"/>
      <c r="Q23" s="261"/>
      <c r="R23" s="261"/>
      <c r="S23" s="261"/>
      <c r="T23" s="261"/>
      <c r="U23" s="261"/>
      <c r="V23" s="261"/>
      <c r="W23" s="261"/>
      <c r="X23" s="261"/>
      <c r="Y23" s="261"/>
      <c r="Z23" s="261"/>
    </row>
    <row r="24" spans="1:26" ht="12.75">
      <c r="A24" s="261"/>
      <c r="B24" s="233">
        <f t="shared" si="1"/>
        <v>7</v>
      </c>
      <c r="C24" s="82">
        <v>1.36</v>
      </c>
      <c r="D24" s="82">
        <v>1.876</v>
      </c>
      <c r="E24" s="82">
        <v>1.065</v>
      </c>
      <c r="F24" s="82">
        <v>2.202</v>
      </c>
      <c r="G24" s="82">
        <v>0.316</v>
      </c>
      <c r="H24" s="82">
        <v>0.715</v>
      </c>
      <c r="I24" s="82">
        <v>0.568</v>
      </c>
      <c r="J24" s="82">
        <f t="shared" si="2"/>
        <v>8.102</v>
      </c>
      <c r="K24" s="265">
        <f t="shared" si="0"/>
        <v>8.102</v>
      </c>
      <c r="L24" s="261"/>
      <c r="M24" s="261"/>
      <c r="N24" s="261"/>
      <c r="O24" s="261"/>
      <c r="P24" s="261"/>
      <c r="Q24" s="261"/>
      <c r="R24" s="261"/>
      <c r="S24" s="261"/>
      <c r="T24" s="261"/>
      <c r="U24" s="261"/>
      <c r="V24" s="261"/>
      <c r="W24" s="261"/>
      <c r="X24" s="261"/>
      <c r="Y24" s="261"/>
      <c r="Z24" s="261"/>
    </row>
    <row r="25" spans="1:26" ht="12.75">
      <c r="A25" s="261"/>
      <c r="B25" s="233">
        <f t="shared" si="1"/>
        <v>8</v>
      </c>
      <c r="C25" s="82">
        <v>1.27</v>
      </c>
      <c r="D25" s="82">
        <v>1.701</v>
      </c>
      <c r="E25" s="82">
        <v>1.05</v>
      </c>
      <c r="F25" s="82">
        <v>2.439</v>
      </c>
      <c r="G25" s="82">
        <v>0.336</v>
      </c>
      <c r="H25" s="82">
        <v>0.857</v>
      </c>
      <c r="I25" s="82">
        <v>0.604</v>
      </c>
      <c r="J25" s="82">
        <f t="shared" si="2"/>
        <v>8.257</v>
      </c>
      <c r="K25" s="265">
        <f t="shared" si="0"/>
        <v>8.257</v>
      </c>
      <c r="L25" s="261"/>
      <c r="M25" s="261"/>
      <c r="N25" s="261"/>
      <c r="O25" s="261"/>
      <c r="P25" s="261"/>
      <c r="Q25" s="261"/>
      <c r="R25" s="261"/>
      <c r="S25" s="261"/>
      <c r="T25" s="261"/>
      <c r="U25" s="261"/>
      <c r="V25" s="261"/>
      <c r="W25" s="261"/>
      <c r="X25" s="261"/>
      <c r="Y25" s="261"/>
      <c r="Z25" s="261"/>
    </row>
    <row r="26" spans="1:26" ht="12.75">
      <c r="A26" s="261"/>
      <c r="B26" s="233">
        <f t="shared" si="1"/>
        <v>9</v>
      </c>
      <c r="C26" s="82">
        <v>1.58</v>
      </c>
      <c r="D26" s="82">
        <v>1.836</v>
      </c>
      <c r="E26" s="82">
        <v>1.225</v>
      </c>
      <c r="F26" s="82">
        <v>2.279</v>
      </c>
      <c r="G26" s="82">
        <v>0.317</v>
      </c>
      <c r="H26" s="82">
        <v>0.692</v>
      </c>
      <c r="I26" s="82">
        <v>0.569</v>
      </c>
      <c r="J26" s="82">
        <f t="shared" si="2"/>
        <v>8.498000000000001</v>
      </c>
      <c r="K26" s="265">
        <f t="shared" si="0"/>
        <v>8.498000000000001</v>
      </c>
      <c r="L26" s="261"/>
      <c r="M26" s="261"/>
      <c r="N26" s="261"/>
      <c r="O26" s="261"/>
      <c r="P26" s="261"/>
      <c r="Q26" s="261"/>
      <c r="R26" s="261"/>
      <c r="S26" s="261"/>
      <c r="T26" s="261"/>
      <c r="U26" s="261"/>
      <c r="V26" s="261"/>
      <c r="W26" s="261"/>
      <c r="X26" s="261"/>
      <c r="Y26" s="261"/>
      <c r="Z26" s="261"/>
    </row>
    <row r="27" spans="1:26" ht="12.75">
      <c r="A27" s="261"/>
      <c r="B27" s="233">
        <f t="shared" si="1"/>
        <v>10</v>
      </c>
      <c r="C27" s="82">
        <v>1.38</v>
      </c>
      <c r="D27" s="82">
        <v>2.098</v>
      </c>
      <c r="E27" s="82">
        <v>1.124</v>
      </c>
      <c r="F27" s="82">
        <v>2.46</v>
      </c>
      <c r="G27" s="82">
        <v>0.376</v>
      </c>
      <c r="H27" s="82">
        <v>0.954</v>
      </c>
      <c r="I27" s="82">
        <v>0.675</v>
      </c>
      <c r="J27" s="82">
        <f t="shared" si="2"/>
        <v>9.067000000000002</v>
      </c>
      <c r="K27" s="265">
        <f t="shared" si="0"/>
        <v>9.067000000000002</v>
      </c>
      <c r="L27" s="261"/>
      <c r="M27" s="261"/>
      <c r="N27" s="261"/>
      <c r="O27" s="261"/>
      <c r="P27" s="261"/>
      <c r="Q27" s="261"/>
      <c r="R27" s="261"/>
      <c r="S27" s="261"/>
      <c r="T27" s="261"/>
      <c r="U27" s="261"/>
      <c r="V27" s="261"/>
      <c r="W27" s="261"/>
      <c r="X27" s="261"/>
      <c r="Y27" s="261"/>
      <c r="Z27" s="261"/>
    </row>
    <row r="28" spans="1:26" ht="12.75">
      <c r="A28" s="261"/>
      <c r="B28" s="233">
        <f t="shared" si="1"/>
        <v>11</v>
      </c>
      <c r="C28" s="82">
        <v>1.64</v>
      </c>
      <c r="D28" s="82">
        <v>2.33</v>
      </c>
      <c r="E28" s="82">
        <v>1.308</v>
      </c>
      <c r="F28" s="82">
        <v>2.754</v>
      </c>
      <c r="G28" s="82">
        <v>0.419</v>
      </c>
      <c r="H28" s="82">
        <v>1.006</v>
      </c>
      <c r="I28" s="82">
        <v>0.755</v>
      </c>
      <c r="J28" s="82">
        <f t="shared" si="2"/>
        <v>10.212000000000002</v>
      </c>
      <c r="K28" s="265">
        <f t="shared" si="0"/>
        <v>10.212000000000002</v>
      </c>
      <c r="L28" s="261"/>
      <c r="M28" s="261"/>
      <c r="N28" s="261"/>
      <c r="O28" s="261"/>
      <c r="P28" s="261"/>
      <c r="Q28" s="261"/>
      <c r="R28" s="261"/>
      <c r="S28" s="261"/>
      <c r="T28" s="261"/>
      <c r="U28" s="261"/>
      <c r="V28" s="261"/>
      <c r="W28" s="261"/>
      <c r="X28" s="261"/>
      <c r="Y28" s="261"/>
      <c r="Z28" s="261"/>
    </row>
    <row r="29" spans="1:26" ht="12.75">
      <c r="A29" s="261"/>
      <c r="B29" s="233">
        <f t="shared" si="1"/>
        <v>12</v>
      </c>
      <c r="C29" s="82">
        <v>1.71</v>
      </c>
      <c r="D29" s="82">
        <v>2.166</v>
      </c>
      <c r="E29" s="82">
        <v>1.362</v>
      </c>
      <c r="F29" s="82">
        <v>3.02</v>
      </c>
      <c r="G29" s="82">
        <v>0.364</v>
      </c>
      <c r="H29" s="82">
        <v>1.06</v>
      </c>
      <c r="I29" s="82">
        <v>0.655</v>
      </c>
      <c r="J29" s="82">
        <f t="shared" si="2"/>
        <v>10.337</v>
      </c>
      <c r="K29" s="265">
        <f t="shared" si="0"/>
        <v>10.337</v>
      </c>
      <c r="L29" s="261"/>
      <c r="M29" s="261"/>
      <c r="N29" s="261"/>
      <c r="O29" s="261"/>
      <c r="P29" s="261"/>
      <c r="Q29" s="261"/>
      <c r="R29" s="261"/>
      <c r="S29" s="261"/>
      <c r="T29" s="261"/>
      <c r="U29" s="261"/>
      <c r="V29" s="261"/>
      <c r="W29" s="261"/>
      <c r="X29" s="261"/>
      <c r="Y29" s="261"/>
      <c r="Z29" s="261"/>
    </row>
    <row r="30" spans="1:26" ht="12.75">
      <c r="A30" s="261"/>
      <c r="B30" s="233">
        <f t="shared" si="1"/>
        <v>13</v>
      </c>
      <c r="C30" s="82">
        <v>1.78</v>
      </c>
      <c r="D30" s="82">
        <v>2.484</v>
      </c>
      <c r="E30" s="82">
        <v>1.458</v>
      </c>
      <c r="F30" s="82">
        <v>2.881</v>
      </c>
      <c r="G30" s="82">
        <v>0.437</v>
      </c>
      <c r="H30" s="82">
        <v>1.158</v>
      </c>
      <c r="I30" s="82">
        <v>0.784</v>
      </c>
      <c r="J30" s="82">
        <f t="shared" si="2"/>
        <v>10.982</v>
      </c>
      <c r="K30" s="265">
        <f t="shared" si="0"/>
        <v>10.982</v>
      </c>
      <c r="L30" s="261"/>
      <c r="M30" s="261"/>
      <c r="N30" s="261"/>
      <c r="O30" s="261"/>
      <c r="P30" s="261"/>
      <c r="Q30" s="261"/>
      <c r="R30" s="261"/>
      <c r="S30" s="261"/>
      <c r="T30" s="261"/>
      <c r="U30" s="261"/>
      <c r="V30" s="261"/>
      <c r="W30" s="261"/>
      <c r="X30" s="261"/>
      <c r="Y30" s="261"/>
      <c r="Z30" s="261"/>
    </row>
    <row r="31" spans="1:26" ht="12.75">
      <c r="A31" s="261"/>
      <c r="B31" s="233">
        <f t="shared" si="1"/>
        <v>14</v>
      </c>
      <c r="C31" s="82">
        <v>1.78</v>
      </c>
      <c r="D31" s="82">
        <v>2.623</v>
      </c>
      <c r="E31" s="82">
        <v>1.271</v>
      </c>
      <c r="F31" s="82">
        <v>3.247</v>
      </c>
      <c r="G31" s="82">
        <v>0.456</v>
      </c>
      <c r="H31" s="82">
        <v>1.035</v>
      </c>
      <c r="I31" s="82">
        <v>0.819</v>
      </c>
      <c r="J31" s="82">
        <f t="shared" si="2"/>
        <v>11.230999999999998</v>
      </c>
      <c r="K31" s="265">
        <f t="shared" si="0"/>
        <v>11.230999999999998</v>
      </c>
      <c r="L31" s="261"/>
      <c r="M31" s="261"/>
      <c r="N31" s="261"/>
      <c r="O31" s="261"/>
      <c r="P31" s="261"/>
      <c r="Q31" s="261"/>
      <c r="R31" s="261"/>
      <c r="S31" s="261"/>
      <c r="T31" s="261"/>
      <c r="U31" s="261"/>
      <c r="V31" s="261"/>
      <c r="W31" s="261"/>
      <c r="X31" s="261"/>
      <c r="Y31" s="261"/>
      <c r="Z31" s="261"/>
    </row>
    <row r="32" spans="1:26" ht="12.75">
      <c r="A32" s="261"/>
      <c r="B32" s="233">
        <f t="shared" si="1"/>
        <v>15</v>
      </c>
      <c r="C32" s="82">
        <v>1.72</v>
      </c>
      <c r="D32" s="82">
        <v>2.731</v>
      </c>
      <c r="E32" s="82">
        <v>1.525</v>
      </c>
      <c r="F32" s="82">
        <v>3.429</v>
      </c>
      <c r="G32" s="82">
        <v>0.437</v>
      </c>
      <c r="H32" s="82">
        <v>0.981</v>
      </c>
      <c r="I32" s="82">
        <v>0.784</v>
      </c>
      <c r="J32" s="82">
        <f t="shared" si="2"/>
        <v>11.607</v>
      </c>
      <c r="K32" s="265">
        <f t="shared" si="0"/>
        <v>11.607</v>
      </c>
      <c r="L32" s="261"/>
      <c r="M32" s="261"/>
      <c r="N32" s="261"/>
      <c r="O32" s="261"/>
      <c r="P32" s="261"/>
      <c r="Q32" s="261"/>
      <c r="R32" s="261"/>
      <c r="S32" s="261"/>
      <c r="T32" s="261"/>
      <c r="U32" s="261"/>
      <c r="V32" s="261"/>
      <c r="W32" s="261"/>
      <c r="X32" s="261"/>
      <c r="Y32" s="261"/>
      <c r="Z32" s="261"/>
    </row>
    <row r="33" spans="1:26" ht="12.75">
      <c r="A33" s="261"/>
      <c r="B33" s="233">
        <f t="shared" si="1"/>
        <v>16</v>
      </c>
      <c r="C33" s="82">
        <v>2.01</v>
      </c>
      <c r="D33" s="82">
        <v>2.723</v>
      </c>
      <c r="E33" s="82">
        <v>1.583</v>
      </c>
      <c r="F33" s="82">
        <v>3.595</v>
      </c>
      <c r="G33" s="82">
        <v>0.495</v>
      </c>
      <c r="H33" s="82">
        <v>1.242</v>
      </c>
      <c r="I33" s="82">
        <v>0.93</v>
      </c>
      <c r="J33" s="82">
        <f t="shared" si="2"/>
        <v>12.578</v>
      </c>
      <c r="K33" s="265">
        <f t="shared" si="0"/>
        <v>12.578</v>
      </c>
      <c r="L33" s="261"/>
      <c r="M33" s="261"/>
      <c r="N33" s="261"/>
      <c r="O33" s="261"/>
      <c r="P33" s="261"/>
      <c r="Q33" s="261"/>
      <c r="R33" s="261"/>
      <c r="S33" s="261"/>
      <c r="T33" s="261"/>
      <c r="U33" s="261"/>
      <c r="V33" s="261"/>
      <c r="W33" s="261"/>
      <c r="X33" s="261"/>
      <c r="Y33" s="261"/>
      <c r="Z33" s="261"/>
    </row>
    <row r="34" spans="1:26" ht="12.75">
      <c r="A34" s="261"/>
      <c r="B34" s="233">
        <f t="shared" si="1"/>
        <v>17</v>
      </c>
      <c r="C34" s="82">
        <v>2.09</v>
      </c>
      <c r="D34" s="82">
        <v>3.075</v>
      </c>
      <c r="E34" s="82">
        <v>1.687</v>
      </c>
      <c r="F34" s="82">
        <v>3.618</v>
      </c>
      <c r="G34" s="82">
        <v>0.537</v>
      </c>
      <c r="H34" s="82">
        <v>1.29</v>
      </c>
      <c r="I34" s="82">
        <v>0.815</v>
      </c>
      <c r="J34" s="82">
        <f t="shared" si="2"/>
        <v>13.112</v>
      </c>
      <c r="K34" s="265">
        <f t="shared" si="0"/>
        <v>13.112</v>
      </c>
      <c r="L34" s="261"/>
      <c r="M34" s="261"/>
      <c r="N34" s="261"/>
      <c r="O34" s="261"/>
      <c r="P34" s="261"/>
      <c r="Q34" s="261"/>
      <c r="R34" s="261"/>
      <c r="S34" s="261"/>
      <c r="T34" s="261"/>
      <c r="U34" s="261"/>
      <c r="V34" s="261"/>
      <c r="W34" s="261"/>
      <c r="X34" s="261"/>
      <c r="Y34" s="261"/>
      <c r="Z34" s="261"/>
    </row>
    <row r="35" spans="1:26" ht="12.75">
      <c r="A35" s="261"/>
      <c r="B35" s="233">
        <f t="shared" si="1"/>
        <v>18</v>
      </c>
      <c r="C35" s="82">
        <v>2.18</v>
      </c>
      <c r="D35" s="82">
        <v>3.241</v>
      </c>
      <c r="E35" s="82">
        <v>1.575</v>
      </c>
      <c r="F35" s="82">
        <v>4.028</v>
      </c>
      <c r="G35" s="82">
        <v>0.473</v>
      </c>
      <c r="H35" s="82">
        <v>1.34</v>
      </c>
      <c r="I35" s="82">
        <v>0.96</v>
      </c>
      <c r="J35" s="82">
        <f t="shared" si="2"/>
        <v>13.797</v>
      </c>
      <c r="K35" s="265">
        <f t="shared" si="0"/>
        <v>13.797</v>
      </c>
      <c r="L35" s="261"/>
      <c r="M35" s="261"/>
      <c r="N35" s="261"/>
      <c r="O35" s="261"/>
      <c r="P35" s="261"/>
      <c r="Q35" s="261"/>
      <c r="R35" s="261"/>
      <c r="S35" s="261"/>
      <c r="T35" s="261"/>
      <c r="U35" s="261"/>
      <c r="V35" s="261"/>
      <c r="W35" s="261"/>
      <c r="X35" s="261"/>
      <c r="Y35" s="261"/>
      <c r="Z35" s="261"/>
    </row>
    <row r="36" spans="1:26" ht="12.75">
      <c r="A36" s="261"/>
      <c r="B36" s="233">
        <f t="shared" si="1"/>
        <v>19</v>
      </c>
      <c r="C36" s="82">
        <v>2.35</v>
      </c>
      <c r="D36" s="82">
        <v>3.534</v>
      </c>
      <c r="E36" s="82">
        <v>1.769</v>
      </c>
      <c r="F36" s="82">
        <v>4.241</v>
      </c>
      <c r="G36" s="82">
        <v>0.557</v>
      </c>
      <c r="H36" s="82">
        <v>1.392</v>
      </c>
      <c r="I36" s="82">
        <v>1</v>
      </c>
      <c r="J36" s="82">
        <f t="shared" si="2"/>
        <v>14.843</v>
      </c>
      <c r="K36" s="265">
        <f t="shared" si="0"/>
        <v>14.843</v>
      </c>
      <c r="L36" s="261"/>
      <c r="M36" s="261"/>
      <c r="N36" s="261"/>
      <c r="O36" s="261"/>
      <c r="P36" s="261"/>
      <c r="Q36" s="261"/>
      <c r="R36" s="261"/>
      <c r="S36" s="261"/>
      <c r="T36" s="261"/>
      <c r="U36" s="261"/>
      <c r="V36" s="261"/>
      <c r="W36" s="261"/>
      <c r="X36" s="261"/>
      <c r="Y36" s="261"/>
      <c r="Z36" s="261"/>
    </row>
    <row r="37" spans="1:26" ht="12.75">
      <c r="A37" s="261"/>
      <c r="B37" s="233">
        <f t="shared" si="1"/>
        <v>20</v>
      </c>
      <c r="C37" s="82">
        <v>1.96</v>
      </c>
      <c r="D37" s="82">
        <v>3.392</v>
      </c>
      <c r="E37" s="82">
        <v>1.762</v>
      </c>
      <c r="F37" s="82">
        <v>4.587</v>
      </c>
      <c r="G37" s="82">
        <v>0.58</v>
      </c>
      <c r="H37" s="82">
        <v>1.499</v>
      </c>
      <c r="I37" s="82">
        <v>1.04</v>
      </c>
      <c r="J37" s="82">
        <f t="shared" si="2"/>
        <v>14.82</v>
      </c>
      <c r="K37" s="265">
        <f t="shared" si="0"/>
        <v>14.82</v>
      </c>
      <c r="L37" s="261"/>
      <c r="M37" s="261"/>
      <c r="N37" s="261"/>
      <c r="O37" s="261"/>
      <c r="P37" s="261"/>
      <c r="Q37" s="261"/>
      <c r="R37" s="261"/>
      <c r="S37" s="261"/>
      <c r="T37" s="261"/>
      <c r="U37" s="261"/>
      <c r="V37" s="261"/>
      <c r="W37" s="261"/>
      <c r="X37" s="261"/>
      <c r="Y37" s="261"/>
      <c r="Z37" s="261"/>
    </row>
    <row r="38" spans="1:26" ht="12.75">
      <c r="A38" s="261"/>
      <c r="B38" s="233">
        <f t="shared" si="1"/>
        <v>21</v>
      </c>
      <c r="C38" s="82">
        <v>2.85</v>
      </c>
      <c r="D38" s="82">
        <v>4.182</v>
      </c>
      <c r="E38" s="82">
        <v>2.371</v>
      </c>
      <c r="F38" s="82">
        <v>4.492</v>
      </c>
      <c r="G38" s="82">
        <v>0.565</v>
      </c>
      <c r="H38" s="82">
        <v>1.162</v>
      </c>
      <c r="I38" s="82">
        <v>1.054</v>
      </c>
      <c r="J38" s="82">
        <f t="shared" si="2"/>
        <v>16.676</v>
      </c>
      <c r="K38" s="265">
        <f t="shared" si="0"/>
        <v>16.676</v>
      </c>
      <c r="L38" s="261"/>
      <c r="M38" s="261"/>
      <c r="N38" s="261"/>
      <c r="O38" s="261"/>
      <c r="P38" s="261"/>
      <c r="Q38" s="261"/>
      <c r="R38" s="261"/>
      <c r="S38" s="261"/>
      <c r="T38" s="261"/>
      <c r="U38" s="261"/>
      <c r="V38" s="261"/>
      <c r="W38" s="261"/>
      <c r="X38" s="261"/>
      <c r="Y38" s="261"/>
      <c r="Z38" s="261"/>
    </row>
    <row r="39" spans="1:26" ht="12.75">
      <c r="A39" s="261"/>
      <c r="B39" s="233">
        <f t="shared" si="1"/>
        <v>22</v>
      </c>
      <c r="C39" s="82">
        <v>0</v>
      </c>
      <c r="D39" s="82">
        <v>0</v>
      </c>
      <c r="E39" s="82">
        <v>0</v>
      </c>
      <c r="F39" s="82">
        <v>5.783</v>
      </c>
      <c r="G39" s="82">
        <v>0.793</v>
      </c>
      <c r="H39" s="82">
        <v>1.915</v>
      </c>
      <c r="I39" s="82">
        <v>1.371</v>
      </c>
      <c r="J39" s="82">
        <f t="shared" si="2"/>
        <v>9.862</v>
      </c>
      <c r="K39" s="265">
        <f t="shared" si="0"/>
        <v>9.862</v>
      </c>
      <c r="L39" s="261"/>
      <c r="M39" s="261"/>
      <c r="N39" s="261"/>
      <c r="O39" s="261"/>
      <c r="P39" s="261"/>
      <c r="Q39" s="261"/>
      <c r="R39" s="261"/>
      <c r="S39" s="261"/>
      <c r="T39" s="261"/>
      <c r="U39" s="261"/>
      <c r="V39" s="261"/>
      <c r="W39" s="261"/>
      <c r="X39" s="261"/>
      <c r="Y39" s="261"/>
      <c r="Z39" s="261"/>
    </row>
    <row r="40" spans="1:26" ht="13.5" thickBot="1">
      <c r="A40" s="261"/>
      <c r="B40" s="234">
        <f t="shared" si="1"/>
        <v>23</v>
      </c>
      <c r="C40" s="152"/>
      <c r="D40" s="152"/>
      <c r="E40" s="152"/>
      <c r="F40" s="152"/>
      <c r="G40" s="152"/>
      <c r="H40" s="152"/>
      <c r="I40" s="152"/>
      <c r="J40" s="152">
        <f t="shared" si="2"/>
        <v>0</v>
      </c>
      <c r="K40" s="266">
        <f t="shared" si="0"/>
        <v>0</v>
      </c>
      <c r="L40" s="261"/>
      <c r="M40" s="261"/>
      <c r="N40" s="261"/>
      <c r="O40" s="261"/>
      <c r="P40" s="261"/>
      <c r="Q40" s="261"/>
      <c r="R40" s="261"/>
      <c r="S40" s="261"/>
      <c r="T40" s="261"/>
      <c r="U40" s="261"/>
      <c r="V40" s="261"/>
      <c r="W40" s="261"/>
      <c r="X40" s="261"/>
      <c r="Y40" s="261"/>
      <c r="Z40" s="261"/>
    </row>
    <row r="41" spans="1:26" ht="13.5" thickBo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1:26" ht="12.75">
      <c r="A42" s="261"/>
      <c r="B42" s="341" t="s">
        <v>145</v>
      </c>
      <c r="C42" s="325"/>
      <c r="D42" s="325"/>
      <c r="E42" s="325"/>
      <c r="F42" s="325"/>
      <c r="G42" s="325"/>
      <c r="H42" s="325"/>
      <c r="I42" s="325"/>
      <c r="J42" s="325"/>
      <c r="K42" s="327"/>
      <c r="L42" s="261"/>
      <c r="M42" s="261"/>
      <c r="N42" s="261"/>
      <c r="O42" s="261"/>
      <c r="P42" s="261"/>
      <c r="Q42" s="261"/>
      <c r="R42" s="261"/>
      <c r="S42" s="261"/>
      <c r="T42" s="261"/>
      <c r="U42" s="261"/>
      <c r="V42" s="261"/>
      <c r="W42" s="261"/>
      <c r="X42" s="261"/>
      <c r="Y42" s="261"/>
      <c r="Z42" s="261"/>
    </row>
    <row r="43" spans="1:26" ht="12.75">
      <c r="A43" s="261"/>
      <c r="B43" s="146"/>
      <c r="C43" s="82"/>
      <c r="D43" s="82"/>
      <c r="E43" s="82"/>
      <c r="F43" s="82"/>
      <c r="G43" s="82"/>
      <c r="H43" s="82"/>
      <c r="I43" s="82"/>
      <c r="J43" s="82"/>
      <c r="K43" s="164"/>
      <c r="L43" s="261"/>
      <c r="M43" s="261"/>
      <c r="N43" s="261"/>
      <c r="O43" s="261"/>
      <c r="P43" s="261"/>
      <c r="Q43" s="261"/>
      <c r="R43" s="261"/>
      <c r="S43" s="261"/>
      <c r="T43" s="261"/>
      <c r="U43" s="261"/>
      <c r="V43" s="261"/>
      <c r="W43" s="261"/>
      <c r="X43" s="261"/>
      <c r="Y43" s="261"/>
      <c r="Z43" s="261"/>
    </row>
    <row r="44" spans="1:26" ht="12.75">
      <c r="A44" s="261"/>
      <c r="B44" s="214" t="s">
        <v>144</v>
      </c>
      <c r="C44" s="213">
        <v>1</v>
      </c>
      <c r="D44" s="212">
        <v>2</v>
      </c>
      <c r="E44" s="212">
        <v>3</v>
      </c>
      <c r="F44" s="212">
        <v>4</v>
      </c>
      <c r="G44" s="212">
        <v>5</v>
      </c>
      <c r="H44" s="212">
        <v>6</v>
      </c>
      <c r="I44" s="212">
        <v>7</v>
      </c>
      <c r="J44" s="343" t="s">
        <v>63</v>
      </c>
      <c r="K44" s="164"/>
      <c r="L44" s="261"/>
      <c r="M44" s="261"/>
      <c r="N44" s="261"/>
      <c r="O44" s="261"/>
      <c r="P44" s="261"/>
      <c r="Q44" s="261"/>
      <c r="R44" s="261"/>
      <c r="S44" s="261"/>
      <c r="T44" s="261"/>
      <c r="U44" s="261"/>
      <c r="V44" s="261"/>
      <c r="W44" s="261"/>
      <c r="X44" s="261"/>
      <c r="Y44" s="261"/>
      <c r="Z44" s="261"/>
    </row>
    <row r="45" spans="1:26" ht="12.75">
      <c r="A45" s="261"/>
      <c r="B45" s="214" t="s">
        <v>143</v>
      </c>
      <c r="C45" s="235">
        <f>G5</f>
        <v>18.2</v>
      </c>
      <c r="D45" s="235">
        <f>G6</f>
        <v>20.3</v>
      </c>
      <c r="E45" s="235">
        <f>G7</f>
        <v>9.44</v>
      </c>
      <c r="F45" s="235">
        <f>G8</f>
        <v>20.3</v>
      </c>
      <c r="G45" s="235">
        <f>G9</f>
        <v>5</v>
      </c>
      <c r="H45" s="235">
        <f>G10</f>
        <v>8.6</v>
      </c>
      <c r="I45" s="235">
        <f>G11</f>
        <v>9</v>
      </c>
      <c r="J45" s="344">
        <f>SUM(C45:I45)</f>
        <v>90.83999999999999</v>
      </c>
      <c r="K45" s="164"/>
      <c r="L45" s="261"/>
      <c r="M45" s="261"/>
      <c r="N45" s="261"/>
      <c r="O45" s="261"/>
      <c r="P45" s="261"/>
      <c r="Q45" s="261"/>
      <c r="R45" s="261"/>
      <c r="S45" s="261"/>
      <c r="T45" s="261"/>
      <c r="U45" s="261"/>
      <c r="V45" s="261"/>
      <c r="W45" s="261"/>
      <c r="X45" s="261"/>
      <c r="Y45" s="261"/>
      <c r="Z45" s="261"/>
    </row>
    <row r="46" spans="1:26" ht="12.75">
      <c r="A46" s="261"/>
      <c r="B46" s="215" t="s">
        <v>57</v>
      </c>
      <c r="C46" s="82"/>
      <c r="D46" s="82"/>
      <c r="E46" s="82"/>
      <c r="F46" s="82"/>
      <c r="G46" s="82"/>
      <c r="H46" s="82"/>
      <c r="I46" s="82"/>
      <c r="J46" s="345"/>
      <c r="K46" s="164"/>
      <c r="L46" s="261"/>
      <c r="M46" s="261"/>
      <c r="N46" s="261"/>
      <c r="O46" s="261"/>
      <c r="P46" s="261"/>
      <c r="Q46" s="261"/>
      <c r="R46" s="261"/>
      <c r="S46" s="261"/>
      <c r="T46" s="261"/>
      <c r="U46" s="261"/>
      <c r="V46" s="261"/>
      <c r="W46" s="261"/>
      <c r="X46" s="261"/>
      <c r="Y46" s="261"/>
      <c r="Z46" s="261"/>
    </row>
    <row r="47" spans="1:26" ht="12.75">
      <c r="A47" s="261"/>
      <c r="B47" s="214">
        <v>1</v>
      </c>
      <c r="C47" s="236"/>
      <c r="D47" s="236"/>
      <c r="E47" s="236"/>
      <c r="F47" s="236"/>
      <c r="G47" s="236"/>
      <c r="H47" s="236"/>
      <c r="I47" s="236"/>
      <c r="J47" s="346">
        <f>SUM(C47:I47)</f>
        <v>0</v>
      </c>
      <c r="K47" s="164"/>
      <c r="L47" s="261"/>
      <c r="M47" s="261"/>
      <c r="N47" s="261"/>
      <c r="O47" s="261"/>
      <c r="P47" s="261"/>
      <c r="Q47" s="261"/>
      <c r="R47" s="261"/>
      <c r="S47" s="261"/>
      <c r="T47" s="261"/>
      <c r="U47" s="261"/>
      <c r="V47" s="261"/>
      <c r="W47" s="261"/>
      <c r="X47" s="261"/>
      <c r="Y47" s="261"/>
      <c r="Z47" s="261"/>
    </row>
    <row r="48" spans="1:26" ht="12.75">
      <c r="A48" s="261"/>
      <c r="B48" s="214">
        <v>2</v>
      </c>
      <c r="C48" s="236">
        <f>C19*C45/C19</f>
        <v>18.2</v>
      </c>
      <c r="D48" s="236">
        <f>D19*$D$45/($D$19+$D$20)</f>
        <v>10.573402219670877</v>
      </c>
      <c r="E48" s="236">
        <f>E19*E45/E19</f>
        <v>9.44</v>
      </c>
      <c r="F48" s="236"/>
      <c r="G48" s="236"/>
      <c r="H48" s="236"/>
      <c r="I48" s="236"/>
      <c r="J48" s="346">
        <f>SUM(C48:I48)</f>
        <v>38.213402219670876</v>
      </c>
      <c r="K48" s="164"/>
      <c r="L48" s="261"/>
      <c r="M48" s="261"/>
      <c r="N48" s="261"/>
      <c r="O48" s="261"/>
      <c r="P48" s="261"/>
      <c r="Q48" s="261"/>
      <c r="R48" s="261"/>
      <c r="S48" s="261"/>
      <c r="T48" s="261"/>
      <c r="U48" s="261"/>
      <c r="V48" s="261"/>
      <c r="W48" s="261"/>
      <c r="X48" s="261"/>
      <c r="Y48" s="261"/>
      <c r="Z48" s="261"/>
    </row>
    <row r="49" spans="1:26" ht="12.75">
      <c r="A49" s="261"/>
      <c r="B49" s="214">
        <v>3</v>
      </c>
      <c r="C49" s="236"/>
      <c r="D49" s="236">
        <f>D20*$D$45/($D$19+$D$20)</f>
        <v>9.726597780329124</v>
      </c>
      <c r="E49" s="236"/>
      <c r="F49" s="236">
        <f>F20/($F$20+$F$21)*$F$45</f>
        <v>10.379390420899854</v>
      </c>
      <c r="G49" s="236">
        <f>G20/G20*G45</f>
        <v>5</v>
      </c>
      <c r="H49" s="236">
        <f>H20/H20*H45</f>
        <v>8.6</v>
      </c>
      <c r="I49" s="236">
        <f>I20/I20*I45</f>
        <v>9</v>
      </c>
      <c r="J49" s="346">
        <f>SUM(C49:I49)</f>
        <v>42.705988201228976</v>
      </c>
      <c r="K49" s="164"/>
      <c r="L49" s="261"/>
      <c r="M49" s="261"/>
      <c r="N49" s="261"/>
      <c r="O49" s="261"/>
      <c r="P49" s="261"/>
      <c r="Q49" s="261"/>
      <c r="R49" s="261"/>
      <c r="S49" s="261"/>
      <c r="T49" s="261"/>
      <c r="U49" s="261"/>
      <c r="V49" s="261"/>
      <c r="W49" s="261"/>
      <c r="X49" s="261"/>
      <c r="Y49" s="261"/>
      <c r="Z49" s="261"/>
    </row>
    <row r="50" spans="1:26" ht="12.75">
      <c r="A50" s="261"/>
      <c r="B50" s="214">
        <v>4</v>
      </c>
      <c r="C50" s="236"/>
      <c r="D50" s="236"/>
      <c r="E50" s="236"/>
      <c r="F50" s="236">
        <f>F21/($F$20+$F$21)*$F$45</f>
        <v>9.920609579100145</v>
      </c>
      <c r="G50" s="236"/>
      <c r="H50" s="236"/>
      <c r="I50" s="236"/>
      <c r="J50" s="346">
        <f>SUM(C50:I50)</f>
        <v>9.920609579100145</v>
      </c>
      <c r="K50" s="164"/>
      <c r="L50" s="261"/>
      <c r="M50" s="261"/>
      <c r="N50" s="261"/>
      <c r="O50" s="261"/>
      <c r="P50" s="261"/>
      <c r="Q50" s="261"/>
      <c r="R50" s="261"/>
      <c r="S50" s="261"/>
      <c r="T50" s="261"/>
      <c r="U50" s="261"/>
      <c r="V50" s="261"/>
      <c r="W50" s="261"/>
      <c r="X50" s="261"/>
      <c r="Y50" s="261"/>
      <c r="Z50" s="261"/>
    </row>
    <row r="51" spans="1:26" ht="12.75">
      <c r="A51" s="261"/>
      <c r="B51" s="214">
        <v>5</v>
      </c>
      <c r="C51" s="236"/>
      <c r="D51" s="236"/>
      <c r="E51" s="236"/>
      <c r="F51" s="236"/>
      <c r="G51" s="236"/>
      <c r="H51" s="236"/>
      <c r="I51" s="236"/>
      <c r="J51" s="346">
        <f>SUM(C51:I51)</f>
        <v>0</v>
      </c>
      <c r="K51" s="164"/>
      <c r="L51" s="261"/>
      <c r="M51" s="261"/>
      <c r="N51" s="261"/>
      <c r="O51" s="261"/>
      <c r="P51" s="261"/>
      <c r="Q51" s="261"/>
      <c r="R51" s="261"/>
      <c r="S51" s="261"/>
      <c r="T51" s="261"/>
      <c r="U51" s="261"/>
      <c r="V51" s="261"/>
      <c r="W51" s="261"/>
      <c r="X51" s="261"/>
      <c r="Y51" s="261"/>
      <c r="Z51" s="261"/>
    </row>
    <row r="52" spans="1:26" ht="13.5" thickBot="1">
      <c r="A52" s="261"/>
      <c r="B52" s="151"/>
      <c r="C52" s="237"/>
      <c r="D52" s="237"/>
      <c r="E52" s="237"/>
      <c r="F52" s="237"/>
      <c r="G52" s="237"/>
      <c r="H52" s="237"/>
      <c r="I52" s="237"/>
      <c r="J52" s="152"/>
      <c r="K52" s="160"/>
      <c r="L52" s="261"/>
      <c r="M52" s="261"/>
      <c r="N52" s="261"/>
      <c r="O52" s="261"/>
      <c r="P52" s="261"/>
      <c r="Q52" s="261"/>
      <c r="R52" s="261"/>
      <c r="S52" s="261"/>
      <c r="T52" s="261"/>
      <c r="U52" s="261"/>
      <c r="V52" s="261"/>
      <c r="W52" s="261"/>
      <c r="X52" s="261"/>
      <c r="Y52" s="261"/>
      <c r="Z52" s="261"/>
    </row>
    <row r="53" spans="1:26" ht="12.75">
      <c r="A53" s="261"/>
      <c r="B53" s="177"/>
      <c r="C53" s="195"/>
      <c r="D53" s="195"/>
      <c r="E53" s="195"/>
      <c r="F53" s="195"/>
      <c r="G53" s="195"/>
      <c r="H53" s="195"/>
      <c r="I53" s="195"/>
      <c r="J53" s="261"/>
      <c r="K53" s="177"/>
      <c r="L53" s="261"/>
      <c r="M53" s="261"/>
      <c r="N53" s="261"/>
      <c r="O53" s="261"/>
      <c r="P53" s="261"/>
      <c r="Q53" s="261"/>
      <c r="R53" s="261"/>
      <c r="S53" s="261"/>
      <c r="T53" s="261"/>
      <c r="U53" s="261"/>
      <c r="V53" s="261"/>
      <c r="W53" s="261"/>
      <c r="X53" s="261"/>
      <c r="Y53" s="261"/>
      <c r="Z53" s="261"/>
    </row>
    <row r="54" spans="1:26" ht="13.5" thickBot="1">
      <c r="A54" s="261"/>
      <c r="B54" s="177"/>
      <c r="C54" s="195"/>
      <c r="D54" s="195"/>
      <c r="E54" s="195"/>
      <c r="F54" s="195"/>
      <c r="G54" s="195"/>
      <c r="H54" s="195"/>
      <c r="I54" s="195"/>
      <c r="J54" s="261"/>
      <c r="K54" s="177"/>
      <c r="L54" s="261"/>
      <c r="M54" s="261"/>
      <c r="N54" s="261"/>
      <c r="O54" s="261"/>
      <c r="P54" s="261"/>
      <c r="Q54" s="261"/>
      <c r="R54" s="261"/>
      <c r="S54" s="261"/>
      <c r="T54" s="261"/>
      <c r="U54" s="261"/>
      <c r="V54" s="261"/>
      <c r="W54" s="261"/>
      <c r="X54" s="261"/>
      <c r="Y54" s="261"/>
      <c r="Z54" s="261"/>
    </row>
    <row r="55" spans="1:27" ht="12.75">
      <c r="A55" s="261"/>
      <c r="B55" s="342" t="s">
        <v>146</v>
      </c>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7"/>
      <c r="AA55" s="177"/>
    </row>
    <row r="56" spans="1:27" ht="12.75">
      <c r="A56" s="261"/>
      <c r="B56" s="238"/>
      <c r="C56" s="216"/>
      <c r="D56" s="216" t="s">
        <v>57</v>
      </c>
      <c r="E56" s="217">
        <v>1</v>
      </c>
      <c r="F56" s="216">
        <v>2</v>
      </c>
      <c r="G56" s="216">
        <f>F56+1</f>
        <v>3</v>
      </c>
      <c r="H56" s="216">
        <f aca="true" t="shared" si="3" ref="H56:Z56">G56+1</f>
        <v>4</v>
      </c>
      <c r="I56" s="216">
        <f t="shared" si="3"/>
        <v>5</v>
      </c>
      <c r="J56" s="216">
        <f t="shared" si="3"/>
        <v>6</v>
      </c>
      <c r="K56" s="216">
        <f t="shared" si="3"/>
        <v>7</v>
      </c>
      <c r="L56" s="216">
        <f t="shared" si="3"/>
        <v>8</v>
      </c>
      <c r="M56" s="216">
        <f t="shared" si="3"/>
        <v>9</v>
      </c>
      <c r="N56" s="216">
        <f t="shared" si="3"/>
        <v>10</v>
      </c>
      <c r="O56" s="216">
        <f t="shared" si="3"/>
        <v>11</v>
      </c>
      <c r="P56" s="216">
        <f t="shared" si="3"/>
        <v>12</v>
      </c>
      <c r="Q56" s="216">
        <f t="shared" si="3"/>
        <v>13</v>
      </c>
      <c r="R56" s="216">
        <f t="shared" si="3"/>
        <v>14</v>
      </c>
      <c r="S56" s="216">
        <f t="shared" si="3"/>
        <v>15</v>
      </c>
      <c r="T56" s="216">
        <f t="shared" si="3"/>
        <v>16</v>
      </c>
      <c r="U56" s="216">
        <f t="shared" si="3"/>
        <v>17</v>
      </c>
      <c r="V56" s="216">
        <f t="shared" si="3"/>
        <v>18</v>
      </c>
      <c r="W56" s="216">
        <f t="shared" si="3"/>
        <v>19</v>
      </c>
      <c r="X56" s="216">
        <f t="shared" si="3"/>
        <v>20</v>
      </c>
      <c r="Y56" s="216">
        <f t="shared" si="3"/>
        <v>21</v>
      </c>
      <c r="Z56" s="218">
        <f t="shared" si="3"/>
        <v>22</v>
      </c>
      <c r="AA56" s="177"/>
    </row>
    <row r="57" spans="1:27" ht="25.5">
      <c r="A57" s="261"/>
      <c r="B57" s="210" t="s">
        <v>78</v>
      </c>
      <c r="C57" s="82"/>
      <c r="D57" s="158"/>
      <c r="E57" s="158">
        <v>0</v>
      </c>
      <c r="F57" s="82">
        <v>-2.04</v>
      </c>
      <c r="G57" s="82">
        <v>0.88</v>
      </c>
      <c r="H57" s="82">
        <v>1.01</v>
      </c>
      <c r="I57" s="82">
        <v>1.23</v>
      </c>
      <c r="J57" s="82">
        <v>1.3</v>
      </c>
      <c r="K57" s="82">
        <v>1.36</v>
      </c>
      <c r="L57" s="82">
        <v>1.27</v>
      </c>
      <c r="M57" s="82">
        <v>1.58</v>
      </c>
      <c r="N57" s="82">
        <v>1.38</v>
      </c>
      <c r="O57" s="82">
        <v>1.64</v>
      </c>
      <c r="P57" s="82">
        <v>1.71</v>
      </c>
      <c r="Q57" s="82">
        <v>1.78</v>
      </c>
      <c r="R57" s="82">
        <v>1.78</v>
      </c>
      <c r="S57" s="82">
        <v>1.72</v>
      </c>
      <c r="T57" s="82">
        <v>2.01</v>
      </c>
      <c r="U57" s="82">
        <v>2.09</v>
      </c>
      <c r="V57" s="82">
        <v>2.18</v>
      </c>
      <c r="W57" s="82">
        <v>2.35</v>
      </c>
      <c r="X57" s="82">
        <v>1.96</v>
      </c>
      <c r="Y57" s="82">
        <v>2.85</v>
      </c>
      <c r="Z57" s="164">
        <v>0</v>
      </c>
      <c r="AA57" s="177"/>
    </row>
    <row r="58" spans="1:27" ht="12.75">
      <c r="A58" s="261"/>
      <c r="B58" s="210" t="s">
        <v>80</v>
      </c>
      <c r="C58" s="82"/>
      <c r="D58" s="158"/>
      <c r="E58" s="158">
        <v>0</v>
      </c>
      <c r="F58" s="82">
        <v>-1.361</v>
      </c>
      <c r="G58" s="82">
        <v>-1.252</v>
      </c>
      <c r="H58" s="82">
        <v>1.329</v>
      </c>
      <c r="I58" s="82">
        <v>1.57</v>
      </c>
      <c r="J58" s="82">
        <v>1.667</v>
      </c>
      <c r="K58" s="82">
        <v>1.876</v>
      </c>
      <c r="L58" s="82">
        <v>1.701</v>
      </c>
      <c r="M58" s="82">
        <v>1.836</v>
      </c>
      <c r="N58" s="82">
        <v>2.098</v>
      </c>
      <c r="O58" s="82">
        <v>2.33</v>
      </c>
      <c r="P58" s="82">
        <v>2.166</v>
      </c>
      <c r="Q58" s="82">
        <v>2.484</v>
      </c>
      <c r="R58" s="82">
        <v>2.623</v>
      </c>
      <c r="S58" s="82">
        <v>2.731</v>
      </c>
      <c r="T58" s="82">
        <v>2.723</v>
      </c>
      <c r="U58" s="82">
        <v>3.075</v>
      </c>
      <c r="V58" s="82">
        <v>3.241</v>
      </c>
      <c r="W58" s="82">
        <v>3.534</v>
      </c>
      <c r="X58" s="82">
        <v>3.392</v>
      </c>
      <c r="Y58" s="82">
        <v>4.182</v>
      </c>
      <c r="Z58" s="164">
        <v>0</v>
      </c>
      <c r="AA58" s="177"/>
    </row>
    <row r="59" spans="1:27" ht="12.75">
      <c r="A59" s="261"/>
      <c r="B59" s="210" t="s">
        <v>82</v>
      </c>
      <c r="C59" s="82"/>
      <c r="D59" s="158"/>
      <c r="E59" s="158">
        <v>0</v>
      </c>
      <c r="F59" s="82">
        <v>-2.125</v>
      </c>
      <c r="G59" s="82">
        <v>0.575</v>
      </c>
      <c r="H59" s="82">
        <v>0.66</v>
      </c>
      <c r="I59" s="82">
        <v>0.85</v>
      </c>
      <c r="J59" s="82">
        <v>1.01</v>
      </c>
      <c r="K59" s="82">
        <v>1.065</v>
      </c>
      <c r="L59" s="82">
        <v>1.05</v>
      </c>
      <c r="M59" s="82">
        <v>1.225</v>
      </c>
      <c r="N59" s="82">
        <v>1.124</v>
      </c>
      <c r="O59" s="82">
        <v>1.308</v>
      </c>
      <c r="P59" s="82">
        <v>1.362</v>
      </c>
      <c r="Q59" s="82">
        <v>1.458</v>
      </c>
      <c r="R59" s="82">
        <v>1.271</v>
      </c>
      <c r="S59" s="82">
        <v>1.525</v>
      </c>
      <c r="T59" s="82">
        <v>1.583</v>
      </c>
      <c r="U59" s="82">
        <v>1.687</v>
      </c>
      <c r="V59" s="82">
        <v>1.575</v>
      </c>
      <c r="W59" s="82">
        <v>1.769</v>
      </c>
      <c r="X59" s="82">
        <v>1.762</v>
      </c>
      <c r="Y59" s="82">
        <v>2.371</v>
      </c>
      <c r="Z59" s="164">
        <v>0</v>
      </c>
      <c r="AA59" s="177"/>
    </row>
    <row r="60" spans="1:27" ht="25.5">
      <c r="A60" s="261"/>
      <c r="B60" s="210" t="s">
        <v>84</v>
      </c>
      <c r="C60" s="82"/>
      <c r="D60" s="158"/>
      <c r="E60" s="158">
        <v>0</v>
      </c>
      <c r="F60" s="82"/>
      <c r="G60" s="82">
        <v>-2.466</v>
      </c>
      <c r="H60" s="82">
        <v>-2.357</v>
      </c>
      <c r="I60" s="82">
        <v>1.793</v>
      </c>
      <c r="J60" s="82">
        <v>2.079</v>
      </c>
      <c r="K60" s="82">
        <v>2.202</v>
      </c>
      <c r="L60" s="82">
        <v>2.439</v>
      </c>
      <c r="M60" s="82">
        <v>2.279</v>
      </c>
      <c r="N60" s="82">
        <v>2.46</v>
      </c>
      <c r="O60" s="82">
        <v>2.754</v>
      </c>
      <c r="P60" s="82">
        <v>3.02</v>
      </c>
      <c r="Q60" s="82">
        <v>2.881</v>
      </c>
      <c r="R60" s="82">
        <v>3.247</v>
      </c>
      <c r="S60" s="82">
        <v>3.429</v>
      </c>
      <c r="T60" s="82">
        <v>3.595</v>
      </c>
      <c r="U60" s="82">
        <v>3.618</v>
      </c>
      <c r="V60" s="82">
        <v>4.028</v>
      </c>
      <c r="W60" s="82">
        <v>4.241</v>
      </c>
      <c r="X60" s="82">
        <v>4.587</v>
      </c>
      <c r="Y60" s="82">
        <v>4.492</v>
      </c>
      <c r="Z60" s="164">
        <v>5.783</v>
      </c>
      <c r="AA60" s="177"/>
    </row>
    <row r="61" spans="1:27" ht="12.75">
      <c r="A61" s="261"/>
      <c r="B61" s="210" t="s">
        <v>86</v>
      </c>
      <c r="C61" s="82"/>
      <c r="D61" s="158"/>
      <c r="E61" s="158">
        <v>0</v>
      </c>
      <c r="F61" s="82"/>
      <c r="G61" s="82">
        <v>-0.721</v>
      </c>
      <c r="H61" s="82">
        <v>0.189</v>
      </c>
      <c r="I61" s="82">
        <v>0.228</v>
      </c>
      <c r="J61" s="82">
        <v>0.255</v>
      </c>
      <c r="K61" s="82">
        <v>0.316</v>
      </c>
      <c r="L61" s="82">
        <v>0.336</v>
      </c>
      <c r="M61" s="82">
        <v>0.317</v>
      </c>
      <c r="N61" s="82">
        <v>0.376</v>
      </c>
      <c r="O61" s="82">
        <v>0.419</v>
      </c>
      <c r="P61" s="82">
        <v>0.364</v>
      </c>
      <c r="Q61" s="82">
        <v>0.437</v>
      </c>
      <c r="R61" s="82">
        <v>0.456</v>
      </c>
      <c r="S61" s="82">
        <v>0.437</v>
      </c>
      <c r="T61" s="82">
        <v>0.495</v>
      </c>
      <c r="U61" s="82">
        <v>0.537</v>
      </c>
      <c r="V61" s="82">
        <v>0.473</v>
      </c>
      <c r="W61" s="82">
        <v>0.557</v>
      </c>
      <c r="X61" s="82">
        <v>0.58</v>
      </c>
      <c r="Y61" s="82">
        <v>0.565</v>
      </c>
      <c r="Z61" s="164">
        <v>0.793</v>
      </c>
      <c r="AA61" s="177"/>
    </row>
    <row r="62" spans="1:27" ht="12.75">
      <c r="A62" s="261"/>
      <c r="B62" s="210" t="s">
        <v>88</v>
      </c>
      <c r="C62" s="82"/>
      <c r="D62" s="158"/>
      <c r="E62" s="158">
        <v>0</v>
      </c>
      <c r="F62" s="82"/>
      <c r="G62" s="82">
        <v>-1.795</v>
      </c>
      <c r="H62" s="82">
        <v>0.492</v>
      </c>
      <c r="I62" s="82">
        <v>0.517</v>
      </c>
      <c r="J62" s="82">
        <v>0.596</v>
      </c>
      <c r="K62" s="82">
        <v>0.715</v>
      </c>
      <c r="L62" s="82">
        <v>0.857</v>
      </c>
      <c r="M62" s="82">
        <v>0.692</v>
      </c>
      <c r="N62" s="82">
        <v>0.954</v>
      </c>
      <c r="O62" s="82">
        <v>1.006</v>
      </c>
      <c r="P62" s="82">
        <v>1.06</v>
      </c>
      <c r="Q62" s="82">
        <v>1.158</v>
      </c>
      <c r="R62" s="82">
        <v>1.035</v>
      </c>
      <c r="S62" s="82">
        <v>0.981</v>
      </c>
      <c r="T62" s="82">
        <v>1.242</v>
      </c>
      <c r="U62" s="82">
        <v>1.29</v>
      </c>
      <c r="V62" s="82">
        <v>1.34</v>
      </c>
      <c r="W62" s="82">
        <v>1.392</v>
      </c>
      <c r="X62" s="82">
        <v>1.499</v>
      </c>
      <c r="Y62" s="82">
        <v>1.162</v>
      </c>
      <c r="Z62" s="164">
        <v>1.915</v>
      </c>
      <c r="AA62" s="177"/>
    </row>
    <row r="63" spans="1:27" ht="25.5">
      <c r="A63" s="261"/>
      <c r="B63" s="211" t="s">
        <v>90</v>
      </c>
      <c r="C63" s="82"/>
      <c r="D63" s="158"/>
      <c r="E63" s="158">
        <v>0</v>
      </c>
      <c r="F63" s="82"/>
      <c r="G63" s="82">
        <v>-1.834</v>
      </c>
      <c r="H63" s="82">
        <v>0.345</v>
      </c>
      <c r="I63" s="82">
        <v>0.421</v>
      </c>
      <c r="J63" s="82">
        <v>0.459</v>
      </c>
      <c r="K63" s="82">
        <v>0.568</v>
      </c>
      <c r="L63" s="82">
        <v>0.604</v>
      </c>
      <c r="M63" s="82">
        <v>0.569</v>
      </c>
      <c r="N63" s="82">
        <v>0.675</v>
      </c>
      <c r="O63" s="82">
        <v>0.755</v>
      </c>
      <c r="P63" s="82">
        <v>0.655</v>
      </c>
      <c r="Q63" s="82">
        <v>0.784</v>
      </c>
      <c r="R63" s="82">
        <v>0.819</v>
      </c>
      <c r="S63" s="82">
        <v>0.784</v>
      </c>
      <c r="T63" s="82">
        <v>0.93</v>
      </c>
      <c r="U63" s="82">
        <v>0.815</v>
      </c>
      <c r="V63" s="82">
        <v>0.96</v>
      </c>
      <c r="W63" s="82">
        <v>1</v>
      </c>
      <c r="X63" s="82">
        <v>1.04</v>
      </c>
      <c r="Y63" s="82">
        <v>1.054</v>
      </c>
      <c r="Z63" s="164">
        <v>1.371</v>
      </c>
      <c r="AA63" s="177"/>
    </row>
    <row r="64" spans="1:27" ht="12.75">
      <c r="A64" s="261"/>
      <c r="B64" s="146"/>
      <c r="C64" s="82"/>
      <c r="D64" s="82"/>
      <c r="E64" s="82"/>
      <c r="F64" s="82"/>
      <c r="G64" s="82"/>
      <c r="H64" s="82"/>
      <c r="I64" s="82"/>
      <c r="J64" s="82"/>
      <c r="K64" s="82"/>
      <c r="L64" s="82"/>
      <c r="M64" s="82"/>
      <c r="N64" s="82"/>
      <c r="O64" s="82"/>
      <c r="P64" s="82"/>
      <c r="Q64" s="82"/>
      <c r="R64" s="82"/>
      <c r="S64" s="82"/>
      <c r="T64" s="82"/>
      <c r="U64" s="82"/>
      <c r="V64" s="82"/>
      <c r="W64" s="82"/>
      <c r="X64" s="82"/>
      <c r="Y64" s="82"/>
      <c r="Z64" s="164"/>
      <c r="AA64" s="177"/>
    </row>
    <row r="65" spans="1:27" ht="12.75">
      <c r="A65" s="261"/>
      <c r="B65" s="205" t="s">
        <v>92</v>
      </c>
      <c r="C65" s="82"/>
      <c r="D65" s="82"/>
      <c r="E65" s="82">
        <f>SUMIF(E57:E63,"&gt;0",E57:E63)</f>
        <v>0</v>
      </c>
      <c r="F65" s="82">
        <f aca="true" t="shared" si="4" ref="F65:X65">SUMIF(F57:F63,"&gt;0",F57:F63)</f>
        <v>0</v>
      </c>
      <c r="G65" s="82">
        <f t="shared" si="4"/>
        <v>1.455</v>
      </c>
      <c r="H65" s="82">
        <f t="shared" si="4"/>
        <v>4.025</v>
      </c>
      <c r="I65" s="82">
        <f t="shared" si="4"/>
        <v>6.609</v>
      </c>
      <c r="J65" s="82">
        <f t="shared" si="4"/>
        <v>7.3660000000000005</v>
      </c>
      <c r="K65" s="82">
        <f t="shared" si="4"/>
        <v>8.102</v>
      </c>
      <c r="L65" s="82">
        <f t="shared" si="4"/>
        <v>8.257</v>
      </c>
      <c r="M65" s="82">
        <f t="shared" si="4"/>
        <v>8.498000000000001</v>
      </c>
      <c r="N65" s="82">
        <f t="shared" si="4"/>
        <v>9.067000000000002</v>
      </c>
      <c r="O65" s="82">
        <f t="shared" si="4"/>
        <v>10.212000000000002</v>
      </c>
      <c r="P65" s="82">
        <f t="shared" si="4"/>
        <v>10.337</v>
      </c>
      <c r="Q65" s="82">
        <f t="shared" si="4"/>
        <v>10.982</v>
      </c>
      <c r="R65" s="82">
        <f t="shared" si="4"/>
        <v>11.230999999999998</v>
      </c>
      <c r="S65" s="82">
        <f t="shared" si="4"/>
        <v>11.607</v>
      </c>
      <c r="T65" s="82">
        <f t="shared" si="4"/>
        <v>12.578</v>
      </c>
      <c r="U65" s="82">
        <f t="shared" si="4"/>
        <v>13.112</v>
      </c>
      <c r="V65" s="82">
        <f t="shared" si="4"/>
        <v>13.797</v>
      </c>
      <c r="W65" s="82">
        <f t="shared" si="4"/>
        <v>14.843</v>
      </c>
      <c r="X65" s="82">
        <f t="shared" si="4"/>
        <v>14.82</v>
      </c>
      <c r="Y65" s="82"/>
      <c r="Z65" s="164"/>
      <c r="AA65" s="177"/>
    </row>
    <row r="66" spans="1:27" ht="12.75">
      <c r="A66" s="261"/>
      <c r="B66" s="239" t="s">
        <v>91</v>
      </c>
      <c r="C66" s="240"/>
      <c r="D66" s="240"/>
      <c r="E66" s="143">
        <f>SUM(E57:E63)</f>
        <v>0</v>
      </c>
      <c r="F66" s="143">
        <f aca="true" t="shared" si="5" ref="F66:X66">SUM(F57:F63)</f>
        <v>-5.526</v>
      </c>
      <c r="G66" s="143">
        <f t="shared" si="5"/>
        <v>-6.6129999999999995</v>
      </c>
      <c r="H66" s="143">
        <f t="shared" si="5"/>
        <v>1.668</v>
      </c>
      <c r="I66" s="143">
        <f t="shared" si="5"/>
        <v>6.609</v>
      </c>
      <c r="J66" s="143">
        <f t="shared" si="5"/>
        <v>7.3660000000000005</v>
      </c>
      <c r="K66" s="143">
        <f t="shared" si="5"/>
        <v>8.102</v>
      </c>
      <c r="L66" s="143">
        <f t="shared" si="5"/>
        <v>8.257</v>
      </c>
      <c r="M66" s="143">
        <f t="shared" si="5"/>
        <v>8.498000000000001</v>
      </c>
      <c r="N66" s="143">
        <f t="shared" si="5"/>
        <v>9.067000000000002</v>
      </c>
      <c r="O66" s="143">
        <f t="shared" si="5"/>
        <v>10.212000000000002</v>
      </c>
      <c r="P66" s="143">
        <f t="shared" si="5"/>
        <v>10.337</v>
      </c>
      <c r="Q66" s="143">
        <f t="shared" si="5"/>
        <v>10.982</v>
      </c>
      <c r="R66" s="143">
        <f t="shared" si="5"/>
        <v>11.230999999999998</v>
      </c>
      <c r="S66" s="143">
        <f t="shared" si="5"/>
        <v>11.607</v>
      </c>
      <c r="T66" s="143">
        <f t="shared" si="5"/>
        <v>12.578</v>
      </c>
      <c r="U66" s="143">
        <f t="shared" si="5"/>
        <v>13.112</v>
      </c>
      <c r="V66" s="143">
        <f t="shared" si="5"/>
        <v>13.797</v>
      </c>
      <c r="W66" s="143">
        <f t="shared" si="5"/>
        <v>14.843</v>
      </c>
      <c r="X66" s="143">
        <f t="shared" si="5"/>
        <v>14.82</v>
      </c>
      <c r="Y66" s="143"/>
      <c r="Z66" s="241"/>
      <c r="AA66" s="177"/>
    </row>
    <row r="67" spans="1:27" ht="13.5" thickBot="1">
      <c r="A67" s="261"/>
      <c r="B67" s="205"/>
      <c r="C67" s="142"/>
      <c r="D67" s="142"/>
      <c r="E67" s="82"/>
      <c r="F67" s="82"/>
      <c r="G67" s="82"/>
      <c r="H67" s="82"/>
      <c r="I67" s="82"/>
      <c r="J67" s="82"/>
      <c r="K67" s="82"/>
      <c r="L67" s="82"/>
      <c r="M67" s="82"/>
      <c r="N67" s="82"/>
      <c r="O67" s="82"/>
      <c r="P67" s="82"/>
      <c r="Q67" s="82"/>
      <c r="R67" s="82"/>
      <c r="S67" s="82"/>
      <c r="T67" s="82"/>
      <c r="U67" s="82"/>
      <c r="V67" s="82"/>
      <c r="W67" s="82"/>
      <c r="X67" s="82"/>
      <c r="Y67" s="82"/>
      <c r="Z67" s="164"/>
      <c r="AA67" s="177"/>
    </row>
    <row r="68" spans="1:27" ht="13.5" thickBot="1">
      <c r="A68" s="261"/>
      <c r="B68" s="205"/>
      <c r="C68" s="106" t="s">
        <v>8</v>
      </c>
      <c r="D68" s="219">
        <f>IRR(E66:X66)</f>
        <v>0.4198701196536545</v>
      </c>
      <c r="E68" s="82"/>
      <c r="F68" s="82"/>
      <c r="G68" s="82"/>
      <c r="H68" s="82"/>
      <c r="I68" s="82"/>
      <c r="J68" s="82"/>
      <c r="K68" s="82"/>
      <c r="L68" s="82"/>
      <c r="M68" s="82"/>
      <c r="N68" s="82"/>
      <c r="O68" s="82"/>
      <c r="P68" s="82"/>
      <c r="Q68" s="82"/>
      <c r="R68" s="82"/>
      <c r="S68" s="82"/>
      <c r="T68" s="82"/>
      <c r="U68" s="82"/>
      <c r="V68" s="82"/>
      <c r="W68" s="82"/>
      <c r="X68" s="82"/>
      <c r="Y68" s="82"/>
      <c r="Z68" s="164"/>
      <c r="AA68" s="177"/>
    </row>
    <row r="69" spans="1:27" ht="13.5" thickBot="1">
      <c r="A69" s="261"/>
      <c r="B69" s="151"/>
      <c r="C69" s="242"/>
      <c r="D69" s="242"/>
      <c r="E69" s="152"/>
      <c r="F69" s="152"/>
      <c r="G69" s="152"/>
      <c r="H69" s="152"/>
      <c r="I69" s="152"/>
      <c r="J69" s="152"/>
      <c r="K69" s="152"/>
      <c r="L69" s="152"/>
      <c r="M69" s="152"/>
      <c r="N69" s="152"/>
      <c r="O69" s="152"/>
      <c r="P69" s="152"/>
      <c r="Q69" s="152"/>
      <c r="R69" s="152"/>
      <c r="S69" s="152"/>
      <c r="T69" s="152"/>
      <c r="U69" s="152"/>
      <c r="V69" s="152"/>
      <c r="W69" s="152"/>
      <c r="X69" s="152"/>
      <c r="Y69" s="152"/>
      <c r="Z69" s="160"/>
      <c r="AA69" s="177"/>
    </row>
    <row r="70" spans="1:26" ht="12.7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2.7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ht="13.5" thickBot="1">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ht="12.75">
      <c r="A73" s="261"/>
      <c r="B73" s="243"/>
      <c r="C73" s="244"/>
      <c r="D73" s="244"/>
      <c r="E73" s="244"/>
      <c r="F73" s="244"/>
      <c r="G73" s="244"/>
      <c r="H73" s="244"/>
      <c r="I73" s="245"/>
      <c r="J73" s="261"/>
      <c r="K73" s="261"/>
      <c r="L73" s="261"/>
      <c r="M73" s="261"/>
      <c r="N73" s="261"/>
      <c r="O73" s="261"/>
      <c r="P73" s="261"/>
      <c r="Q73" s="261"/>
      <c r="R73" s="261"/>
      <c r="S73" s="261"/>
      <c r="T73" s="261"/>
      <c r="U73" s="261"/>
      <c r="V73" s="261"/>
      <c r="W73" s="261"/>
      <c r="X73" s="261"/>
      <c r="Y73" s="261"/>
      <c r="Z73" s="261"/>
    </row>
    <row r="74" spans="1:26" ht="12.75">
      <c r="A74" s="261"/>
      <c r="B74" s="238"/>
      <c r="C74" s="212" t="s">
        <v>57</v>
      </c>
      <c r="D74" s="212">
        <v>1</v>
      </c>
      <c r="E74" s="212">
        <v>2</v>
      </c>
      <c r="F74" s="212">
        <v>3</v>
      </c>
      <c r="G74" s="212">
        <v>4</v>
      </c>
      <c r="H74" s="212">
        <v>5</v>
      </c>
      <c r="I74" s="267" t="s">
        <v>63</v>
      </c>
      <c r="J74" s="261"/>
      <c r="K74" s="261"/>
      <c r="L74" s="261"/>
      <c r="M74" s="261"/>
      <c r="N74" s="261"/>
      <c r="O74" s="261"/>
      <c r="P74" s="261"/>
      <c r="Q74" s="261"/>
      <c r="R74" s="261"/>
      <c r="S74" s="261"/>
      <c r="T74" s="261"/>
      <c r="U74" s="261"/>
      <c r="V74" s="261"/>
      <c r="W74" s="261"/>
      <c r="X74" s="261"/>
      <c r="Y74" s="261"/>
      <c r="Z74" s="261"/>
    </row>
    <row r="75" spans="1:26" ht="25.5" customHeight="1">
      <c r="A75" s="261"/>
      <c r="B75" s="400" t="s">
        <v>78</v>
      </c>
      <c r="C75" s="246" t="s">
        <v>22</v>
      </c>
      <c r="D75" s="247"/>
      <c r="E75" s="247">
        <f>C48</f>
        <v>18.2</v>
      </c>
      <c r="F75" s="247"/>
      <c r="G75" s="247"/>
      <c r="H75" s="253"/>
      <c r="I75" s="164"/>
      <c r="J75" s="261"/>
      <c r="K75" s="261"/>
      <c r="L75" s="261"/>
      <c r="M75" s="261"/>
      <c r="N75" s="261"/>
      <c r="O75" s="261"/>
      <c r="P75" s="261"/>
      <c r="Q75" s="261"/>
      <c r="R75" s="261"/>
      <c r="S75" s="261"/>
      <c r="T75" s="261"/>
      <c r="U75" s="261"/>
      <c r="V75" s="261"/>
      <c r="W75" s="261"/>
      <c r="X75" s="261"/>
      <c r="Y75" s="261"/>
      <c r="Z75" s="261"/>
    </row>
    <row r="76" spans="1:26" ht="12.75">
      <c r="A76" s="261"/>
      <c r="B76" s="401"/>
      <c r="C76" s="176" t="s">
        <v>110</v>
      </c>
      <c r="D76" s="248">
        <f>I5</f>
        <v>130300</v>
      </c>
      <c r="E76" s="248">
        <f>D76</f>
        <v>130300</v>
      </c>
      <c r="F76" s="248">
        <f>E76</f>
        <v>130300</v>
      </c>
      <c r="G76" s="248">
        <f>F76</f>
        <v>130300</v>
      </c>
      <c r="H76" s="249"/>
      <c r="I76" s="164"/>
      <c r="J76" s="261"/>
      <c r="K76" s="261"/>
      <c r="L76" s="261"/>
      <c r="M76" s="261"/>
      <c r="N76" s="261"/>
      <c r="O76" s="261"/>
      <c r="P76" s="261"/>
      <c r="Q76" s="261"/>
      <c r="R76" s="261"/>
      <c r="S76" s="261"/>
      <c r="T76" s="261"/>
      <c r="U76" s="261"/>
      <c r="V76" s="261"/>
      <c r="W76" s="261"/>
      <c r="X76" s="261"/>
      <c r="Y76" s="261"/>
      <c r="Z76" s="261"/>
    </row>
    <row r="77" spans="1:26" ht="12.75">
      <c r="A77" s="261"/>
      <c r="B77" s="402"/>
      <c r="C77" s="250" t="s">
        <v>111</v>
      </c>
      <c r="D77" s="251"/>
      <c r="E77" s="251">
        <f>E75*E76</f>
        <v>2371460</v>
      </c>
      <c r="F77" s="251">
        <f>F75*F76</f>
        <v>0</v>
      </c>
      <c r="G77" s="251">
        <f>G75*G76</f>
        <v>0</v>
      </c>
      <c r="H77" s="252"/>
      <c r="I77" s="164"/>
      <c r="J77" s="261"/>
      <c r="K77" s="261"/>
      <c r="L77" s="261"/>
      <c r="M77" s="261"/>
      <c r="N77" s="261"/>
      <c r="O77" s="261"/>
      <c r="P77" s="261"/>
      <c r="Q77" s="261"/>
      <c r="R77" s="261"/>
      <c r="S77" s="261"/>
      <c r="T77" s="261"/>
      <c r="U77" s="261"/>
      <c r="V77" s="261"/>
      <c r="W77" s="261"/>
      <c r="X77" s="261"/>
      <c r="Y77" s="261"/>
      <c r="Z77" s="261"/>
    </row>
    <row r="78" spans="1:26" ht="25.5" customHeight="1">
      <c r="A78" s="261"/>
      <c r="B78" s="400" t="s">
        <v>80</v>
      </c>
      <c r="C78" s="176" t="s">
        <v>22</v>
      </c>
      <c r="D78" s="247"/>
      <c r="E78" s="247">
        <f>D48</f>
        <v>10.573402219670877</v>
      </c>
      <c r="F78" s="247">
        <f>D49</f>
        <v>9.726597780329124</v>
      </c>
      <c r="G78" s="247"/>
      <c r="H78" s="253"/>
      <c r="I78" s="164"/>
      <c r="J78" s="261"/>
      <c r="K78" s="261"/>
      <c r="L78" s="261"/>
      <c r="M78" s="261"/>
      <c r="N78" s="261"/>
      <c r="O78" s="261"/>
      <c r="P78" s="261"/>
      <c r="Q78" s="261"/>
      <c r="R78" s="261"/>
      <c r="S78" s="261"/>
      <c r="T78" s="261"/>
      <c r="U78" s="261"/>
      <c r="V78" s="261"/>
      <c r="W78" s="261"/>
      <c r="X78" s="261"/>
      <c r="Y78" s="261"/>
      <c r="Z78" s="261"/>
    </row>
    <row r="79" spans="1:26" ht="12.75">
      <c r="A79" s="261"/>
      <c r="B79" s="401"/>
      <c r="C79" s="176" t="s">
        <v>110</v>
      </c>
      <c r="D79" s="248">
        <f>I6</f>
        <v>263900</v>
      </c>
      <c r="E79" s="248">
        <f>D79</f>
        <v>263900</v>
      </c>
      <c r="F79" s="248">
        <f>E79</f>
        <v>263900</v>
      </c>
      <c r="G79" s="248">
        <f>F79</f>
        <v>263900</v>
      </c>
      <c r="H79" s="249"/>
      <c r="I79" s="164"/>
      <c r="J79" s="261"/>
      <c r="K79" s="261"/>
      <c r="L79" s="261"/>
      <c r="M79" s="261"/>
      <c r="N79" s="261"/>
      <c r="O79" s="261"/>
      <c r="P79" s="261"/>
      <c r="Q79" s="261"/>
      <c r="R79" s="261"/>
      <c r="S79" s="261"/>
      <c r="T79" s="261"/>
      <c r="U79" s="261"/>
      <c r="V79" s="261"/>
      <c r="W79" s="261"/>
      <c r="X79" s="261"/>
      <c r="Y79" s="261"/>
      <c r="Z79" s="261"/>
    </row>
    <row r="80" spans="1:26" ht="12.75">
      <c r="A80" s="261"/>
      <c r="B80" s="402"/>
      <c r="C80" s="250" t="s">
        <v>111</v>
      </c>
      <c r="D80" s="251"/>
      <c r="E80" s="251">
        <f>E78*E79</f>
        <v>2790320.8457711446</v>
      </c>
      <c r="F80" s="251">
        <f>F78*F79</f>
        <v>2566849.154228856</v>
      </c>
      <c r="G80" s="251">
        <f>G78*G79</f>
        <v>0</v>
      </c>
      <c r="H80" s="252"/>
      <c r="I80" s="164"/>
      <c r="J80" s="261"/>
      <c r="K80" s="261"/>
      <c r="L80" s="261"/>
      <c r="M80" s="261"/>
      <c r="N80" s="261"/>
      <c r="O80" s="261"/>
      <c r="P80" s="261"/>
      <c r="Q80" s="261"/>
      <c r="R80" s="261"/>
      <c r="S80" s="261"/>
      <c r="T80" s="261"/>
      <c r="U80" s="261"/>
      <c r="V80" s="261"/>
      <c r="W80" s="261"/>
      <c r="X80" s="261"/>
      <c r="Y80" s="261"/>
      <c r="Z80" s="261"/>
    </row>
    <row r="81" spans="1:26" ht="25.5" customHeight="1">
      <c r="A81" s="261"/>
      <c r="B81" s="400" t="s">
        <v>82</v>
      </c>
      <c r="C81" s="176" t="s">
        <v>22</v>
      </c>
      <c r="D81" s="247"/>
      <c r="E81" s="247">
        <f>E48</f>
        <v>9.44</v>
      </c>
      <c r="F81" s="247"/>
      <c r="G81" s="247"/>
      <c r="H81" s="253"/>
      <c r="I81" s="164"/>
      <c r="J81" s="261"/>
      <c r="K81" s="261"/>
      <c r="L81" s="261"/>
      <c r="M81" s="261"/>
      <c r="N81" s="261"/>
      <c r="O81" s="261"/>
      <c r="P81" s="261"/>
      <c r="Q81" s="261"/>
      <c r="R81" s="261"/>
      <c r="S81" s="261"/>
      <c r="T81" s="261"/>
      <c r="U81" s="261"/>
      <c r="V81" s="261"/>
      <c r="W81" s="261"/>
      <c r="X81" s="261"/>
      <c r="Y81" s="261"/>
      <c r="Z81" s="261"/>
    </row>
    <row r="82" spans="1:26" ht="12.75">
      <c r="A82" s="261"/>
      <c r="B82" s="401"/>
      <c r="C82" s="176" t="s">
        <v>110</v>
      </c>
      <c r="D82" s="248">
        <f>I7</f>
        <v>263600</v>
      </c>
      <c r="E82" s="248">
        <f>D82</f>
        <v>263600</v>
      </c>
      <c r="F82" s="248">
        <f>E82</f>
        <v>263600</v>
      </c>
      <c r="G82" s="248">
        <f>F82</f>
        <v>263600</v>
      </c>
      <c r="H82" s="249"/>
      <c r="I82" s="164"/>
      <c r="J82" s="261"/>
      <c r="K82" s="261"/>
      <c r="L82" s="261"/>
      <c r="M82" s="261"/>
      <c r="N82" s="261"/>
      <c r="O82" s="261"/>
      <c r="P82" s="261"/>
      <c r="Q82" s="261"/>
      <c r="R82" s="261"/>
      <c r="S82" s="261"/>
      <c r="T82" s="261"/>
      <c r="U82" s="261"/>
      <c r="V82" s="261"/>
      <c r="W82" s="261"/>
      <c r="X82" s="261"/>
      <c r="Y82" s="261"/>
      <c r="Z82" s="261"/>
    </row>
    <row r="83" spans="1:26" ht="12.75">
      <c r="A83" s="261"/>
      <c r="B83" s="402"/>
      <c r="C83" s="250" t="s">
        <v>111</v>
      </c>
      <c r="D83" s="251"/>
      <c r="E83" s="251">
        <f>E82*E81</f>
        <v>2488384</v>
      </c>
      <c r="F83" s="251">
        <f>F82*F81</f>
        <v>0</v>
      </c>
      <c r="G83" s="251">
        <f>G82*G81</f>
        <v>0</v>
      </c>
      <c r="H83" s="252"/>
      <c r="I83" s="164"/>
      <c r="J83" s="261"/>
      <c r="K83" s="261"/>
      <c r="L83" s="261"/>
      <c r="M83" s="261"/>
      <c r="N83" s="261"/>
      <c r="O83" s="261"/>
      <c r="P83" s="261"/>
      <c r="Q83" s="261"/>
      <c r="R83" s="261"/>
      <c r="S83" s="261"/>
      <c r="T83" s="261"/>
      <c r="U83" s="261"/>
      <c r="V83" s="261"/>
      <c r="W83" s="261"/>
      <c r="X83" s="261"/>
      <c r="Y83" s="261"/>
      <c r="Z83" s="261"/>
    </row>
    <row r="84" spans="1:26" ht="25.5" customHeight="1">
      <c r="A84" s="261"/>
      <c r="B84" s="400" t="s">
        <v>84</v>
      </c>
      <c r="C84" s="176" t="s">
        <v>22</v>
      </c>
      <c r="D84" s="247"/>
      <c r="E84" s="247"/>
      <c r="F84" s="247">
        <f>F49</f>
        <v>10.379390420899854</v>
      </c>
      <c r="G84" s="247">
        <f>F50</f>
        <v>9.920609579100145</v>
      </c>
      <c r="H84" s="253"/>
      <c r="I84" s="164"/>
      <c r="J84" s="261"/>
      <c r="K84" s="261"/>
      <c r="L84" s="261"/>
      <c r="M84" s="261"/>
      <c r="N84" s="261"/>
      <c r="O84" s="261"/>
      <c r="P84" s="261"/>
      <c r="Q84" s="261"/>
      <c r="R84" s="261"/>
      <c r="S84" s="261"/>
      <c r="T84" s="261"/>
      <c r="U84" s="261"/>
      <c r="V84" s="261"/>
      <c r="W84" s="261"/>
      <c r="X84" s="261"/>
      <c r="Y84" s="261"/>
      <c r="Z84" s="261"/>
    </row>
    <row r="85" spans="1:26" ht="12.75">
      <c r="A85" s="261"/>
      <c r="B85" s="401"/>
      <c r="C85" s="176" t="s">
        <v>110</v>
      </c>
      <c r="D85" s="248">
        <f>I8</f>
        <v>282600</v>
      </c>
      <c r="E85" s="248">
        <f>D85</f>
        <v>282600</v>
      </c>
      <c r="F85" s="248">
        <f>E85</f>
        <v>282600</v>
      </c>
      <c r="G85" s="248">
        <f>F85</f>
        <v>282600</v>
      </c>
      <c r="H85" s="253"/>
      <c r="I85" s="164"/>
      <c r="J85" s="261"/>
      <c r="K85" s="261"/>
      <c r="L85" s="261"/>
      <c r="M85" s="261"/>
      <c r="N85" s="261"/>
      <c r="O85" s="261"/>
      <c r="P85" s="261"/>
      <c r="Q85" s="261"/>
      <c r="R85" s="261"/>
      <c r="S85" s="261"/>
      <c r="T85" s="261"/>
      <c r="U85" s="261"/>
      <c r="V85" s="261"/>
      <c r="W85" s="261"/>
      <c r="X85" s="261"/>
      <c r="Y85" s="261"/>
      <c r="Z85" s="261"/>
    </row>
    <row r="86" spans="1:26" ht="12.75">
      <c r="A86" s="261"/>
      <c r="B86" s="402"/>
      <c r="C86" s="250" t="s">
        <v>111</v>
      </c>
      <c r="D86" s="251"/>
      <c r="E86" s="251">
        <f>E85*E84</f>
        <v>0</v>
      </c>
      <c r="F86" s="251">
        <f>F85*F84</f>
        <v>2933215.732946299</v>
      </c>
      <c r="G86" s="251">
        <f>G85*G84</f>
        <v>2803564.267053701</v>
      </c>
      <c r="H86" s="254"/>
      <c r="I86" s="164"/>
      <c r="J86" s="261"/>
      <c r="K86" s="261"/>
      <c r="L86" s="261"/>
      <c r="M86" s="261"/>
      <c r="N86" s="261"/>
      <c r="O86" s="261"/>
      <c r="P86" s="261"/>
      <c r="Q86" s="261"/>
      <c r="R86" s="261"/>
      <c r="S86" s="261"/>
      <c r="T86" s="261"/>
      <c r="U86" s="261"/>
      <c r="V86" s="261"/>
      <c r="W86" s="261"/>
      <c r="X86" s="261"/>
      <c r="Y86" s="261"/>
      <c r="Z86" s="261"/>
    </row>
    <row r="87" spans="1:26" ht="12.75">
      <c r="A87" s="261"/>
      <c r="B87" s="400" t="s">
        <v>86</v>
      </c>
      <c r="C87" s="176" t="s">
        <v>22</v>
      </c>
      <c r="D87" s="247"/>
      <c r="E87" s="247"/>
      <c r="F87" s="247">
        <f>G49</f>
        <v>5</v>
      </c>
      <c r="G87" s="247"/>
      <c r="H87" s="253"/>
      <c r="I87" s="164"/>
      <c r="J87" s="261"/>
      <c r="K87" s="261"/>
      <c r="L87" s="261"/>
      <c r="M87" s="261"/>
      <c r="N87" s="261"/>
      <c r="O87" s="261"/>
      <c r="P87" s="261"/>
      <c r="Q87" s="261"/>
      <c r="R87" s="261"/>
      <c r="S87" s="261"/>
      <c r="T87" s="261"/>
      <c r="U87" s="261"/>
      <c r="V87" s="261"/>
      <c r="W87" s="261"/>
      <c r="X87" s="261"/>
      <c r="Y87" s="261"/>
      <c r="Z87" s="261"/>
    </row>
    <row r="88" spans="1:26" ht="12.75">
      <c r="A88" s="261"/>
      <c r="B88" s="401"/>
      <c r="C88" s="176" t="s">
        <v>110</v>
      </c>
      <c r="D88" s="248">
        <f>I9</f>
        <v>172000</v>
      </c>
      <c r="E88" s="248">
        <f>D88</f>
        <v>172000</v>
      </c>
      <c r="F88" s="248">
        <f>E88</f>
        <v>172000</v>
      </c>
      <c r="G88" s="248">
        <f>F88</f>
        <v>172000</v>
      </c>
      <c r="H88" s="249"/>
      <c r="I88" s="164"/>
      <c r="J88" s="261"/>
      <c r="K88" s="261"/>
      <c r="L88" s="261"/>
      <c r="M88" s="261"/>
      <c r="N88" s="261"/>
      <c r="O88" s="261"/>
      <c r="P88" s="261"/>
      <c r="Q88" s="261"/>
      <c r="R88" s="261"/>
      <c r="S88" s="261"/>
      <c r="T88" s="261"/>
      <c r="U88" s="261"/>
      <c r="V88" s="261"/>
      <c r="W88" s="261"/>
      <c r="X88" s="261"/>
      <c r="Y88" s="261"/>
      <c r="Z88" s="261"/>
    </row>
    <row r="89" spans="1:26" ht="12.75">
      <c r="A89" s="261"/>
      <c r="B89" s="402"/>
      <c r="C89" s="250" t="s">
        <v>111</v>
      </c>
      <c r="D89" s="251"/>
      <c r="E89" s="251">
        <f>E88*E87</f>
        <v>0</v>
      </c>
      <c r="F89" s="251">
        <f>F88*F87</f>
        <v>860000</v>
      </c>
      <c r="G89" s="251">
        <f>G88*G87</f>
        <v>0</v>
      </c>
      <c r="H89" s="252"/>
      <c r="I89" s="164"/>
      <c r="J89" s="261"/>
      <c r="K89" s="261"/>
      <c r="L89" s="261"/>
      <c r="M89" s="261"/>
      <c r="N89" s="261"/>
      <c r="O89" s="261"/>
      <c r="P89" s="261"/>
      <c r="Q89" s="261"/>
      <c r="R89" s="261"/>
      <c r="S89" s="261"/>
      <c r="T89" s="261"/>
      <c r="U89" s="261"/>
      <c r="V89" s="261"/>
      <c r="W89" s="261"/>
      <c r="X89" s="261"/>
      <c r="Y89" s="261"/>
      <c r="Z89" s="261"/>
    </row>
    <row r="90" spans="1:26" ht="12.75">
      <c r="A90" s="261"/>
      <c r="B90" s="400" t="s">
        <v>88</v>
      </c>
      <c r="C90" s="176" t="s">
        <v>22</v>
      </c>
      <c r="D90" s="247"/>
      <c r="E90" s="247"/>
      <c r="F90" s="247">
        <f>H49</f>
        <v>8.6</v>
      </c>
      <c r="G90" s="247"/>
      <c r="H90" s="253"/>
      <c r="I90" s="164"/>
      <c r="J90" s="261"/>
      <c r="K90" s="261"/>
      <c r="L90" s="261"/>
      <c r="M90" s="261"/>
      <c r="N90" s="261"/>
      <c r="O90" s="261"/>
      <c r="P90" s="261"/>
      <c r="Q90" s="261"/>
      <c r="R90" s="261"/>
      <c r="S90" s="261"/>
      <c r="T90" s="261"/>
      <c r="U90" s="261"/>
      <c r="V90" s="261"/>
      <c r="W90" s="261"/>
      <c r="X90" s="261"/>
      <c r="Y90" s="261"/>
      <c r="Z90" s="261"/>
    </row>
    <row r="91" spans="1:26" ht="12.75">
      <c r="A91" s="261"/>
      <c r="B91" s="401"/>
      <c r="C91" s="176" t="s">
        <v>110</v>
      </c>
      <c r="D91" s="248">
        <f>I10</f>
        <v>244186.0465116279</v>
      </c>
      <c r="E91" s="248">
        <f>D91</f>
        <v>244186.0465116279</v>
      </c>
      <c r="F91" s="248">
        <f>E91</f>
        <v>244186.0465116279</v>
      </c>
      <c r="G91" s="248">
        <f>F91</f>
        <v>244186.0465116279</v>
      </c>
      <c r="H91" s="249"/>
      <c r="I91" s="164"/>
      <c r="J91" s="261"/>
      <c r="K91" s="261"/>
      <c r="L91" s="261"/>
      <c r="M91" s="261"/>
      <c r="N91" s="261"/>
      <c r="O91" s="261"/>
      <c r="P91" s="261"/>
      <c r="Q91" s="261"/>
      <c r="R91" s="261"/>
      <c r="S91" s="261"/>
      <c r="T91" s="261"/>
      <c r="U91" s="261"/>
      <c r="V91" s="261"/>
      <c r="W91" s="261"/>
      <c r="X91" s="261"/>
      <c r="Y91" s="261"/>
      <c r="Z91" s="261"/>
    </row>
    <row r="92" spans="1:26" ht="12.75">
      <c r="A92" s="261"/>
      <c r="B92" s="402"/>
      <c r="C92" s="250" t="s">
        <v>111</v>
      </c>
      <c r="D92" s="251"/>
      <c r="E92" s="251">
        <f>E91*E90</f>
        <v>0</v>
      </c>
      <c r="F92" s="251">
        <f>F91*F90</f>
        <v>2100000</v>
      </c>
      <c r="G92" s="251">
        <f>G91*G90</f>
        <v>0</v>
      </c>
      <c r="H92" s="252"/>
      <c r="I92" s="164"/>
      <c r="J92" s="261"/>
      <c r="K92" s="261"/>
      <c r="L92" s="261"/>
      <c r="M92" s="261"/>
      <c r="N92" s="261"/>
      <c r="O92" s="261"/>
      <c r="P92" s="261"/>
      <c r="Q92" s="261"/>
      <c r="R92" s="261"/>
      <c r="S92" s="261"/>
      <c r="T92" s="261"/>
      <c r="U92" s="261"/>
      <c r="V92" s="261"/>
      <c r="W92" s="261"/>
      <c r="X92" s="261"/>
      <c r="Y92" s="261"/>
      <c r="Z92" s="261"/>
    </row>
    <row r="93" spans="1:26" ht="25.5" customHeight="1">
      <c r="A93" s="261"/>
      <c r="B93" s="400" t="s">
        <v>90</v>
      </c>
      <c r="C93" s="176" t="s">
        <v>22</v>
      </c>
      <c r="D93" s="247"/>
      <c r="E93" s="247"/>
      <c r="F93" s="247">
        <f>I49</f>
        <v>9</v>
      </c>
      <c r="G93" s="247"/>
      <c r="H93" s="253"/>
      <c r="I93" s="164"/>
      <c r="J93" s="261"/>
      <c r="K93" s="261"/>
      <c r="L93" s="261"/>
      <c r="M93" s="261"/>
      <c r="N93" s="261"/>
      <c r="O93" s="261"/>
      <c r="P93" s="261"/>
      <c r="Q93" s="261"/>
      <c r="R93" s="261"/>
      <c r="S93" s="261"/>
      <c r="T93" s="261"/>
      <c r="U93" s="261"/>
      <c r="V93" s="261"/>
      <c r="W93" s="261"/>
      <c r="X93" s="261"/>
      <c r="Y93" s="261"/>
      <c r="Z93" s="261"/>
    </row>
    <row r="94" spans="1:26" ht="12.75">
      <c r="A94" s="261"/>
      <c r="B94" s="401"/>
      <c r="C94" s="176" t="s">
        <v>110</v>
      </c>
      <c r="D94" s="248">
        <f>I11</f>
        <v>237000</v>
      </c>
      <c r="E94" s="248">
        <f>D94</f>
        <v>237000</v>
      </c>
      <c r="F94" s="248">
        <f>E94</f>
        <v>237000</v>
      </c>
      <c r="G94" s="248">
        <f>F94</f>
        <v>237000</v>
      </c>
      <c r="H94" s="249"/>
      <c r="I94" s="164"/>
      <c r="J94" s="261"/>
      <c r="K94" s="261"/>
      <c r="L94" s="261"/>
      <c r="M94" s="261"/>
      <c r="N94" s="261"/>
      <c r="O94" s="261"/>
      <c r="P94" s="261"/>
      <c r="Q94" s="261"/>
      <c r="R94" s="261"/>
      <c r="S94" s="261"/>
      <c r="T94" s="261"/>
      <c r="U94" s="261"/>
      <c r="V94" s="261"/>
      <c r="W94" s="261"/>
      <c r="X94" s="261"/>
      <c r="Y94" s="261"/>
      <c r="Z94" s="261"/>
    </row>
    <row r="95" spans="1:26" ht="12.75">
      <c r="A95" s="261"/>
      <c r="B95" s="402"/>
      <c r="C95" s="250" t="s">
        <v>111</v>
      </c>
      <c r="D95" s="251"/>
      <c r="E95" s="251">
        <f>E94*E93</f>
        <v>0</v>
      </c>
      <c r="F95" s="251">
        <f>F94*F93</f>
        <v>2133000</v>
      </c>
      <c r="G95" s="251">
        <f>G94*G93</f>
        <v>0</v>
      </c>
      <c r="H95" s="252"/>
      <c r="I95" s="164"/>
      <c r="J95" s="261"/>
      <c r="K95" s="261"/>
      <c r="L95" s="261"/>
      <c r="M95" s="261"/>
      <c r="N95" s="261"/>
      <c r="O95" s="261"/>
      <c r="P95" s="261"/>
      <c r="Q95" s="261"/>
      <c r="R95" s="261"/>
      <c r="S95" s="261"/>
      <c r="T95" s="261"/>
      <c r="U95" s="261"/>
      <c r="V95" s="261"/>
      <c r="W95" s="261"/>
      <c r="X95" s="261"/>
      <c r="Y95" s="261"/>
      <c r="Z95" s="261"/>
    </row>
    <row r="96" spans="1:26" ht="12.75">
      <c r="A96" s="261"/>
      <c r="B96" s="146"/>
      <c r="C96" s="82"/>
      <c r="D96" s="82"/>
      <c r="E96" s="82"/>
      <c r="F96" s="82"/>
      <c r="G96" s="82"/>
      <c r="H96" s="82"/>
      <c r="I96" s="164"/>
      <c r="J96" s="261"/>
      <c r="K96" s="261"/>
      <c r="L96" s="261"/>
      <c r="M96" s="261"/>
      <c r="N96" s="261"/>
      <c r="O96" s="261"/>
      <c r="P96" s="261"/>
      <c r="Q96" s="261"/>
      <c r="R96" s="261"/>
      <c r="S96" s="261"/>
      <c r="T96" s="261"/>
      <c r="U96" s="261"/>
      <c r="V96" s="261"/>
      <c r="W96" s="261"/>
      <c r="X96" s="261"/>
      <c r="Y96" s="261"/>
      <c r="Z96" s="261"/>
    </row>
    <row r="97" spans="1:26" ht="12.75">
      <c r="A97" s="261"/>
      <c r="B97" s="78" t="s">
        <v>112</v>
      </c>
      <c r="C97" s="207"/>
      <c r="D97" s="207">
        <f>SUM(D77,D80,D83,D86,D89,D92,D95)</f>
        <v>0</v>
      </c>
      <c r="E97" s="207">
        <f>SUM(E77,E80,E83,E86,E89,E92,E95)</f>
        <v>7650164.845771145</v>
      </c>
      <c r="F97" s="207">
        <f>SUM(F77,F80,F83,F86,F89,F92,F95)</f>
        <v>10593064.887175154</v>
      </c>
      <c r="G97" s="207">
        <f>SUM(G77,G80,G83,G86,G89,G92,G95)</f>
        <v>2803564.267053701</v>
      </c>
      <c r="H97" s="207">
        <f>SUM(H77,H80,H83,H86,H89,H92,H95)</f>
        <v>0</v>
      </c>
      <c r="I97" s="209">
        <f>SUM(D97:H97)</f>
        <v>21046794</v>
      </c>
      <c r="J97" s="261"/>
      <c r="K97" s="261"/>
      <c r="L97" s="261"/>
      <c r="M97" s="261"/>
      <c r="N97" s="261"/>
      <c r="O97" s="261"/>
      <c r="P97" s="261"/>
      <c r="Q97" s="261"/>
      <c r="R97" s="261"/>
      <c r="S97" s="261"/>
      <c r="T97" s="261"/>
      <c r="U97" s="261"/>
      <c r="V97" s="261"/>
      <c r="W97" s="261"/>
      <c r="X97" s="261"/>
      <c r="Y97" s="261"/>
      <c r="Z97" s="261"/>
    </row>
    <row r="98" spans="1:26" ht="13.5" thickBot="1">
      <c r="A98" s="261"/>
      <c r="B98" s="151"/>
      <c r="C98" s="152"/>
      <c r="D98" s="152"/>
      <c r="E98" s="152"/>
      <c r="F98" s="152"/>
      <c r="G98" s="152"/>
      <c r="H98" s="152"/>
      <c r="I98" s="160"/>
      <c r="J98" s="261"/>
      <c r="K98" s="261"/>
      <c r="L98" s="261"/>
      <c r="M98" s="261"/>
      <c r="N98" s="261"/>
      <c r="O98" s="261"/>
      <c r="P98" s="261"/>
      <c r="Q98" s="261"/>
      <c r="R98" s="261"/>
      <c r="S98" s="261"/>
      <c r="T98" s="261"/>
      <c r="U98" s="261"/>
      <c r="V98" s="261"/>
      <c r="W98" s="261"/>
      <c r="X98" s="261"/>
      <c r="Y98" s="261"/>
      <c r="Z98" s="261"/>
    </row>
    <row r="99" spans="1:26" ht="12.75">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row>
    <row r="100" spans="1:26" ht="12.75">
      <c r="A100" s="261"/>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row>
    <row r="101" spans="1:26" ht="12.75">
      <c r="A101" s="261"/>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row>
    <row r="102" spans="1:26" ht="12.75">
      <c r="A102" s="261"/>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row>
    <row r="103" spans="1:26" ht="12.75">
      <c r="A103" s="261"/>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row>
    <row r="104" spans="1:26" ht="12.75">
      <c r="A104" s="261"/>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row>
    <row r="105" spans="1:26" ht="12.7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row>
    <row r="106" spans="1:26" ht="12.75">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row>
    <row r="107" spans="1:26" ht="12.75">
      <c r="A107" s="261"/>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row>
    <row r="108" spans="1:26" ht="12.75">
      <c r="A108" s="26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row>
    <row r="109" spans="1:26" ht="12.75">
      <c r="A109" s="26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row>
    <row r="110" spans="1:26" ht="12.75">
      <c r="A110" s="26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row>
    <row r="111" spans="1:26" ht="12.75">
      <c r="A111" s="261"/>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row>
    <row r="112" spans="1:26" ht="12.75">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row>
    <row r="113" spans="1:26" ht="12.75">
      <c r="A113" s="26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row>
    <row r="114" spans="1:26" ht="12.75">
      <c r="A114" s="26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row>
    <row r="115" spans="1:26" ht="12.75">
      <c r="A115" s="261"/>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row>
    <row r="116" spans="1:26" ht="12.75">
      <c r="A116" s="261"/>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row>
    <row r="117" spans="1:26" ht="12.75">
      <c r="A117" s="26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row>
    <row r="118" spans="1:26" ht="12.75">
      <c r="A118" s="261"/>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row>
    <row r="119" spans="1:26" ht="12.75">
      <c r="A119" s="261"/>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row>
    <row r="120" spans="1:26" ht="12.75">
      <c r="A120" s="261"/>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row>
    <row r="121" spans="1:26" ht="12.75">
      <c r="A121" s="261"/>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row>
    <row r="122" spans="1:26" ht="12.75">
      <c r="A122" s="261"/>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row>
    <row r="123" spans="1:26" ht="12.75">
      <c r="A123" s="261"/>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row>
    <row r="124" spans="1:26" ht="12.75">
      <c r="A124" s="261"/>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1:26" ht="12.75">
      <c r="A125" s="261"/>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row>
    <row r="126" spans="1:26" ht="12.75">
      <c r="A126" s="261"/>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row>
    <row r="127" spans="1:26" ht="12.75">
      <c r="A127" s="261"/>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row>
    <row r="128" spans="1:26" ht="12.75">
      <c r="A128" s="261"/>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1:26" ht="12.75">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1:26" ht="12.75">
      <c r="A130" s="26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1:26" ht="12.75">
      <c r="A131" s="26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1:26" ht="12.75">
      <c r="A132" s="26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1:26" ht="12.75">
      <c r="A133" s="26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1:26" ht="12.7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1:26" ht="12.75">
      <c r="A135" s="26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1:26" ht="12.75">
      <c r="A136" s="26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1:26" ht="12.75">
      <c r="A137" s="261"/>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row>
    <row r="138" spans="1:26" ht="12.75">
      <c r="A138" s="261"/>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1:26" ht="12.75">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row>
    <row r="140" spans="1:26" ht="12.75">
      <c r="A140" s="261"/>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row>
    <row r="141" spans="1:26" ht="12.75">
      <c r="A141" s="261"/>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row>
    <row r="142" spans="1:26" ht="12.75">
      <c r="A142" s="261"/>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row>
    <row r="143" spans="1:26" ht="12.75">
      <c r="A143" s="261"/>
      <c r="B143" s="261"/>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row>
    <row r="144" spans="1:26" ht="12.75">
      <c r="A144" s="261"/>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row>
    <row r="145" spans="1:26" ht="12.75">
      <c r="A145" s="261"/>
      <c r="B145" s="261"/>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row>
    <row r="146" spans="1:26" ht="12.75">
      <c r="A146" s="261"/>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row>
    <row r="147" spans="1:26" ht="12.75">
      <c r="A147" s="261"/>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row>
    <row r="148" spans="1:26" ht="12.75">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row>
    <row r="149" spans="1:26" ht="12.75">
      <c r="A149" s="261"/>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row>
    <row r="150" spans="1:9" ht="12.75">
      <c r="A150" s="261"/>
      <c r="B150" s="261"/>
      <c r="C150" s="261"/>
      <c r="D150" s="261"/>
      <c r="E150" s="261"/>
      <c r="F150" s="261"/>
      <c r="G150" s="261"/>
      <c r="H150" s="261"/>
      <c r="I150" s="261"/>
    </row>
  </sheetData>
  <sheetProtection/>
  <mergeCells count="7">
    <mergeCell ref="B87:B89"/>
    <mergeCell ref="B90:B92"/>
    <mergeCell ref="B93:B95"/>
    <mergeCell ref="B75:B77"/>
    <mergeCell ref="B78:B80"/>
    <mergeCell ref="B81:B83"/>
    <mergeCell ref="B84:B86"/>
  </mergeCells>
  <printOptions/>
  <pageMargins left="0.75" right="0.75" top="1" bottom="1" header="0.5" footer="0.5"/>
  <pageSetup orientation="portrait" paperSize="9"/>
  <ignoredErrors>
    <ignoredError sqref="E66:F66 K19 J47 J51" formulaRange="1"/>
    <ignoredError sqref="D48"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 Transportation Project</dc:title>
  <dc:subject/>
  <dc:creator>MCC</dc:creator>
  <cp:keywords/>
  <dc:description/>
  <cp:lastModifiedBy>Scarcelli, Sarah K (DPE/DPE-FO)</cp:lastModifiedBy>
  <cp:lastPrinted>2005-04-22T21:38:40Z</cp:lastPrinted>
  <dcterms:created xsi:type="dcterms:W3CDTF">2004-11-26T22:02:54Z</dcterms:created>
  <dcterms:modified xsi:type="dcterms:W3CDTF">2012-12-31T17:56:34Z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