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205" windowHeight="8025" tabRatio="598" firstSheet="1" activeTab="1"/>
  </bookViews>
  <sheets>
    <sheet name="CB_DATA_" sheetId="1" state="veryHidden" r:id="rId1"/>
    <sheet name="User's Guide" sheetId="2" r:id="rId2"/>
    <sheet name="Activity Description" sheetId="3" r:id="rId3"/>
    <sheet name="ERR &amp; Sensitivity Analysis" sheetId="4" r:id="rId4"/>
    <sheet name="Cost-Benefit Summary" sheetId="5" r:id="rId5"/>
    <sheet name="Assumptions" sheetId="6" r:id="rId6"/>
    <sheet name="User costs" sheetId="7" r:id="rId7"/>
    <sheet name="Disease reduction" sheetId="8" r:id="rId8"/>
    <sheet name="Community Statistics" sheetId="9" r:id="rId9"/>
    <sheet name="NRW" sheetId="10" r:id="rId10"/>
    <sheet name="Notes" sheetId="11" r:id="rId11"/>
  </sheets>
  <externalReferences>
    <externalReference r:id="rId14"/>
    <externalReference r:id="rId15"/>
    <externalReference r:id="rId16"/>
    <externalReference r:id="rId17"/>
    <externalReference r:id="rId18"/>
  </externalReferences>
  <definedNames>
    <definedName name="Addgrow">#REF!</definedName>
    <definedName name="annwage">#REF!</definedName>
    <definedName name="avgwage">'[1]Key Assumptions'!$G$9</definedName>
    <definedName name="CB_067b4d623c8d48a886245ff9a7fd53c9" localSheetId="5" hidden="1">'Assumptions'!$C$87</definedName>
    <definedName name="CB_170c7c08cb094de7ac5f551a06f312c3" localSheetId="4" hidden="1">'Cost-Benefit Summary'!$F$29</definedName>
    <definedName name="CB_1f55d0f5721542f19c82ceb29df8532b" localSheetId="4" hidden="1">'Cost-Benefit Summary'!$F$27</definedName>
    <definedName name="CB_2b5d839e1d724821bc3fc38f4946d9fe" localSheetId="5" hidden="1">'Assumptions'!$C$28</definedName>
    <definedName name="CB_34a2030f34e34028822f906b348651f8" localSheetId="5" hidden="1">#N/A</definedName>
    <definedName name="CB_495301d72a4940cf83d985f55f1e6d28" localSheetId="5" hidden="1">'Assumptions'!$C$13</definedName>
    <definedName name="CB_4e85f0601e744d1398d6d96df0d3770c" localSheetId="3" hidden="1">'ERR &amp; Sensitivity Analysis'!$D$10</definedName>
    <definedName name="CB_60120a33c5284d8b951f468abde664f3" localSheetId="5" hidden="1">'Assumptions'!$C$88</definedName>
    <definedName name="CB_6a5821626055446a9becd9bc43722377" localSheetId="5" hidden="1">'Assumptions'!$H$26</definedName>
    <definedName name="CB_7e256d273b6c459a8684028feaa31ef1" localSheetId="0" hidden="1">#N/A</definedName>
    <definedName name="CB_84dd19ede6db4cd9b90ce7c0fd71dece" localSheetId="5" hidden="1">'Assumptions'!$C$86</definedName>
    <definedName name="CB_b7d9bff0ba22484687be41ba1514b753" localSheetId="5" hidden="1">'Assumptions'!$C$19</definedName>
    <definedName name="CB_d2485d12ff8d45f592c17116919bb733" localSheetId="3" hidden="1">'ERR &amp; Sensitivity Analysis'!$D$11</definedName>
    <definedName name="CB_dc9c33a0df1d493e8fc4994d95d73a16" localSheetId="0" hidden="1">#N/A</definedName>
    <definedName name="CB_e0515edce4df4b4c87a3d88b8685b2d5" localSheetId="5" hidden="1">'Assumptions'!$C$77</definedName>
    <definedName name="CB_eabb5f5cd8cf4465b6108cd496e87983" localSheetId="5" hidden="1">'Assumptions'!$C$27</definedName>
    <definedName name="CBCR_37383e216949456caee43cbd06448302" localSheetId="5" hidden="1">'Assumptions'!$M$1:$M$3360</definedName>
    <definedName name="CBCR_486d200899134697b8373d07f4212115" localSheetId="5" hidden="1">'Assumptions'!$E$112:$G$134</definedName>
    <definedName name="CBCR_COL_0" localSheetId="5" hidden="1">'Assumptions'!$J:$J</definedName>
    <definedName name="CBCR_COL_1" localSheetId="5" hidden="1">'Assumptions'!$I:$I</definedName>
    <definedName name="CBCR_COL_2" localSheetId="5" hidden="1">'Assumptions'!$H:$H</definedName>
    <definedName name="CBCR_COL_3" localSheetId="5" hidden="1">'Assumptions'!$G:$G</definedName>
    <definedName name="CBCR_COL_4" localSheetId="5" hidden="1">'Assumptions'!$E:$E</definedName>
    <definedName name="CBWorkbookPriority" localSheetId="0" hidden="1">-1802552942</definedName>
    <definedName name="CBx_0377ce9876ce440aa33ce6c75805b6df" localSheetId="0" hidden="1">"'CB_DATA_'!$A$1"</definedName>
    <definedName name="CBx_3e2e2d5e391f404682a9e6bb6b0ccefb" localSheetId="0" hidden="1">"'ERR &amp; Sensitivity Analysis'!$A$1"</definedName>
    <definedName name="CBx_908f70d026e043a8ac25cd8ae6ac609f" localSheetId="0" hidden="1">"'Assumptions'!$A$1"</definedName>
    <definedName name="CBx_bf27d36e51aa4f95aaf5cf48eca56517" localSheetId="0" hidden="1">"'NRW'!$A$1"</definedName>
    <definedName name="CBx_d93707e20a5b4d458c67881dab0636d8" localSheetId="0" hidden="1">"'ERR'!$A$1"</definedName>
    <definedName name="CBx_Sheet_Guid" localSheetId="5" hidden="1">"'908f70d0-26e0-43a8-ac25-cd8ae6ac609f"</definedName>
    <definedName name="CBx_Sheet_Guid" localSheetId="0" hidden="1">"'0377ce98-76ce-440a-a33c-e6c75805b6df"</definedName>
    <definedName name="CBx_Sheet_Guid" localSheetId="4" hidden="1">"'d93707e2-0a5b-4d45-8c67-881dab0636d8"</definedName>
    <definedName name="CBx_Sheet_Guid" localSheetId="3" hidden="1">"'3e2e2d5e-391f-4046-82a9-e6bb6b0ccefb"</definedName>
    <definedName name="CBx_Sheet_Guid" localSheetId="9" hidden="1">"'bf27d36e-51aa-4f95-aaf5-cf48eca56517"</definedName>
    <definedName name="CBx_StorageType" localSheetId="5" hidden="1">1</definedName>
    <definedName name="CBx_StorageType" localSheetId="0" hidden="1">1</definedName>
    <definedName name="CBx_StorageType" localSheetId="4" hidden="1">1</definedName>
    <definedName name="disc">'[3]Assumptions'!#REF!</definedName>
    <definedName name="disease_cases">'[3]Assumptions'!#REF!</definedName>
    <definedName name="DPY">'[1]Key Assumptions'!$G$24</definedName>
    <definedName name="ECF">'[2]LU'!$AF$8</definedName>
    <definedName name="eduwageadd">'[3]Morogoro'!$K$31</definedName>
    <definedName name="eduwagenr">'[3]Morogoro'!$K$29</definedName>
    <definedName name="exch">'[3]Assumptions'!$F$7</definedName>
    <definedName name="grow">'[3]Assumptions'!$F$8</definedName>
    <definedName name="infl">'[1]Key Assumptions'!$G$38</definedName>
    <definedName name="LCC">'[1]Key Assumptions'!$G$38</definedName>
    <definedName name="Lessgrow">#REF!</definedName>
    <definedName name="list">'[3]Assumptions'!#REF!</definedName>
    <definedName name="lpb">'[3]Assumptions'!$F$6</definedName>
    <definedName name="LU1">'[2]LU'!$A$3:$V$57</definedName>
    <definedName name="LUsum">'[2]Summary'!$A$6:$S$16</definedName>
    <definedName name="lva">'[1]Key Assumptions'!$G$37</definedName>
    <definedName name="nmarkup">'[3]Assumptions'!#REF!</definedName>
    <definedName name="omcost">'[3]Assumptions'!$F$9</definedName>
    <definedName name="prod">'[4]Key Assumptions'!$H$41</definedName>
    <definedName name="UWSSA">'[3]Assumptions'!$E$14:$E$16</definedName>
    <definedName name="Year1">'[3]Assumptions'!$F$5</definedName>
  </definedNames>
  <calcPr fullCalcOnLoad="1"/>
</workbook>
</file>

<file path=xl/comments10.xml><?xml version="1.0" encoding="utf-8"?>
<comments xmlns="http://schemas.openxmlformats.org/spreadsheetml/2006/main">
  <authors>
    <author>Andrew Carter</author>
  </authors>
  <commentList>
    <comment ref="C6" authorId="0">
      <text>
        <r>
          <rPr>
            <sz val="10"/>
            <rFont val="Arial"/>
            <family val="0"/>
          </rPr>
          <t>MCC:</t>
        </r>
        <r>
          <rPr>
            <sz val="10"/>
            <rFont val="Arial"/>
            <family val="0"/>
          </rPr>
          <t xml:space="preserve">
2009 average</t>
        </r>
      </text>
    </comment>
  </commentList>
</comments>
</file>

<file path=xl/comments8.xml><?xml version="1.0" encoding="utf-8"?>
<comments xmlns="http://schemas.openxmlformats.org/spreadsheetml/2006/main">
  <authors>
    <author>Andrew Carter</author>
  </authors>
  <commentList>
    <comment ref="C14" authorId="0">
      <text>
        <r>
          <rPr>
            <sz val="10"/>
            <rFont val="Arial"/>
            <family val="0"/>
          </rPr>
          <t>MCC:</t>
        </r>
        <r>
          <rPr>
            <sz val="10"/>
            <rFont val="Arial"/>
            <family val="0"/>
          </rPr>
          <t xml:space="preserve">
Multiplied by 2 to reach Ghana Rural Minimum wage, assuming this is opportunity cost.</t>
        </r>
      </text>
    </comment>
  </commentList>
</comments>
</file>

<file path=xl/sharedStrings.xml><?xml version="1.0" encoding="utf-8"?>
<sst xmlns="http://schemas.openxmlformats.org/spreadsheetml/2006/main" count="723" uniqueCount="350">
  <si>
    <t>Benefits</t>
  </si>
  <si>
    <t>Disease reduction</t>
  </si>
  <si>
    <t>Income generation</t>
  </si>
  <si>
    <t>User-cost savings</t>
  </si>
  <si>
    <t>Time</t>
  </si>
  <si>
    <t>Cost</t>
  </si>
  <si>
    <t>Costs</t>
  </si>
  <si>
    <t>Initial capital costs</t>
  </si>
  <si>
    <t>Recurring costs</t>
  </si>
  <si>
    <t>Year</t>
  </si>
  <si>
    <t>Total benefits</t>
  </si>
  <si>
    <t>Total costs</t>
  </si>
  <si>
    <t>Net benefits</t>
  </si>
  <si>
    <t>ERR</t>
  </si>
  <si>
    <t>Assumptions</t>
  </si>
  <si>
    <t>Cost of initial investment</t>
  </si>
  <si>
    <t>thousands US$</t>
  </si>
  <si>
    <t>households</t>
  </si>
  <si>
    <t>Avg. size of household</t>
  </si>
  <si>
    <t>people</t>
  </si>
  <si>
    <t>hours</t>
  </si>
  <si>
    <t>$/liter</t>
  </si>
  <si>
    <t>thousands US$/year</t>
  </si>
  <si>
    <t>Expected increase in investment due to MCC project</t>
  </si>
  <si>
    <t>%</t>
  </si>
  <si>
    <t>%/year</t>
  </si>
  <si>
    <t>Avg. GDP growth rate</t>
  </si>
  <si>
    <t>Avg. population growth rate</t>
  </si>
  <si>
    <r>
      <t xml:space="preserve">Rosen, S. and Vincent, J.  (1999).  "Household Water Resources and Rural Productivity in Sub-Saharan Africa: A Review of the Evidence."  </t>
    </r>
    <r>
      <rPr>
        <sz val="10"/>
        <rFont val="Arial"/>
        <family val="2"/>
      </rPr>
      <t>Development Discussion Paper No. 673</t>
    </r>
    <r>
      <rPr>
        <sz val="10"/>
        <rFont val="Arial"/>
        <family val="0"/>
      </rPr>
      <t>, Harvard Institute for International Development.</t>
    </r>
  </si>
  <si>
    <t>Actual costs as a percentage of estimated costs</t>
  </si>
  <si>
    <t>Total benefits as a percentage of estimated benefits</t>
  </si>
  <si>
    <t>All figures in thousands of US$</t>
  </si>
  <si>
    <t>Standpipe</t>
  </si>
  <si>
    <t>Neighbor</t>
  </si>
  <si>
    <t>Truck purchase</t>
  </si>
  <si>
    <t>Spring or stream</t>
  </si>
  <si>
    <t>Other</t>
  </si>
  <si>
    <t>With project</t>
  </si>
  <si>
    <t>Households</t>
  </si>
  <si>
    <t>System</t>
  </si>
  <si>
    <t>w/o project</t>
  </si>
  <si>
    <t>w/ project</t>
  </si>
  <si>
    <t>w/o proj %</t>
  </si>
  <si>
    <t>w/ proj %</t>
  </si>
  <si>
    <t>L/person/day</t>
  </si>
  <si>
    <t>Usage</t>
  </si>
  <si>
    <t>Current system capacity</t>
  </si>
  <si>
    <t>System capacity with project</t>
  </si>
  <si>
    <t>hours/day</t>
  </si>
  <si>
    <t>Water use</t>
  </si>
  <si>
    <t>Cost savings</t>
  </si>
  <si>
    <t>Without project</t>
  </si>
  <si>
    <t>liters</t>
  </si>
  <si>
    <t>Opportunity cost</t>
  </si>
  <si>
    <t>Total costs without project</t>
  </si>
  <si>
    <t>Total</t>
  </si>
  <si>
    <t>Connections</t>
  </si>
  <si>
    <t>Total costs with project</t>
  </si>
  <si>
    <t>years</t>
  </si>
  <si>
    <t>Benefits will begin in Year</t>
  </si>
  <si>
    <t>Benefits will be phased in until Year</t>
  </si>
  <si>
    <t>Total user cost savings</t>
  </si>
  <si>
    <t>Opportunity cost savings</t>
  </si>
  <si>
    <t>Ratio of operation and maintenance costs to capital costs</t>
  </si>
  <si>
    <t>Population of impact area</t>
  </si>
  <si>
    <t>Water usage statistics</t>
  </si>
  <si>
    <t>Type of connection</t>
  </si>
  <si>
    <t>Benefits?</t>
  </si>
  <si>
    <t>Years of partial benefits</t>
  </si>
  <si>
    <t>change</t>
  </si>
  <si>
    <t>Phasing</t>
  </si>
  <si>
    <t>Full or partial benefits?</t>
  </si>
  <si>
    <t>Incidence</t>
  </si>
  <si>
    <t>Annual GDP</t>
  </si>
  <si>
    <t>Population</t>
  </si>
  <si>
    <t>Increase in GDP due to reduced disease</t>
  </si>
  <si>
    <t>GDP per capita</t>
  </si>
  <si>
    <t>US$</t>
  </si>
  <si>
    <t>GDP</t>
  </si>
  <si>
    <t>Economy</t>
  </si>
  <si>
    <t>Project cost</t>
  </si>
  <si>
    <t>Water usage</t>
  </si>
  <si>
    <t>Sources of water</t>
  </si>
  <si>
    <t>Present conditions</t>
  </si>
  <si>
    <t>of estimated benefits</t>
  </si>
  <si>
    <t>per year</t>
  </si>
  <si>
    <t>thousands US$ / year</t>
  </si>
  <si>
    <t>of households</t>
  </si>
  <si>
    <t>of capital costs</t>
  </si>
  <si>
    <t>of estimated costs</t>
  </si>
  <si>
    <t>liters / person / day</t>
  </si>
  <si>
    <t>Project targets</t>
  </si>
  <si>
    <t>Cost water to consumers</t>
  </si>
  <si>
    <t>Water system characteristics</t>
  </si>
  <si>
    <t>Project benefits</t>
  </si>
  <si>
    <t>Disease</t>
  </si>
  <si>
    <t>Annual reduction in disease from without project scenario</t>
  </si>
  <si>
    <t>Target</t>
  </si>
  <si>
    <t>Current ERR =</t>
  </si>
  <si>
    <t xml:space="preserve"> </t>
  </si>
  <si>
    <t>DALYs for a disease or health condition are calculated as the sum of the years of life lost due to premature mortality (YLL) in the population and the years lost due to disability (YLD) for incident cases of the health condition:</t>
  </si>
  <si>
    <t>The years of life lost (YLL) basically correspond to the number of deaths multiplied by the standard life expectancy at the age at which death occurs.  The basic formula for YLL (without yet including other social preferences discussed below), is the following for a given cause, age and sex:</t>
  </si>
  <si>
    <t>Change in Connections</t>
  </si>
  <si>
    <t>Average Liters</t>
  </si>
  <si>
    <t xml:space="preserve">households   </t>
  </si>
  <si>
    <r>
      <t>Current system capacity</t>
    </r>
    <r>
      <rPr>
        <b/>
        <sz val="10"/>
        <color indexed="10"/>
        <rFont val="Arial"/>
        <family val="2"/>
      </rPr>
      <t xml:space="preserve"> </t>
    </r>
  </si>
  <si>
    <t>$/m3</t>
  </si>
  <si>
    <t>System Characteristics</t>
  </si>
  <si>
    <t>Project Costs</t>
  </si>
  <si>
    <t>% of changing households</t>
  </si>
  <si>
    <t>Total households changing connections</t>
  </si>
  <si>
    <t>Changing Households</t>
  </si>
  <si>
    <t>To piped system</t>
  </si>
  <si>
    <r>
      <t xml:space="preserve">Values in </t>
    </r>
    <r>
      <rPr>
        <i/>
        <sz val="10"/>
        <color indexed="12"/>
        <rFont val="Arial"/>
        <family val="2"/>
      </rPr>
      <t>blue</t>
    </r>
    <r>
      <rPr>
        <i/>
        <sz val="10"/>
        <rFont val="Arial"/>
        <family val="2"/>
      </rPr>
      <t xml:space="preserve"> type are assumptions intended to be entered by the user.  Values in black type are calculated by the model based on the assumptions in blue.</t>
    </r>
  </si>
  <si>
    <t>Current value added of businesses in impact area</t>
  </si>
  <si>
    <t>Business response to increased water</t>
  </si>
  <si>
    <t>increase in value added</t>
  </si>
  <si>
    <t>Increased value added by businesses</t>
  </si>
  <si>
    <t>Households in impact area</t>
  </si>
  <si>
    <t>Simplified Water &amp; Sanitation Model</t>
  </si>
  <si>
    <t>Expected reduction in water-
   borne disease</t>
  </si>
  <si>
    <t>less than 
   without project</t>
  </si>
  <si>
    <t>Average daily wage of water gatherer</t>
  </si>
  <si>
    <t>Average hourly wage of water gatherer</t>
  </si>
  <si>
    <t>Changes in the cost of water for users</t>
  </si>
  <si>
    <t>UN population estimates to 2030</t>
  </si>
  <si>
    <t>Piped outside</t>
  </si>
  <si>
    <t>Tanker</t>
  </si>
  <si>
    <t>Dam</t>
  </si>
  <si>
    <t>River</t>
  </si>
  <si>
    <t>Well</t>
  </si>
  <si>
    <t>Borehole</t>
  </si>
  <si>
    <t>Piped inside</t>
  </si>
  <si>
    <t>Assumed to be half of the Ghanian Minimum wage of 4.48 Cedi per day</t>
  </si>
  <si>
    <t>Exchange rate, March 2013</t>
  </si>
  <si>
    <t>With Project</t>
  </si>
  <si>
    <t>Current Tariff Rate</t>
  </si>
  <si>
    <t>Tamale Feasibility Report, page 72</t>
  </si>
  <si>
    <t>Consumption</t>
  </si>
  <si>
    <t>60lpcpd for house, 20lpcpd for public, engineering report, pg 20</t>
  </si>
  <si>
    <t>Tariff</t>
  </si>
  <si>
    <t>GH 66/m3 in engineering report, pg 83 and economic analysis</t>
  </si>
  <si>
    <t>Rural Community</t>
  </si>
  <si>
    <t>Feasibility Report, page 50</t>
  </si>
  <si>
    <t>Wamale</t>
  </si>
  <si>
    <t>Chanzeni</t>
  </si>
  <si>
    <t>Zuo</t>
  </si>
  <si>
    <t>Gbabshe</t>
  </si>
  <si>
    <t>Moglaa</t>
  </si>
  <si>
    <t>Ligba</t>
  </si>
  <si>
    <t>Tootenyili</t>
  </si>
  <si>
    <t>Tibale</t>
  </si>
  <si>
    <t>Kpendua</t>
  </si>
  <si>
    <t>Agric. Stat.</t>
  </si>
  <si>
    <t>Pong Tamale</t>
  </si>
  <si>
    <t>Pong</t>
  </si>
  <si>
    <t>Ginjani</t>
  </si>
  <si>
    <t>Dimamzugu</t>
  </si>
  <si>
    <t>Gawogu Kpasolgu</t>
  </si>
  <si>
    <t>Botanga</t>
  </si>
  <si>
    <t>Fando</t>
  </si>
  <si>
    <t>Logoshiegu</t>
  </si>
  <si>
    <t>Dalun corridor</t>
  </si>
  <si>
    <t>Tamale metropolitan Area</t>
  </si>
  <si>
    <t>Savelugu-Nanton District</t>
  </si>
  <si>
    <t>Tolon Kumbugu District</t>
  </si>
  <si>
    <t>SRC</t>
  </si>
  <si>
    <t>RC</t>
  </si>
  <si>
    <t>Community Type</t>
  </si>
  <si>
    <t>Community</t>
  </si>
  <si>
    <t>TI</t>
  </si>
  <si>
    <t>Population (2009)</t>
  </si>
  <si>
    <t>Taken from DCS data, DCS report pg 44</t>
  </si>
  <si>
    <t>Use of house pipes</t>
  </si>
  <si>
    <t>Use of public pipes</t>
  </si>
  <si>
    <t>DCS Phase 1 Report, MIDA, page 45</t>
  </si>
  <si>
    <t>DCS Phase 1 report, page 46</t>
  </si>
  <si>
    <t>DCS Phase 3 report, pages 13, 15, &amp; 18.</t>
  </si>
  <si>
    <t>Time (with project)</t>
  </si>
  <si>
    <t>Time (w/o project)</t>
  </si>
  <si>
    <t>% of respondents</t>
  </si>
  <si>
    <t>Days lost, in last two weeks, due to illness</t>
  </si>
  <si>
    <t>Travelled to a Health Facility</t>
  </si>
  <si>
    <t>Had a consultation for illness</t>
  </si>
  <si>
    <t>Cost of Consulation</t>
  </si>
  <si>
    <t>Cost of travel to Health Facility</t>
  </si>
  <si>
    <t>Cost of Hospitalization (average across sick populace)</t>
  </si>
  <si>
    <t>Cost of Medicine (average across sick populace)</t>
  </si>
  <si>
    <t>Days/two weeks</t>
  </si>
  <si>
    <t>Total incidents (sickness)</t>
  </si>
  <si>
    <t>Days lost due to sickness</t>
  </si>
  <si>
    <t>Financial Loss</t>
  </si>
  <si>
    <t>Distance to Water (w/o project)</t>
  </si>
  <si>
    <t>km</t>
  </si>
  <si>
    <t>Distance to water (w/ project)</t>
  </si>
  <si>
    <t>Without Project time to collect water</t>
  </si>
  <si>
    <t>With Project time to collect water</t>
  </si>
  <si>
    <t>Load carried per trip</t>
  </si>
  <si>
    <t>Time per trip (w/o project)</t>
  </si>
  <si>
    <t>Time per trip (w/ project)</t>
  </si>
  <si>
    <t>minutes/day</t>
  </si>
  <si>
    <t>Semi Rural Community</t>
  </si>
  <si>
    <t>Tertiary Institution</t>
  </si>
  <si>
    <t>Water Usage w/p</t>
  </si>
  <si>
    <t>US$1.13/m3</t>
  </si>
  <si>
    <t>TWEP Feasibility Report notes that a 1.13 US$ tariff will cover O&amp;M on the system.</t>
  </si>
  <si>
    <t>Sickness Expenses</t>
  </si>
  <si>
    <t>Total Incidents</t>
  </si>
  <si>
    <t>Days lost</t>
  </si>
  <si>
    <t>Loss without project</t>
  </si>
  <si>
    <t>Loss with project</t>
  </si>
  <si>
    <t>Time spent obtaining water per household</t>
  </si>
  <si>
    <t>Domestic Water Carrying and It's Impact on Health, Jo-Anne L Geere</t>
  </si>
  <si>
    <t>Taken from TAMA, SNDA, TKDA community populations.  TWEP feasibility page IX</t>
  </si>
  <si>
    <t>Source: Ghana Statistical Service (GSS) 2010 Population and Housing Censuspage 43 of DCS report</t>
  </si>
  <si>
    <t>Phase 3 report, page 18, liters per household</t>
  </si>
  <si>
    <t>NRW Dalun Corridor</t>
  </si>
  <si>
    <t>Water Pumped From Dalun WTW</t>
  </si>
  <si>
    <t>m3/month</t>
  </si>
  <si>
    <t>Water losses from Dalun WTW</t>
  </si>
  <si>
    <t>Water losses From Dalun WTW</t>
  </si>
  <si>
    <t>Revenue losses from Dalun WTW</t>
  </si>
  <si>
    <t>$000/year</t>
  </si>
  <si>
    <t>Water received from Dalun WTW</t>
  </si>
  <si>
    <t>Losses w/o project</t>
  </si>
  <si>
    <t>NRW losses, Dalun Corridor</t>
  </si>
  <si>
    <t>Losses w/ project</t>
  </si>
  <si>
    <t>Savings With Project</t>
  </si>
  <si>
    <t>Incidents/years</t>
  </si>
  <si>
    <t>Days/year</t>
  </si>
  <si>
    <t>Incidents/year</t>
  </si>
  <si>
    <t>Years</t>
  </si>
  <si>
    <t>Tamale Costs, Q20 ITT</t>
  </si>
  <si>
    <t>Ghana-US Exchange rate, 2012</t>
  </si>
  <si>
    <t>Ghana-US Exchange Rate, 2010</t>
  </si>
  <si>
    <t>thousands 2012 US$</t>
  </si>
  <si>
    <t>2012 US$ / day</t>
  </si>
  <si>
    <t>2012 US$ / hour</t>
  </si>
  <si>
    <t>2012 US$/GHC</t>
  </si>
  <si>
    <t>2005 US$</t>
  </si>
  <si>
    <r>
      <t>2012 US$ / m</t>
    </r>
    <r>
      <rPr>
        <vertAlign val="superscript"/>
        <sz val="10"/>
        <rFont val="Arial"/>
        <family val="2"/>
      </rPr>
      <t>3</t>
    </r>
  </si>
  <si>
    <t>GWCL monthly water production, 2009.  Feasibility Draft Report, pgXIV.  We have no data on what % of losses are due to leakage or reduction in leakage, impact left out until further data is acquired.</t>
  </si>
  <si>
    <t>Authors Calculations, GLSS5 dataset.  As hospital costs are a transfer, they are not counted as benefits</t>
  </si>
  <si>
    <t>Feasibility Report, page 75, lowest Viable tariff.  Adjusted to 2012 USD Using October 2012 IMF Deflation</t>
  </si>
  <si>
    <t>Was sick in the last two weeks</t>
  </si>
  <si>
    <t>ERR and sensitivity analysis</t>
  </si>
  <si>
    <r>
      <t xml:space="preserve">Change the </t>
    </r>
    <r>
      <rPr>
        <sz val="10"/>
        <color indexed="12"/>
        <rFont val="Arial"/>
        <family val="2"/>
      </rPr>
      <t>"User Input"</t>
    </r>
    <r>
      <rPr>
        <sz val="10"/>
        <rFont val="Arial"/>
        <family val="2"/>
      </rPr>
      <t xml:space="preserve"> cells in the table below to see the effect on the compact's Economic Rate of Return (ERR) and net benefits (see chart below).  To reset all values to the default MCC estimates, click the </t>
    </r>
    <r>
      <rPr>
        <sz val="10"/>
        <color indexed="12"/>
        <rFont val="Arial"/>
        <family val="2"/>
      </rPr>
      <t xml:space="preserve">"Reset Parameters" </t>
    </r>
    <r>
      <rPr>
        <sz val="10"/>
        <rFont val="Arial"/>
        <family val="2"/>
      </rPr>
      <t>button at right.  Be sure to reset all summary parameters to their original values ("MCC Estimate" values) before changing specific parameters.</t>
    </r>
  </si>
  <si>
    <t>Parameter type</t>
  </si>
  <si>
    <t>Description of key parameters</t>
  </si>
  <si>
    <t>Parameter values</t>
  </si>
  <si>
    <t>User Input</t>
  </si>
  <si>
    <t>MCC Estimate</t>
  </si>
  <si>
    <t>Plausible Range</t>
  </si>
  <si>
    <t xml:space="preserve">Values used in ERR computation </t>
  </si>
  <si>
    <t>All summary parameters set to initial values?</t>
  </si>
  <si>
    <t>Summary</t>
  </si>
  <si>
    <t>80%-120%</t>
  </si>
  <si>
    <t>Actual benefits as a percentage of estimated benefits</t>
  </si>
  <si>
    <t xml:space="preserve">User Generated Economic rate of return (ERR)*: </t>
  </si>
  <si>
    <t>MCC Estimated ERRs:</t>
  </si>
  <si>
    <t>Original</t>
  </si>
  <si>
    <t>Revised</t>
  </si>
  <si>
    <t>Closeout</t>
  </si>
  <si>
    <t>Date</t>
  </si>
  <si>
    <t>Ghana I</t>
  </si>
  <si>
    <t>NA</t>
  </si>
  <si>
    <t>Net Present Value Benefits</t>
  </si>
  <si>
    <t>Net Present Value Costs</t>
  </si>
  <si>
    <t>Total Net Present Value</t>
  </si>
  <si>
    <t>Expected Tariff, piped</t>
  </si>
  <si>
    <r>
      <t>2010 US$ / m</t>
    </r>
    <r>
      <rPr>
        <vertAlign val="superscript"/>
        <sz val="10"/>
        <rFont val="Arial"/>
        <family val="2"/>
      </rPr>
      <t>3</t>
    </r>
  </si>
  <si>
    <t>Population Growth, historical</t>
  </si>
  <si>
    <t>MCC Estimated Net Present Value (NPV) (Thousands USD):</t>
  </si>
  <si>
    <t>User Generated Net Present Value (NPV) (Thousands USD):</t>
  </si>
  <si>
    <t>Components</t>
  </si>
  <si>
    <t xml:space="preserve">     1.  Consistency with the norms, standards, policies and strategic plans of the Ministry of Education, Science and Sports and the Ghana 
           Educational Service.</t>
  </si>
  <si>
    <t xml:space="preserve">     2.  Community commitment to the construction through contributions of cash or other property (including land or raw material) or labor.</t>
  </si>
  <si>
    <r>
      <t xml:space="preserve">     3.  Adequate provision for operating costs (including staffing, as well as the operation and maintenance, of the facilities) and cost recovery 
           mechanisms adopted by MiDA (Millennium Development Authority)</t>
    </r>
    <r>
      <rPr>
        <vertAlign val="superscript"/>
        <sz val="8"/>
        <rFont val="Arial"/>
        <family val="2"/>
      </rPr>
      <t>1</t>
    </r>
    <r>
      <rPr>
        <sz val="10"/>
        <rFont val="Arial"/>
        <family val="2"/>
      </rPr>
      <t xml:space="preserve"> with approval of MCC.</t>
    </r>
  </si>
  <si>
    <t xml:space="preserve">     4.  Location within a district in which the Agriculture Project is being implemented.</t>
  </si>
  <si>
    <t xml:space="preserve">     5.  Meeting criteria satisfying cost effectiveness.</t>
  </si>
  <si>
    <t xml:space="preserve">     6.  Not creating any adverse environmental or social impact under the standards adopted by MiDA with the approval of MCC.</t>
  </si>
  <si>
    <t>Economic Rationale</t>
  </si>
  <si>
    <t xml:space="preserve">     With the introduction of a clean water source, new opportunities for income generation open up to the community. Although such activities are difficult to predict in terms of both type and magnitude, they are real and are significant contributions to the economic welfare of a community. Therefore, we have assumed three new income generation opportunities will be created from the introduction of a clean water source, i.e., food vendor, cassava processing, and sewing. Each primarily is a female type enterprise (which agrees with the fact the time savings is exclusively a reduction in the female opportunity cost). In addition, two of the three enterprises are directly impacted by clean water.</t>
  </si>
  <si>
    <r>
      <t>1</t>
    </r>
    <r>
      <rPr>
        <sz val="10"/>
        <rFont val="Arial"/>
        <family val="2"/>
      </rPr>
      <t xml:space="preserve">  Through an act of its Parliament, the Government of Ghana (GoG) created the Millennium Development Authority (MiDA), a public </t>
    </r>
  </si>
  <si>
    <t xml:space="preserve">     The analysis identified several different types of community investments in water supply, including boreholes, boreholes with piping system, and piping systems. This ERR analyzes the benefits accrued from expanding the piping systems.  Time saved in water collection is one of the benefits of these investments. For stand-alone boreholes, the family will still have to carry water, but for a shorter distance, whereas piping systems eliminate the necessity to transport water any meaningful distance.  Therefore, the opportunity cost from hauling water either is drastically reduced by a borehole or eliminated with the introduction of a pipe system.</t>
  </si>
  <si>
    <t xml:space="preserve">     A second major benefit of the water projects is the effect clean water has on health. Two water diseases are prevalent in Ghana – diarrhea and bilharzia. Each illness is the direct result of contact with poor quality water and sanitation. The effects of clean water and sanitation, along with education, will reduce the incidence and cost of such diseases.</t>
  </si>
  <si>
    <t>Closeout ERR</t>
  </si>
  <si>
    <t>ERR Version</t>
  </si>
  <si>
    <t>Date of ERR</t>
  </si>
  <si>
    <t>Amount of MCC funds</t>
  </si>
  <si>
    <t>Project Description</t>
  </si>
  <si>
    <t>Benefit streams included in ERR</t>
  </si>
  <si>
    <t>Costs included in ERR (not borne by MCC)</t>
  </si>
  <si>
    <t>ERR estimations and time horizon</t>
  </si>
  <si>
    <t>Table of Contents</t>
  </si>
  <si>
    <t>Activity Description</t>
  </si>
  <si>
    <t>One should read this sheet first, as it offers a summary of the project, a list of components, and states the economic rationale for the project.</t>
  </si>
  <si>
    <t>ERR &amp; Sensitivity Analysis</t>
  </si>
  <si>
    <t>This worksheet highlights key assumptions and summarizes how the ERR may change due to varying costs and benefits.</t>
  </si>
  <si>
    <t>Cost-Benefit Summary</t>
  </si>
  <si>
    <t>This worksheet presents the aggregated costs and benefits from the project activities year-by-year, calculating a combined ERR</t>
  </si>
  <si>
    <t>Disease Reduction</t>
  </si>
  <si>
    <t>$5.2 million</t>
  </si>
  <si>
    <t>14.1% over 20 years</t>
  </si>
  <si>
    <t>User Costs</t>
  </si>
  <si>
    <t>Community Statistics</t>
  </si>
  <si>
    <t>NRW</t>
  </si>
  <si>
    <t>Notes</t>
  </si>
  <si>
    <t>Notes on where data comes from, referred from other spreadsheets</t>
  </si>
  <si>
    <t>Project Non-Revenue Water Gains</t>
  </si>
  <si>
    <t>Populations of impacted communities</t>
  </si>
  <si>
    <t>Benefits from reduced disease prevalence from access to piped water</t>
  </si>
  <si>
    <t>Cost of accessing water, with and without project</t>
  </si>
  <si>
    <t>Core assumptions in the model</t>
  </si>
  <si>
    <t>MCC Costs for Ghana Water Company Limited (GWCL) extensions.  Maintenance costs of extended lines.</t>
  </si>
  <si>
    <t>Specific</t>
  </si>
  <si>
    <t>Disease Prevalence with dirty water</t>
  </si>
  <si>
    <t>Days lost due to illness</t>
  </si>
  <si>
    <t>2.8-4.02</t>
  </si>
  <si>
    <t>Value of water-gatherer's time (2012 USD)</t>
  </si>
  <si>
    <t>$1.00-$1.32</t>
  </si>
  <si>
    <t>10.0-17.3%</t>
  </si>
  <si>
    <t>Time to gather water per day, with project</t>
  </si>
  <si>
    <t>20-43.34</t>
  </si>
  <si>
    <t>$75.0 million total for Support for Community Services Activity</t>
  </si>
  <si>
    <t>Recurrent operational costs</t>
  </si>
  <si>
    <t>20.5% over 20 years</t>
  </si>
  <si>
    <r>
      <t>Note #</t>
    </r>
    <r>
      <rPr>
        <b/>
        <sz val="10"/>
        <rFont val="Arial"/>
        <family val="2"/>
      </rPr>
      <t xml:space="preserve"> (See final 'Notes' tab)</t>
    </r>
  </si>
  <si>
    <t>Rosen and Vincent, p. 33, Table 9.</t>
  </si>
  <si>
    <t>In the absence of compelling empirical evidence, assumed to be 0%.</t>
  </si>
  <si>
    <t>*In most cases, this stream will be negative, as households switch to higher cost water sources.  When this is not the case, attention should be paid to the presence and distortionary effects of price regulation.</t>
  </si>
  <si>
    <t>Changes in cost of water for users*</t>
  </si>
  <si>
    <t>**Assumed to be = to pop. growth rate</t>
  </si>
  <si>
    <t>Annual growth in connections**</t>
  </si>
  <si>
    <t>Ghana Community Services Activity: Water and Sanitation</t>
  </si>
  <si>
    <t>Tamale Water Extension</t>
  </si>
  <si>
    <t>Original ERR (Water &amp; Sanitation)</t>
  </si>
  <si>
    <t>Closeout ERR (Tamale Water Extension Investments)</t>
  </si>
  <si>
    <t xml:space="preserve">The Community Services Activity was designed to complement the Agriculture Project by providing educational, water and sanitation and rural electrification infrastructure in the Intervention Zones and by enhancing the capacity of local governments to deliver the related services.  Specific sub-projects and locations were identified during Compact implementation. </t>
  </si>
  <si>
    <t>The Tamale Water Extension Investments were designed to increase access to water in northern Ghana by expanding piped service coverage in small towns without access to a clean, regular supply of water.</t>
  </si>
  <si>
    <t>Time saved in water collection; reduced incidence of water borne diseases; new income generation opportunities created by the introduction of a clean water source.</t>
  </si>
  <si>
    <t>Benefits accrue from reduced time collecting water due to piped water connection and reduced water-based disease prevalence due to access to clean water.</t>
  </si>
  <si>
    <t>The Community Services Activity was designed to complement the Agriculture Project by providing educational, water and sanitation and rural electrification infrastructure in the Intervention Zones and by enhancing the capacity of local governments to deliver the related services. These interventions were part of a larger effort by the Government to expand the provision of basic community services throughout Ghana, and were specifically expected to enhance the sustainability of the Agriculture Project by providing the necessary infrastructure to improve health of communities, to enhance skill development through access to education, and to facilitate small-scale post-harvest processing of agricultural products. The Tamale Water Extension Project served 71 communities in the target area through extensions from the existing Ghana Water Company Limited (GWCL) water supply distribution system.</t>
  </si>
  <si>
    <t>Ghana: Tamale Water Extension Investments</t>
  </si>
  <si>
    <t>The Tamale Water Extension Investments initially assumed significant benefits from a reduction in Guinea Worm prevalence in the affected communities.  The disease in question was eliminated before the GWCL distribution system improvement was completed, therefore these benefits have been removed.</t>
  </si>
  <si>
    <t>Construction of water and sanitation facilities to achieve improved health, to reduce the incidence of illness and loss of productivity due to unsafe drinking water and poor sanitation and hygiene, and to reduce the time required to procure potable water. MCC Funding was used to invest in small town pipe systems and community sanitary facilities.  Funding for schools, water and sanitation facilities, and rural electrification were conditioned on:</t>
  </si>
  <si>
    <t>corporation that will serve as the accountable entity for the implementation of the Program under the Compact. MiDA was governed by an independent board of directors consisting of six representatives of key ministries of the GoG, two representatives of the private sector, and one representative from the non-governmental organization (NGO) community. A chief executive officer managed the day-to-day activities of MiDA, supported by key officers in the areas of operations, agriculture, infrastructure, procurement, financial services, land administration, and administration and finance.</t>
  </si>
  <si>
    <t>Tamale Water Extension Investments</t>
  </si>
  <si>
    <t>Last updated: 08/17/2013</t>
  </si>
  <si>
    <t>Last updated:  8/17/2013</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</si>
</sst>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00_);_(&quot;$&quot;* \(#,##0.00000\);_(&quot;$&quot;* &quot;-&quot;?????_);_(@_)"/>
    <numFmt numFmtId="166" formatCode="&quot;$&quot;#,##0.0_);\(&quot;$&quot;#,##0.0\)"/>
    <numFmt numFmtId="167" formatCode="0.0"/>
    <numFmt numFmtId="168" formatCode="0,,"/>
    <numFmt numFmtId="169" formatCode="0.0,,"/>
    <numFmt numFmtId="170" formatCode="&quot;$&quot;#,##0"/>
    <numFmt numFmtId="171" formatCode="&quot;$&quot;0.0,,"/>
    <numFmt numFmtId="172" formatCode="_(* #,##0_);_(* \(#,##0\);_(* &quot;-&quot;??_);_(@_)"/>
    <numFmt numFmtId="173" formatCode="&quot;$&quot;#,##0.00"/>
    <numFmt numFmtId="174" formatCode="0.0000%"/>
    <numFmt numFmtId="175" formatCode="_(&quot;$&quot;* #,##0_);_(&quot;$&quot;* \(#,##0\);_(&quot;$&quot;* &quot;-&quot;??_);_(@_)"/>
    <numFmt numFmtId="176" formatCode="_-* #,##0.00_-;\-* #,##0.00_-;_-* &quot;-&quot;??_-;_-@_-"/>
    <numFmt numFmtId="177" formatCode="&quot;$&quot;#,##0;\-&quot;$&quot;#,##0"/>
    <numFmt numFmtId="178" formatCode="0_)"/>
    <numFmt numFmtId="179" formatCode="0.0000"/>
    <numFmt numFmtId="180" formatCode="####0"/>
    <numFmt numFmtId="181" formatCode="0.000_)"/>
    <numFmt numFmtId="182" formatCode="0.00_)"/>
    <numFmt numFmtId="183" formatCode="#,##0.00_);\-#,##0.00"/>
    <numFmt numFmtId="184" formatCode="#,##0.000_);\-#,##0.000"/>
  </numFmts>
  <fonts count="96">
    <font>
      <sz val="10"/>
      <name val="Arial"/>
      <family val="0"/>
    </font>
    <font>
      <sz val="8"/>
      <name val="Arial"/>
      <family val="2"/>
    </font>
    <font>
      <b/>
      <sz val="10"/>
      <name val="Arial"/>
      <family val="2"/>
    </font>
    <font>
      <u val="single"/>
      <sz val="10"/>
      <color indexed="36"/>
      <name val="Arial"/>
      <family val="2"/>
    </font>
    <font>
      <u val="single"/>
      <sz val="10"/>
      <color indexed="12"/>
      <name val="Arial"/>
      <family val="2"/>
    </font>
    <font>
      <i/>
      <u val="single"/>
      <sz val="10"/>
      <name val="Arial"/>
      <family val="2"/>
    </font>
    <font>
      <b/>
      <sz val="16"/>
      <name val="Arial"/>
      <family val="2"/>
    </font>
    <font>
      <i/>
      <sz val="10"/>
      <name val="Arial"/>
      <family val="2"/>
    </font>
    <font>
      <sz val="10"/>
      <color indexed="12"/>
      <name val="Arial"/>
      <family val="2"/>
    </font>
    <font>
      <b/>
      <sz val="10"/>
      <color indexed="9"/>
      <name val="Arial"/>
      <family val="2"/>
    </font>
    <font>
      <sz val="14"/>
      <name val="Arial"/>
      <family val="2"/>
    </font>
    <font>
      <b/>
      <i/>
      <sz val="10"/>
      <name val="Arial"/>
      <family val="2"/>
    </font>
    <font>
      <b/>
      <sz val="11"/>
      <name val="Arial"/>
      <family val="2"/>
    </font>
    <font>
      <sz val="10"/>
      <color indexed="10"/>
      <name val="Arial"/>
      <family val="2"/>
    </font>
    <font>
      <sz val="10"/>
      <color indexed="20"/>
      <name val="Arial"/>
      <family val="2"/>
    </font>
    <font>
      <b/>
      <sz val="10"/>
      <color indexed="10"/>
      <name val="Arial"/>
      <family val="2"/>
    </font>
    <font>
      <i/>
      <sz val="10"/>
      <color indexed="10"/>
      <name val="Arial"/>
      <family val="2"/>
    </font>
    <font>
      <vertAlign val="superscript"/>
      <sz val="10"/>
      <name val="Arial"/>
      <family val="2"/>
    </font>
    <font>
      <i/>
      <sz val="10"/>
      <color indexed="12"/>
      <name val="Arial"/>
      <family val="2"/>
    </font>
    <font>
      <sz val="9"/>
      <name val="Tahoma"/>
      <family val="2"/>
    </font>
    <font>
      <b/>
      <sz val="9"/>
      <name val="Tahoma"/>
      <family val="2"/>
    </font>
    <font>
      <u val="single"/>
      <sz val="10"/>
      <color indexed="12"/>
      <name val="Times New Roman"/>
      <family val="1"/>
    </font>
    <font>
      <sz val="10"/>
      <name val="Times New Roman"/>
      <family val="1"/>
    </font>
    <font>
      <sz val="10"/>
      <color indexed="8"/>
      <name val="Arial"/>
      <family val="2"/>
    </font>
    <font>
      <b/>
      <sz val="12"/>
      <name val="Helvetica"/>
      <family val="0"/>
    </font>
    <font>
      <sz val="10"/>
      <name val="Geneva"/>
      <family val="0"/>
    </font>
    <font>
      <sz val="9"/>
      <name val="Helvetica"/>
      <family val="0"/>
    </font>
    <font>
      <b/>
      <i/>
      <sz val="9"/>
      <name val="Helvetica"/>
      <family val="0"/>
    </font>
    <font>
      <sz val="10"/>
      <name val="MS Sans Serif"/>
      <family val="2"/>
    </font>
    <font>
      <sz val="11"/>
      <name val="Tms Rmn"/>
      <family val="0"/>
    </font>
    <font>
      <sz val="18"/>
      <name val="Times New Roman"/>
      <family val="1"/>
    </font>
    <font>
      <sz val="8"/>
      <name val="Times New Roman"/>
      <family val="1"/>
    </font>
    <font>
      <i/>
      <sz val="12"/>
      <name val="Times New Roman"/>
      <family val="1"/>
    </font>
    <font>
      <sz val="12"/>
      <name val="Arial"/>
      <family val="2"/>
    </font>
    <font>
      <sz val="18"/>
      <name val="Arial"/>
      <family val="2"/>
    </font>
    <font>
      <i/>
      <sz val="12"/>
      <name val="Arial"/>
      <family val="2"/>
    </font>
    <font>
      <b/>
      <i/>
      <sz val="16"/>
      <name val="Helv"/>
      <family val="0"/>
    </font>
    <font>
      <sz val="10"/>
      <color indexed="8"/>
      <name val="MS Sans Serif"/>
      <family val="2"/>
    </font>
    <font>
      <sz val="8"/>
      <color indexed="17"/>
      <name val="Arial"/>
      <family val="2"/>
    </font>
    <font>
      <b/>
      <sz val="14"/>
      <name val="Arial"/>
      <family val="2"/>
    </font>
    <font>
      <b/>
      <sz val="12"/>
      <name val="Arial"/>
      <family val="2"/>
    </font>
    <font>
      <b/>
      <sz val="10"/>
      <color indexed="12"/>
      <name val="Arial"/>
      <family val="2"/>
    </font>
    <font>
      <sz val="10"/>
      <color indexed="23"/>
      <name val="Arial"/>
      <family val="2"/>
    </font>
    <font>
      <b/>
      <sz val="10"/>
      <color indexed="55"/>
      <name val="Arial"/>
      <family val="2"/>
    </font>
    <font>
      <sz val="9"/>
      <color indexed="55"/>
      <name val="Arial"/>
      <family val="2"/>
    </font>
    <font>
      <sz val="9"/>
      <name val="Times New Roman"/>
      <family val="1"/>
    </font>
    <font>
      <vertAlign val="superscript"/>
      <sz val="8"/>
      <name val="Arial"/>
      <family val="2"/>
    </font>
    <font>
      <b/>
      <u val="single"/>
      <sz val="10"/>
      <name val="Arial"/>
      <family val="2"/>
    </font>
    <font>
      <sz val="11"/>
      <color indexed="8"/>
      <name val="Calibri"/>
      <family val="2"/>
    </font>
    <font>
      <sz val="11"/>
      <color indexed="9"/>
      <name val="Calibri"/>
      <family val="2"/>
    </font>
    <font>
      <sz val="11"/>
      <color indexed="53"/>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0"/>
      <color indexed="23"/>
      <name val="Arial"/>
      <family val="2"/>
    </font>
    <font>
      <sz val="11"/>
      <color theme="1"/>
      <name val="Calibri"/>
      <family val="2"/>
    </font>
    <font>
      <sz val="11"/>
      <color theme="0"/>
      <name val="Calibri"/>
      <family val="2"/>
    </font>
    <font>
      <sz val="11"/>
      <color theme="9" tint="-0.24993999302387238"/>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8000"/>
      <name val="Arial"/>
      <family val="2"/>
    </font>
    <font>
      <b/>
      <sz val="10"/>
      <color theme="0" tint="-0.3499799966812134"/>
      <name val="Arial"/>
      <family val="2"/>
    </font>
    <font>
      <sz val="10"/>
      <color theme="0" tint="-0.3499799966812134"/>
      <name val="Arial"/>
      <family val="2"/>
    </font>
    <font>
      <b/>
      <sz val="10"/>
      <color theme="0"/>
      <name val="Arial"/>
      <family val="2"/>
    </font>
    <font>
      <b/>
      <sz val="10"/>
      <color theme="0" tint="-0.4999699890613556"/>
      <name val="Arial"/>
      <family val="2"/>
    </font>
    <font>
      <sz val="10"/>
      <color theme="1"/>
      <name val="Arial"/>
      <family val="2"/>
    </font>
    <font>
      <sz val="10"/>
      <color theme="0"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rgb="FF00FFFF"/>
        <bgColor indexed="64"/>
      </patternFill>
    </fill>
    <fill>
      <patternFill patternType="solid">
        <fgColor rgb="FF00FF00"/>
        <bgColor indexed="64"/>
      </patternFill>
    </fill>
    <fill>
      <patternFill patternType="solid">
        <fgColor rgb="FFC000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style="thin"/>
      <top>
        <color indexed="63"/>
      </top>
      <bottom style="thin"/>
    </border>
    <border>
      <left style="thin"/>
      <right>
        <color indexed="63"/>
      </right>
      <top style="thin"/>
      <bottom style="mediu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style="thin"/>
      <right style="medium"/>
      <top>
        <color indexed="63"/>
      </top>
      <bottom>
        <color indexed="63"/>
      </bottom>
    </border>
    <border>
      <left style="thin"/>
      <right style="thin"/>
      <top style="thin"/>
      <bottom style="mediu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border>
    <border>
      <left style="double"/>
      <right style="thin"/>
      <top style="thin"/>
      <bottom style="double"/>
    </border>
    <border>
      <left style="thin"/>
      <right style="double"/>
      <top style="thin"/>
      <bottom style="double"/>
    </border>
    <border>
      <left>
        <color indexed="63"/>
      </left>
      <right style="double"/>
      <top>
        <color indexed="63"/>
      </top>
      <bottom>
        <color indexed="63"/>
      </bottom>
    </border>
    <border>
      <left style="thin"/>
      <right style="thin"/>
      <top style="thin"/>
      <bottom style="double"/>
    </border>
    <border>
      <left style="medium"/>
      <right>
        <color indexed="63"/>
      </right>
      <top style="thin"/>
      <bottom>
        <color indexed="63"/>
      </bottom>
    </border>
    <border>
      <left>
        <color indexed="63"/>
      </left>
      <right>
        <color indexed="63"/>
      </right>
      <top style="medium"/>
      <bottom>
        <color indexed="63"/>
      </bottom>
    </border>
  </borders>
  <cellStyleXfs count="122">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Fill="0" applyBorder="0" applyAlignment="0" applyProtection="0"/>
    <xf numFmtId="0" fontId="72" fillId="27" borderId="0" applyNumberFormat="0" applyBorder="0" applyAlignment="0" applyProtection="0"/>
    <xf numFmtId="0" fontId="73" fillId="28" borderId="1" applyNumberFormat="0" applyAlignment="0" applyProtection="0"/>
    <xf numFmtId="0" fontId="74" fillId="29" borderId="2" applyNumberFormat="0" applyAlignment="0" applyProtection="0"/>
    <xf numFmtId="43" fontId="0" fillId="0" borderId="0" applyFont="0" applyFill="0" applyBorder="0" applyAlignment="0" applyProtection="0"/>
    <xf numFmtId="181" fontId="29" fillId="0" borderId="0">
      <alignment/>
      <protection/>
    </xf>
    <xf numFmtId="181" fontId="29" fillId="0" borderId="0">
      <alignment/>
      <protection/>
    </xf>
    <xf numFmtId="181" fontId="29" fillId="0" borderId="0">
      <alignment/>
      <protection/>
    </xf>
    <xf numFmtId="181" fontId="29" fillId="0" borderId="0">
      <alignment/>
      <protection/>
    </xf>
    <xf numFmtId="181" fontId="29" fillId="0" borderId="0">
      <alignment/>
      <protection/>
    </xf>
    <xf numFmtId="181" fontId="29" fillId="0" borderId="0">
      <alignment/>
      <protection/>
    </xf>
    <xf numFmtId="181" fontId="29" fillId="0" borderId="0">
      <alignment/>
      <protection/>
    </xf>
    <xf numFmtId="181" fontId="29"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76" fontId="0" fillId="0" borderId="0" applyFont="0" applyFill="0" applyBorder="0" applyAlignment="0" applyProtection="0"/>
    <xf numFmtId="43" fontId="69"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9" fillId="0" borderId="0" applyFont="0" applyFill="0" applyBorder="0" applyAlignment="0" applyProtection="0"/>
    <xf numFmtId="177" fontId="0" fillId="0" borderId="0" applyFont="0" applyFill="0" applyBorder="0" applyAlignment="0" applyProtection="0"/>
    <xf numFmtId="0" fontId="22" fillId="30" borderId="0" applyNumberFormat="0" applyBorder="0" applyAlignment="0">
      <protection locked="0"/>
    </xf>
    <xf numFmtId="14" fontId="0" fillId="0" borderId="0" applyFont="0" applyFill="0" applyBorder="0" applyAlignment="0" applyProtection="0"/>
    <xf numFmtId="0" fontId="75" fillId="0" borderId="0" applyNumberFormat="0" applyFill="0" applyBorder="0" applyAlignment="0" applyProtection="0"/>
    <xf numFmtId="1" fontId="30" fillId="0" borderId="0" applyProtection="0">
      <alignment/>
    </xf>
    <xf numFmtId="1" fontId="31" fillId="0" borderId="0" applyProtection="0">
      <alignment/>
    </xf>
    <xf numFmtId="1" fontId="32" fillId="0" borderId="0" applyProtection="0">
      <alignment/>
    </xf>
    <xf numFmtId="1" fontId="33" fillId="0" borderId="0" applyProtection="0">
      <alignment/>
    </xf>
    <xf numFmtId="1" fontId="34" fillId="0" borderId="0" applyProtection="0">
      <alignment/>
    </xf>
    <xf numFmtId="1" fontId="1" fillId="0" borderId="0" applyProtection="0">
      <alignment/>
    </xf>
    <xf numFmtId="1" fontId="35" fillId="0" borderId="0" applyProtection="0">
      <alignment/>
    </xf>
    <xf numFmtId="2" fontId="0" fillId="0" borderId="0" applyFont="0" applyFill="0" applyBorder="0" applyAlignment="0" applyProtection="0"/>
    <xf numFmtId="0" fontId="3" fillId="0" borderId="0" applyNumberFormat="0" applyFill="0" applyBorder="0" applyAlignment="0" applyProtection="0"/>
    <xf numFmtId="0" fontId="76" fillId="31" borderId="0" applyNumberFormat="0" applyBorder="0" applyAlignment="0" applyProtection="0"/>
    <xf numFmtId="178" fontId="24" fillId="0" borderId="3" applyNumberFormat="0" applyFill="0" applyBorder="0" applyProtection="0">
      <alignment horizontal="left"/>
    </xf>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1" fillId="26" borderId="1" applyNumberFormat="0" applyAlignment="0" applyProtection="0"/>
    <xf numFmtId="0" fontId="82" fillId="0" borderId="7" applyNumberFormat="0" applyFill="0" applyAlignment="0" applyProtection="0"/>
    <xf numFmtId="0" fontId="25" fillId="0" borderId="0">
      <alignment/>
      <protection/>
    </xf>
    <xf numFmtId="0" fontId="83" fillId="32" borderId="0" applyNumberFormat="0" applyBorder="0" applyAlignment="0" applyProtection="0"/>
    <xf numFmtId="182" fontId="36" fillId="0" borderId="0">
      <alignment/>
      <protection/>
    </xf>
    <xf numFmtId="0" fontId="0" fillId="0" borderId="0" applyFont="0" applyFill="0" applyBorder="0" applyAlignment="0" applyProtection="0"/>
    <xf numFmtId="0" fontId="69" fillId="0" borderId="0">
      <alignment/>
      <protection/>
    </xf>
    <xf numFmtId="0" fontId="0" fillId="0" borderId="0">
      <alignment/>
      <protection/>
    </xf>
    <xf numFmtId="0" fontId="28" fillId="0" borderId="0">
      <alignment/>
      <protection/>
    </xf>
    <xf numFmtId="0" fontId="69" fillId="0" borderId="0">
      <alignment/>
      <protection/>
    </xf>
    <xf numFmtId="0" fontId="23" fillId="0" borderId="0">
      <alignment/>
      <protection/>
    </xf>
    <xf numFmtId="0" fontId="69" fillId="0" borderId="0">
      <alignment/>
      <protection/>
    </xf>
    <xf numFmtId="0" fontId="37"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33" borderId="8" applyNumberFormat="0" applyFont="0" applyAlignment="0" applyProtection="0"/>
    <xf numFmtId="0" fontId="84" fillId="28"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178" fontId="26" fillId="0" borderId="3" applyNumberFormat="0" applyFill="0" applyBorder="0" applyProtection="0">
      <alignment horizontal="left"/>
    </xf>
    <xf numFmtId="0" fontId="85" fillId="0" borderId="0" applyNumberFormat="0" applyFill="0" applyBorder="0" applyAlignment="0" applyProtection="0"/>
    <xf numFmtId="178" fontId="26" fillId="0" borderId="3" applyNumberFormat="0" applyFill="0" applyBorder="0" applyProtection="0">
      <alignment horizontal="right"/>
    </xf>
    <xf numFmtId="0" fontId="86" fillId="0" borderId="10" applyNumberFormat="0" applyFill="0" applyAlignment="0" applyProtection="0"/>
    <xf numFmtId="178" fontId="27" fillId="0" borderId="0" applyNumberFormat="0" applyFill="0" applyBorder="0" applyAlignment="0" applyProtection="0"/>
    <xf numFmtId="0" fontId="87" fillId="0" borderId="0" applyNumberFormat="0" applyFill="0" applyBorder="0" applyAlignment="0" applyProtection="0"/>
  </cellStyleXfs>
  <cellXfs count="532">
    <xf numFmtId="0" fontId="0" fillId="0" borderId="0" xfId="0" applyAlignment="1">
      <alignment/>
    </xf>
    <xf numFmtId="0" fontId="2" fillId="0" borderId="0" xfId="0" applyFont="1" applyAlignment="1">
      <alignment horizontal="right"/>
    </xf>
    <xf numFmtId="0" fontId="2" fillId="0" borderId="0" xfId="0" applyFont="1" applyBorder="1" applyAlignment="1">
      <alignment horizontal="right"/>
    </xf>
    <xf numFmtId="0" fontId="2"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Fill="1" applyBorder="1" applyAlignment="1">
      <alignment/>
    </xf>
    <xf numFmtId="0" fontId="0" fillId="0" borderId="11" xfId="0" applyFill="1" applyBorder="1" applyAlignment="1">
      <alignment/>
    </xf>
    <xf numFmtId="0" fontId="0" fillId="0" borderId="12" xfId="0" applyFill="1" applyBorder="1" applyAlignment="1">
      <alignment/>
    </xf>
    <xf numFmtId="3" fontId="0" fillId="0" borderId="0" xfId="0" applyNumberFormat="1"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2" fillId="0" borderId="0" xfId="0" applyFont="1" applyFill="1" applyBorder="1" applyAlignment="1">
      <alignment/>
    </xf>
    <xf numFmtId="0" fontId="11" fillId="0" borderId="0" xfId="0" applyFont="1" applyFill="1" applyBorder="1" applyAlignment="1">
      <alignment/>
    </xf>
    <xf numFmtId="0" fontId="2" fillId="0" borderId="11" xfId="0" applyFont="1" applyFill="1" applyBorder="1" applyAlignment="1">
      <alignment/>
    </xf>
    <xf numFmtId="0" fontId="11" fillId="0" borderId="11" xfId="0" applyFont="1" applyFill="1" applyBorder="1" applyAlignment="1">
      <alignment/>
    </xf>
    <xf numFmtId="0" fontId="11" fillId="0" borderId="13" xfId="0" applyFont="1" applyFill="1" applyBorder="1" applyAlignment="1">
      <alignment/>
    </xf>
    <xf numFmtId="0" fontId="11" fillId="0" borderId="14" xfId="0" applyFont="1" applyFill="1" applyBorder="1" applyAlignment="1">
      <alignment/>
    </xf>
    <xf numFmtId="3" fontId="0" fillId="0" borderId="12" xfId="0" applyNumberFormat="1" applyFill="1" applyBorder="1" applyAlignment="1">
      <alignment/>
    </xf>
    <xf numFmtId="3" fontId="2" fillId="0" borderId="0" xfId="0" applyNumberFormat="1" applyFont="1" applyFill="1" applyBorder="1" applyAlignment="1">
      <alignment/>
    </xf>
    <xf numFmtId="3" fontId="2" fillId="0" borderId="12" xfId="0" applyNumberFormat="1" applyFont="1" applyFill="1" applyBorder="1" applyAlignment="1">
      <alignment/>
    </xf>
    <xf numFmtId="42" fontId="0" fillId="0" borderId="0" xfId="0" applyNumberFormat="1" applyFill="1" applyBorder="1" applyAlignment="1">
      <alignment/>
    </xf>
    <xf numFmtId="42" fontId="0" fillId="0" borderId="12" xfId="0" applyNumberFormat="1" applyFill="1" applyBorder="1" applyAlignment="1">
      <alignment/>
    </xf>
    <xf numFmtId="42" fontId="11" fillId="0" borderId="14" xfId="0" applyNumberFormat="1" applyFont="1" applyFill="1" applyBorder="1" applyAlignment="1">
      <alignment/>
    </xf>
    <xf numFmtId="42" fontId="11" fillId="0" borderId="15" xfId="0" applyNumberFormat="1" applyFont="1" applyFill="1" applyBorder="1" applyAlignment="1">
      <alignment/>
    </xf>
    <xf numFmtId="42" fontId="11" fillId="0" borderId="0" xfId="0" applyNumberFormat="1" applyFont="1" applyFill="1" applyBorder="1" applyAlignment="1">
      <alignment/>
    </xf>
    <xf numFmtId="0" fontId="10" fillId="0" borderId="11" xfId="0" applyFont="1" applyFill="1" applyBorder="1" applyAlignment="1">
      <alignment/>
    </xf>
    <xf numFmtId="42" fontId="11" fillId="0" borderId="12" xfId="0" applyNumberFormat="1" applyFont="1" applyFill="1" applyBorder="1" applyAlignment="1">
      <alignment/>
    </xf>
    <xf numFmtId="42" fontId="0" fillId="0" borderId="0" xfId="0" applyNumberFormat="1" applyFont="1" applyFill="1" applyBorder="1" applyAlignment="1">
      <alignment/>
    </xf>
    <xf numFmtId="42" fontId="0" fillId="0" borderId="12" xfId="0" applyNumberFormat="1" applyFont="1" applyFill="1" applyBorder="1" applyAlignment="1">
      <alignment/>
    </xf>
    <xf numFmtId="0" fontId="10" fillId="34" borderId="18" xfId="0" applyFont="1" applyFill="1" applyBorder="1" applyAlignment="1">
      <alignment/>
    </xf>
    <xf numFmtId="0" fontId="10" fillId="34" borderId="19" xfId="0" applyFont="1" applyFill="1" applyBorder="1" applyAlignment="1">
      <alignment/>
    </xf>
    <xf numFmtId="0" fontId="0" fillId="34" borderId="19" xfId="0" applyFill="1" applyBorder="1" applyAlignment="1">
      <alignment/>
    </xf>
    <xf numFmtId="0" fontId="0" fillId="34" borderId="20" xfId="0" applyFill="1" applyBorder="1" applyAlignment="1">
      <alignment/>
    </xf>
    <xf numFmtId="0" fontId="10" fillId="35" borderId="18" xfId="0" applyFont="1" applyFill="1" applyBorder="1" applyAlignment="1">
      <alignment/>
    </xf>
    <xf numFmtId="0" fontId="0" fillId="35" borderId="19" xfId="0" applyFill="1" applyBorder="1" applyAlignment="1">
      <alignment/>
    </xf>
    <xf numFmtId="0" fontId="0" fillId="35" borderId="20" xfId="0"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0" fillId="0" borderId="3" xfId="0" applyFill="1" applyBorder="1" applyAlignment="1">
      <alignment/>
    </xf>
    <xf numFmtId="3" fontId="0" fillId="0" borderId="16" xfId="0" applyNumberFormat="1" applyFill="1" applyBorder="1" applyAlignment="1">
      <alignment/>
    </xf>
    <xf numFmtId="3" fontId="2" fillId="0" borderId="16" xfId="0" applyNumberFormat="1" applyFont="1" applyFill="1" applyBorder="1" applyAlignment="1">
      <alignment/>
    </xf>
    <xf numFmtId="0" fontId="0" fillId="0" borderId="21" xfId="0" applyFill="1" applyBorder="1" applyAlignment="1">
      <alignment/>
    </xf>
    <xf numFmtId="0" fontId="0" fillId="0" borderId="22" xfId="0" applyFill="1" applyBorder="1" applyAlignment="1">
      <alignment/>
    </xf>
    <xf numFmtId="3" fontId="0" fillId="0" borderId="22" xfId="0" applyNumberFormat="1" applyFill="1" applyBorder="1" applyAlignment="1">
      <alignment/>
    </xf>
    <xf numFmtId="42" fontId="0" fillId="0" borderId="22" xfId="0" applyNumberFormat="1" applyFill="1" applyBorder="1" applyAlignment="1">
      <alignment/>
    </xf>
    <xf numFmtId="42" fontId="11" fillId="0" borderId="23" xfId="0" applyNumberFormat="1" applyFont="1" applyFill="1" applyBorder="1" applyAlignment="1">
      <alignment/>
    </xf>
    <xf numFmtId="42" fontId="11" fillId="0" borderId="22" xfId="0" applyNumberFormat="1" applyFont="1" applyFill="1" applyBorder="1" applyAlignment="1">
      <alignment/>
    </xf>
    <xf numFmtId="42" fontId="0" fillId="0" borderId="22" xfId="0" applyNumberFormat="1" applyFont="1" applyFill="1" applyBorder="1" applyAlignment="1">
      <alignment/>
    </xf>
    <xf numFmtId="0" fontId="0" fillId="0" borderId="24" xfId="0" applyFill="1" applyBorder="1" applyAlignment="1">
      <alignment/>
    </xf>
    <xf numFmtId="3" fontId="0" fillId="0" borderId="17" xfId="0" applyNumberFormat="1" applyFill="1" applyBorder="1" applyAlignment="1">
      <alignment/>
    </xf>
    <xf numFmtId="3" fontId="2" fillId="0" borderId="17" xfId="0" applyNumberFormat="1" applyFont="1" applyFill="1" applyBorder="1" applyAlignment="1">
      <alignment/>
    </xf>
    <xf numFmtId="0" fontId="2" fillId="0" borderId="17" xfId="0" applyFont="1" applyFill="1" applyBorder="1" applyAlignment="1">
      <alignment/>
    </xf>
    <xf numFmtId="42" fontId="0" fillId="0" borderId="17" xfId="0" applyNumberFormat="1" applyFill="1" applyBorder="1" applyAlignment="1">
      <alignment/>
    </xf>
    <xf numFmtId="42" fontId="2" fillId="0" borderId="17" xfId="0" applyNumberFormat="1" applyFont="1" applyFill="1" applyBorder="1" applyAlignment="1">
      <alignment/>
    </xf>
    <xf numFmtId="42" fontId="11" fillId="0" borderId="25" xfId="0" applyNumberFormat="1" applyFont="1" applyFill="1" applyBorder="1" applyAlignment="1">
      <alignment/>
    </xf>
    <xf numFmtId="42" fontId="0" fillId="0" borderId="17" xfId="0" applyNumberFormat="1" applyFont="1" applyFill="1" applyBorder="1" applyAlignment="1">
      <alignment/>
    </xf>
    <xf numFmtId="0" fontId="2" fillId="0" borderId="0" xfId="0" applyFont="1" applyAlignment="1">
      <alignment/>
    </xf>
    <xf numFmtId="164" fontId="0" fillId="0" borderId="14" xfId="0" applyNumberFormat="1" applyBorder="1" applyAlignment="1">
      <alignment/>
    </xf>
    <xf numFmtId="164" fontId="0" fillId="0" borderId="15" xfId="0" applyNumberFormat="1" applyBorder="1" applyAlignment="1">
      <alignment/>
    </xf>
    <xf numFmtId="164" fontId="0" fillId="0" borderId="26" xfId="0" applyNumberFormat="1" applyBorder="1" applyAlignment="1">
      <alignment/>
    </xf>
    <xf numFmtId="0" fontId="0" fillId="0" borderId="19" xfId="0" applyBorder="1" applyAlignment="1">
      <alignment/>
    </xf>
    <xf numFmtId="0" fontId="0" fillId="0" borderId="20" xfId="0" applyBorder="1" applyAlignment="1">
      <alignment/>
    </xf>
    <xf numFmtId="9" fontId="8" fillId="34" borderId="0" xfId="0" applyNumberFormat="1" applyFont="1" applyFill="1" applyBorder="1" applyAlignment="1">
      <alignment vertical="center"/>
    </xf>
    <xf numFmtId="0" fontId="0" fillId="0" borderId="0" xfId="0" applyAlignment="1">
      <alignment vertical="center" wrapText="1"/>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3" fontId="0" fillId="0" borderId="17" xfId="0" applyNumberFormat="1" applyBorder="1" applyAlignment="1">
      <alignment/>
    </xf>
    <xf numFmtId="0" fontId="0" fillId="0" borderId="18" xfId="0" applyBorder="1" applyAlignment="1">
      <alignment/>
    </xf>
    <xf numFmtId="0" fontId="7" fillId="0" borderId="19" xfId="0" applyFont="1" applyBorder="1" applyAlignment="1">
      <alignment/>
    </xf>
    <xf numFmtId="3" fontId="0" fillId="0" borderId="16" xfId="0" applyNumberFormat="1" applyBorder="1" applyAlignment="1">
      <alignment/>
    </xf>
    <xf numFmtId="3" fontId="0" fillId="0" borderId="12" xfId="0" applyNumberFormat="1" applyBorder="1" applyAlignment="1">
      <alignment/>
    </xf>
    <xf numFmtId="0" fontId="11" fillId="0" borderId="11" xfId="0" applyFont="1" applyBorder="1" applyAlignment="1">
      <alignment/>
    </xf>
    <xf numFmtId="42" fontId="0" fillId="0" borderId="14" xfId="0" applyNumberFormat="1" applyBorder="1" applyAlignment="1">
      <alignment/>
    </xf>
    <xf numFmtId="42" fontId="0" fillId="0" borderId="15" xfId="0" applyNumberFormat="1" applyBorder="1" applyAlignment="1">
      <alignment/>
    </xf>
    <xf numFmtId="0" fontId="0" fillId="0" borderId="22" xfId="0" applyBorder="1" applyAlignment="1">
      <alignment/>
    </xf>
    <xf numFmtId="3" fontId="0" fillId="0" borderId="22" xfId="0" applyNumberFormat="1" applyBorder="1" applyAlignment="1">
      <alignment/>
    </xf>
    <xf numFmtId="42" fontId="0" fillId="0" borderId="23" xfId="0" applyNumberFormat="1" applyBorder="1" applyAlignment="1">
      <alignment/>
    </xf>
    <xf numFmtId="0" fontId="0" fillId="0" borderId="21" xfId="0" applyBorder="1" applyAlignment="1">
      <alignment/>
    </xf>
    <xf numFmtId="0" fontId="0" fillId="0" borderId="23" xfId="0" applyBorder="1" applyAlignment="1">
      <alignment/>
    </xf>
    <xf numFmtId="0" fontId="0" fillId="0" borderId="30" xfId="0" applyBorder="1" applyAlignment="1">
      <alignment/>
    </xf>
    <xf numFmtId="0" fontId="0" fillId="0" borderId="31" xfId="0" applyBorder="1" applyAlignment="1">
      <alignment/>
    </xf>
    <xf numFmtId="0" fontId="11" fillId="0" borderId="31" xfId="0" applyFont="1" applyBorder="1" applyAlignment="1">
      <alignment/>
    </xf>
    <xf numFmtId="0" fontId="0" fillId="0" borderId="32" xfId="0" applyBorder="1" applyAlignment="1">
      <alignment/>
    </xf>
    <xf numFmtId="44" fontId="0" fillId="0" borderId="0" xfId="0" applyNumberFormat="1" applyBorder="1" applyAlignment="1">
      <alignment/>
    </xf>
    <xf numFmtId="44" fontId="0" fillId="0" borderId="12" xfId="0" applyNumberFormat="1" applyBorder="1" applyAlignment="1">
      <alignment/>
    </xf>
    <xf numFmtId="0" fontId="0" fillId="0" borderId="16" xfId="0" applyBorder="1" applyAlignment="1">
      <alignment/>
    </xf>
    <xf numFmtId="42" fontId="0" fillId="0" borderId="16" xfId="0" applyNumberFormat="1" applyBorder="1" applyAlignment="1">
      <alignment/>
    </xf>
    <xf numFmtId="44" fontId="0" fillId="0" borderId="16" xfId="0" applyNumberFormat="1" applyBorder="1" applyAlignment="1">
      <alignment/>
    </xf>
    <xf numFmtId="0" fontId="0" fillId="0" borderId="17" xfId="0" applyBorder="1" applyAlignment="1">
      <alignment/>
    </xf>
    <xf numFmtId="0" fontId="2" fillId="36" borderId="33" xfId="0" applyFont="1" applyFill="1" applyBorder="1" applyAlignment="1">
      <alignment/>
    </xf>
    <xf numFmtId="3" fontId="2" fillId="36" borderId="29" xfId="0" applyNumberFormat="1" applyFont="1" applyFill="1" applyBorder="1" applyAlignment="1">
      <alignment/>
    </xf>
    <xf numFmtId="3" fontId="2" fillId="36" borderId="28" xfId="0" applyNumberFormat="1" applyFont="1" applyFill="1" applyBorder="1" applyAlignment="1">
      <alignment/>
    </xf>
    <xf numFmtId="3" fontId="2" fillId="36" borderId="27" xfId="0" applyNumberFormat="1" applyFont="1" applyFill="1" applyBorder="1" applyAlignment="1">
      <alignment/>
    </xf>
    <xf numFmtId="0" fontId="2" fillId="36" borderId="34" xfId="0" applyFont="1" applyFill="1" applyBorder="1" applyAlignment="1">
      <alignment/>
    </xf>
    <xf numFmtId="3" fontId="0" fillId="0" borderId="0" xfId="0" applyNumberFormat="1" applyAlignment="1">
      <alignment/>
    </xf>
    <xf numFmtId="3" fontId="0" fillId="0" borderId="17" xfId="0" applyNumberFormat="1" applyFont="1" applyFill="1" applyBorder="1" applyAlignment="1">
      <alignment/>
    </xf>
    <xf numFmtId="0" fontId="13" fillId="0" borderId="17"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11" xfId="0" applyFont="1" applyFill="1" applyBorder="1" applyAlignment="1">
      <alignment/>
    </xf>
    <xf numFmtId="3" fontId="0" fillId="0" borderId="0" xfId="0" applyNumberFormat="1" applyFont="1" applyFill="1" applyBorder="1" applyAlignment="1">
      <alignment/>
    </xf>
    <xf numFmtId="0" fontId="0" fillId="0" borderId="0" xfId="0" applyFont="1" applyFill="1" applyBorder="1" applyAlignment="1">
      <alignment/>
    </xf>
    <xf numFmtId="9" fontId="0" fillId="0" borderId="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Border="1" applyAlignment="1">
      <alignment/>
    </xf>
    <xf numFmtId="0" fontId="0" fillId="0" borderId="11" xfId="0" applyFont="1" applyBorder="1" applyAlignment="1">
      <alignment/>
    </xf>
    <xf numFmtId="0" fontId="0" fillId="0" borderId="16" xfId="0" applyFont="1" applyBorder="1" applyAlignment="1">
      <alignment horizontal="center"/>
    </xf>
    <xf numFmtId="0" fontId="0" fillId="0" borderId="0" xfId="0" applyFont="1" applyBorder="1" applyAlignment="1">
      <alignment horizontal="center"/>
    </xf>
    <xf numFmtId="164" fontId="0" fillId="0" borderId="16" xfId="0" applyNumberFormat="1" applyFont="1" applyBorder="1" applyAlignment="1">
      <alignment/>
    </xf>
    <xf numFmtId="164" fontId="0" fillId="0" borderId="0" xfId="0" applyNumberFormat="1" applyFont="1" applyBorder="1" applyAlignment="1">
      <alignment/>
    </xf>
    <xf numFmtId="42" fontId="0" fillId="0" borderId="16" xfId="0" applyNumberFormat="1" applyFill="1" applyBorder="1" applyAlignment="1">
      <alignment/>
    </xf>
    <xf numFmtId="0" fontId="10" fillId="0" borderId="0" xfId="0" applyFont="1" applyFill="1" applyBorder="1" applyAlignment="1">
      <alignment/>
    </xf>
    <xf numFmtId="0" fontId="0" fillId="0" borderId="0" xfId="0" applyFont="1" applyFill="1" applyBorder="1" applyAlignment="1">
      <alignment/>
    </xf>
    <xf numFmtId="9" fontId="0" fillId="0" borderId="0" xfId="0" applyNumberFormat="1" applyFont="1" applyBorder="1" applyAlignment="1">
      <alignment/>
    </xf>
    <xf numFmtId="0" fontId="10" fillId="37" borderId="18" xfId="0" applyFont="1" applyFill="1" applyBorder="1" applyAlignment="1">
      <alignment/>
    </xf>
    <xf numFmtId="0" fontId="10" fillId="37" borderId="19" xfId="0" applyFont="1" applyFill="1" applyBorder="1" applyAlignment="1">
      <alignment/>
    </xf>
    <xf numFmtId="0" fontId="10" fillId="37" borderId="20" xfId="0" applyFont="1" applyFill="1" applyBorder="1" applyAlignment="1">
      <alignment/>
    </xf>
    <xf numFmtId="0" fontId="0" fillId="0" borderId="35" xfId="0" applyFont="1" applyFill="1" applyBorder="1" applyAlignment="1">
      <alignment/>
    </xf>
    <xf numFmtId="3" fontId="0" fillId="0" borderId="35" xfId="0" applyNumberFormat="1" applyFont="1" applyFill="1" applyBorder="1" applyAlignment="1">
      <alignment/>
    </xf>
    <xf numFmtId="9" fontId="0" fillId="0" borderId="35" xfId="0" applyNumberFormat="1" applyFont="1" applyFill="1" applyBorder="1" applyAlignment="1">
      <alignment/>
    </xf>
    <xf numFmtId="9" fontId="0" fillId="0" borderId="22" xfId="0" applyNumberFormat="1" applyFont="1" applyFill="1" applyBorder="1" applyAlignment="1">
      <alignment/>
    </xf>
    <xf numFmtId="9" fontId="0" fillId="0" borderId="36" xfId="0" applyNumberFormat="1" applyFont="1" applyFill="1" applyBorder="1" applyAlignment="1">
      <alignment/>
    </xf>
    <xf numFmtId="165" fontId="0" fillId="0" borderId="17" xfId="0" applyNumberFormat="1" applyFont="1" applyFill="1" applyBorder="1" applyAlignment="1">
      <alignment/>
    </xf>
    <xf numFmtId="165" fontId="0" fillId="0" borderId="37" xfId="0" applyNumberFormat="1" applyFont="1" applyFill="1" applyBorder="1" applyAlignment="1">
      <alignment/>
    </xf>
    <xf numFmtId="0" fontId="0" fillId="0" borderId="28" xfId="0" applyFont="1" applyFill="1" applyBorder="1" applyAlignment="1">
      <alignment horizontal="center"/>
    </xf>
    <xf numFmtId="0" fontId="0" fillId="0" borderId="38" xfId="0" applyFont="1" applyFill="1" applyBorder="1" applyAlignment="1">
      <alignment horizontal="center"/>
    </xf>
    <xf numFmtId="0" fontId="0" fillId="0" borderId="29" xfId="0" applyFont="1" applyFill="1" applyBorder="1" applyAlignment="1">
      <alignment horizontal="center"/>
    </xf>
    <xf numFmtId="0" fontId="7" fillId="0" borderId="29" xfId="0" applyFont="1" applyFill="1" applyBorder="1" applyAlignment="1">
      <alignment horizontal="center"/>
    </xf>
    <xf numFmtId="9" fontId="7" fillId="0" borderId="29" xfId="0" applyNumberFormat="1" applyFont="1" applyFill="1" applyBorder="1" applyAlignment="1">
      <alignment horizontal="center"/>
    </xf>
    <xf numFmtId="9" fontId="7" fillId="0" borderId="27" xfId="0" applyNumberFormat="1" applyFont="1" applyFill="1" applyBorder="1" applyAlignment="1">
      <alignment horizontal="center"/>
    </xf>
    <xf numFmtId="9" fontId="7" fillId="0" borderId="28" xfId="0" applyNumberFormat="1" applyFont="1" applyFill="1" applyBorder="1" applyAlignment="1">
      <alignment horizontal="center"/>
    </xf>
    <xf numFmtId="0" fontId="0" fillId="0" borderId="24" xfId="0" applyFont="1" applyBorder="1" applyAlignment="1">
      <alignment horizontal="center"/>
    </xf>
    <xf numFmtId="0" fontId="0" fillId="0" borderId="17" xfId="0" applyFont="1" applyBorder="1" applyAlignment="1">
      <alignment horizontal="center"/>
    </xf>
    <xf numFmtId="164" fontId="0" fillId="0" borderId="17" xfId="0" applyNumberFormat="1" applyFont="1" applyBorder="1" applyAlignment="1">
      <alignment/>
    </xf>
    <xf numFmtId="0" fontId="0" fillId="0" borderId="3"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164" fontId="0" fillId="0" borderId="22" xfId="0" applyNumberFormat="1" applyFont="1" applyBorder="1" applyAlignment="1">
      <alignment/>
    </xf>
    <xf numFmtId="0" fontId="0" fillId="0" borderId="39" xfId="0" applyFont="1" applyBorder="1" applyAlignment="1">
      <alignment horizontal="center"/>
    </xf>
    <xf numFmtId="3" fontId="0" fillId="0" borderId="0" xfId="0" applyNumberFormat="1" applyFont="1" applyFill="1" applyBorder="1" applyAlignment="1">
      <alignment/>
    </xf>
    <xf numFmtId="9" fontId="0" fillId="0" borderId="0" xfId="110" applyFont="1" applyFill="1" applyBorder="1" applyAlignment="1">
      <alignment/>
    </xf>
    <xf numFmtId="0" fontId="2" fillId="0" borderId="11" xfId="0" applyFont="1" applyBorder="1" applyAlignment="1">
      <alignment/>
    </xf>
    <xf numFmtId="0" fontId="2" fillId="0" borderId="17" xfId="0" applyFont="1" applyBorder="1" applyAlignment="1">
      <alignment/>
    </xf>
    <xf numFmtId="0" fontId="2" fillId="0" borderId="12" xfId="0" applyFont="1" applyBorder="1" applyAlignment="1">
      <alignment/>
    </xf>
    <xf numFmtId="0" fontId="0" fillId="0" borderId="40" xfId="0" applyBorder="1" applyAlignment="1">
      <alignment/>
    </xf>
    <xf numFmtId="0" fontId="2" fillId="0" borderId="34" xfId="0" applyFont="1" applyBorder="1" applyAlignment="1">
      <alignment/>
    </xf>
    <xf numFmtId="0" fontId="2" fillId="0" borderId="16" xfId="0" applyFont="1" applyBorder="1" applyAlignment="1">
      <alignment/>
    </xf>
    <xf numFmtId="9" fontId="14" fillId="0" borderId="41" xfId="0" applyNumberFormat="1" applyFont="1" applyBorder="1" applyAlignment="1">
      <alignment horizontal="center"/>
    </xf>
    <xf numFmtId="164" fontId="0" fillId="0" borderId="25" xfId="0" applyNumberFormat="1" applyBorder="1" applyAlignment="1">
      <alignment/>
    </xf>
    <xf numFmtId="0" fontId="0" fillId="0" borderId="39" xfId="0" applyBorder="1" applyAlignment="1">
      <alignment/>
    </xf>
    <xf numFmtId="3" fontId="0" fillId="0" borderId="16" xfId="0" applyNumberFormat="1" applyFont="1" applyFill="1" applyBorder="1" applyAlignment="1">
      <alignment/>
    </xf>
    <xf numFmtId="9" fontId="0" fillId="0" borderId="16" xfId="110" applyFont="1" applyFill="1" applyBorder="1" applyAlignment="1">
      <alignment/>
    </xf>
    <xf numFmtId="9" fontId="0" fillId="0" borderId="17" xfId="110" applyFont="1" applyFill="1" applyBorder="1" applyAlignment="1">
      <alignment/>
    </xf>
    <xf numFmtId="0" fontId="0" fillId="0" borderId="39" xfId="0" applyFill="1" applyBorder="1" applyAlignment="1">
      <alignment/>
    </xf>
    <xf numFmtId="42" fontId="11" fillId="0" borderId="26" xfId="0" applyNumberFormat="1" applyFont="1" applyFill="1" applyBorder="1" applyAlignment="1">
      <alignment/>
    </xf>
    <xf numFmtId="3" fontId="0" fillId="0" borderId="12" xfId="0" applyNumberFormat="1" applyFont="1" applyFill="1" applyBorder="1" applyAlignment="1">
      <alignment/>
    </xf>
    <xf numFmtId="9" fontId="0" fillId="0" borderId="12" xfId="110" applyFont="1" applyFill="1" applyBorder="1" applyAlignment="1">
      <alignment/>
    </xf>
    <xf numFmtId="42" fontId="11" fillId="0" borderId="17" xfId="0" applyNumberFormat="1" applyFont="1" applyFill="1" applyBorder="1" applyAlignment="1">
      <alignment/>
    </xf>
    <xf numFmtId="0" fontId="10" fillId="35" borderId="18" xfId="0" applyFont="1" applyFill="1" applyBorder="1" applyAlignment="1">
      <alignment/>
    </xf>
    <xf numFmtId="0" fontId="11" fillId="35" borderId="19" xfId="0" applyFont="1" applyFill="1" applyBorder="1" applyAlignment="1">
      <alignment/>
    </xf>
    <xf numFmtId="42" fontId="11" fillId="35" borderId="19" xfId="0" applyNumberFormat="1" applyFont="1" applyFill="1" applyBorder="1" applyAlignment="1">
      <alignment/>
    </xf>
    <xf numFmtId="42" fontId="11" fillId="35" borderId="20" xfId="0" applyNumberFormat="1" applyFont="1" applyFill="1" applyBorder="1" applyAlignment="1">
      <alignment/>
    </xf>
    <xf numFmtId="0" fontId="10" fillId="38" borderId="18" xfId="0" applyFont="1" applyFill="1" applyBorder="1" applyAlignment="1">
      <alignment/>
    </xf>
    <xf numFmtId="0" fontId="0" fillId="38" borderId="19" xfId="0" applyFill="1" applyBorder="1" applyAlignment="1">
      <alignment/>
    </xf>
    <xf numFmtId="0" fontId="0" fillId="38" borderId="20" xfId="0" applyFill="1" applyBorder="1" applyAlignment="1">
      <alignment/>
    </xf>
    <xf numFmtId="0" fontId="10" fillId="0" borderId="0" xfId="0" applyFont="1" applyAlignment="1">
      <alignment/>
    </xf>
    <xf numFmtId="0" fontId="10" fillId="36" borderId="28" xfId="0" applyFont="1" applyFill="1" applyBorder="1" applyAlignment="1">
      <alignment/>
    </xf>
    <xf numFmtId="0" fontId="10" fillId="0" borderId="0" xfId="0" applyFont="1" applyBorder="1" applyAlignment="1">
      <alignment/>
    </xf>
    <xf numFmtId="164" fontId="9" fillId="39" borderId="29" xfId="0" applyNumberFormat="1" applyFont="1" applyFill="1" applyBorder="1" applyAlignment="1">
      <alignment horizontal="center" vertical="center"/>
    </xf>
    <xf numFmtId="0" fontId="2" fillId="0" borderId="17" xfId="0" applyFont="1" applyBorder="1" applyAlignment="1">
      <alignment horizontal="right"/>
    </xf>
    <xf numFmtId="0" fontId="2" fillId="0" borderId="39" xfId="0" applyFont="1" applyBorder="1" applyAlignment="1">
      <alignment horizontal="right"/>
    </xf>
    <xf numFmtId="0" fontId="10" fillId="34" borderId="33" xfId="0" applyFont="1" applyFill="1" applyBorder="1" applyAlignment="1">
      <alignment/>
    </xf>
    <xf numFmtId="0" fontId="10" fillId="34" borderId="28" xfId="0" applyFont="1" applyFill="1" applyBorder="1" applyAlignment="1">
      <alignment/>
    </xf>
    <xf numFmtId="3" fontId="10" fillId="34" borderId="28" xfId="0" applyNumberFormat="1" applyFont="1" applyFill="1" applyBorder="1" applyAlignment="1">
      <alignment/>
    </xf>
    <xf numFmtId="0" fontId="10" fillId="34" borderId="34" xfId="0" applyFont="1" applyFill="1" applyBorder="1" applyAlignment="1">
      <alignment/>
    </xf>
    <xf numFmtId="0" fontId="2" fillId="0" borderId="11" xfId="0" applyFont="1" applyBorder="1" applyAlignment="1">
      <alignment horizontal="right"/>
    </xf>
    <xf numFmtId="0" fontId="2" fillId="0" borderId="12" xfId="0" applyFont="1" applyBorder="1" applyAlignment="1">
      <alignment horizontal="right"/>
    </xf>
    <xf numFmtId="0" fontId="10" fillId="38" borderId="33" xfId="0" applyFont="1" applyFill="1" applyBorder="1" applyAlignment="1">
      <alignment/>
    </xf>
    <xf numFmtId="0" fontId="10" fillId="38" borderId="28" xfId="0" applyFont="1" applyFill="1" applyBorder="1" applyAlignment="1">
      <alignment/>
    </xf>
    <xf numFmtId="3" fontId="10" fillId="38" borderId="28" xfId="0" applyNumberFormat="1" applyFont="1" applyFill="1" applyBorder="1" applyAlignment="1">
      <alignment/>
    </xf>
    <xf numFmtId="0" fontId="10" fillId="38" borderId="34" xfId="0" applyFont="1" applyFill="1" applyBorder="1" applyAlignment="1">
      <alignment/>
    </xf>
    <xf numFmtId="0" fontId="6"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alignment vertical="center"/>
    </xf>
    <xf numFmtId="0" fontId="2" fillId="0" borderId="0" xfId="0" applyFont="1" applyBorder="1" applyAlignment="1">
      <alignment horizontal="right" vertical="center"/>
    </xf>
    <xf numFmtId="0" fontId="0" fillId="0" borderId="0" xfId="0" applyFont="1" applyBorder="1" applyAlignment="1">
      <alignment vertical="center"/>
    </xf>
    <xf numFmtId="164" fontId="9" fillId="0" borderId="0" xfId="0" applyNumberFormat="1" applyFont="1" applyFill="1" applyBorder="1" applyAlignment="1">
      <alignment vertical="center"/>
    </xf>
    <xf numFmtId="0" fontId="12" fillId="34" borderId="39" xfId="0" applyFont="1" applyFill="1" applyBorder="1" applyAlignment="1">
      <alignment vertical="center"/>
    </xf>
    <xf numFmtId="0" fontId="0" fillId="34" borderId="3" xfId="0" applyFill="1" applyBorder="1" applyAlignment="1">
      <alignment vertical="center"/>
    </xf>
    <xf numFmtId="0" fontId="0" fillId="34" borderId="21" xfId="0" applyFill="1" applyBorder="1" applyAlignment="1">
      <alignment vertical="center"/>
    </xf>
    <xf numFmtId="0" fontId="0" fillId="34" borderId="16" xfId="0" applyFill="1" applyBorder="1" applyAlignment="1">
      <alignment vertical="center"/>
    </xf>
    <xf numFmtId="0" fontId="0" fillId="34" borderId="0" xfId="0" applyFill="1" applyBorder="1" applyAlignment="1">
      <alignment vertical="center"/>
    </xf>
    <xf numFmtId="0" fontId="0" fillId="34" borderId="22" xfId="0" applyFill="1" applyBorder="1" applyAlignment="1">
      <alignment vertical="center"/>
    </xf>
    <xf numFmtId="0" fontId="5" fillId="34" borderId="16" xfId="0" applyFont="1" applyFill="1" applyBorder="1" applyAlignment="1">
      <alignment vertical="center"/>
    </xf>
    <xf numFmtId="0" fontId="0" fillId="34" borderId="16" xfId="0" applyFont="1" applyFill="1" applyBorder="1" applyAlignment="1">
      <alignment vertical="center"/>
    </xf>
    <xf numFmtId="3" fontId="8" fillId="34" borderId="0" xfId="0" applyNumberFormat="1" applyFont="1" applyFill="1" applyBorder="1" applyAlignment="1">
      <alignment vertical="center"/>
    </xf>
    <xf numFmtId="42" fontId="8" fillId="34" borderId="0" xfId="0" applyNumberFormat="1" applyFont="1" applyFill="1" applyBorder="1" applyAlignment="1">
      <alignment vertical="center"/>
    </xf>
    <xf numFmtId="44" fontId="8" fillId="34" borderId="0" xfId="0" applyNumberFormat="1" applyFont="1" applyFill="1" applyBorder="1" applyAlignment="1">
      <alignment vertical="center"/>
    </xf>
    <xf numFmtId="44" fontId="0" fillId="34" borderId="0" xfId="0" applyNumberFormat="1" applyFont="1" applyFill="1" applyBorder="1" applyAlignment="1">
      <alignment vertical="center"/>
    </xf>
    <xf numFmtId="0" fontId="8" fillId="34" borderId="0" xfId="0" applyFont="1" applyFill="1" applyBorder="1" applyAlignment="1">
      <alignment vertical="center"/>
    </xf>
    <xf numFmtId="164" fontId="8" fillId="34" borderId="0" xfId="0" applyNumberFormat="1" applyFont="1" applyFill="1" applyBorder="1" applyAlignment="1">
      <alignment vertical="center"/>
    </xf>
    <xf numFmtId="9" fontId="0" fillId="34" borderId="22" xfId="0" applyNumberFormat="1" applyFill="1" applyBorder="1" applyAlignment="1">
      <alignment vertical="center"/>
    </xf>
    <xf numFmtId="0" fontId="15" fillId="0" borderId="0" xfId="0" applyFont="1" applyBorder="1" applyAlignment="1">
      <alignment vertical="center"/>
    </xf>
    <xf numFmtId="0" fontId="0" fillId="0" borderId="0" xfId="0" applyFont="1" applyBorder="1" applyAlignment="1">
      <alignment vertical="center"/>
    </xf>
    <xf numFmtId="1" fontId="8" fillId="34" borderId="0" xfId="0" applyNumberFormat="1" applyFont="1" applyFill="1" applyBorder="1" applyAlignment="1">
      <alignment vertical="center"/>
    </xf>
    <xf numFmtId="0" fontId="0" fillId="0" borderId="0" xfId="0" applyAlignment="1">
      <alignment vertical="center"/>
    </xf>
    <xf numFmtId="0" fontId="13" fillId="0" borderId="0" xfId="0" applyFont="1" applyAlignment="1">
      <alignment horizontal="centerContinuous" vertical="center" wrapText="1"/>
    </xf>
    <xf numFmtId="3" fontId="0" fillId="34" borderId="0" xfId="0" applyNumberFormat="1" applyFill="1" applyBorder="1" applyAlignment="1">
      <alignment vertical="center"/>
    </xf>
    <xf numFmtId="0" fontId="0" fillId="0" borderId="42" xfId="0" applyFont="1" applyFill="1" applyBorder="1" applyAlignment="1">
      <alignment/>
    </xf>
    <xf numFmtId="0" fontId="0" fillId="0" borderId="43" xfId="0" applyFont="1" applyBorder="1" applyAlignment="1">
      <alignment horizontal="center"/>
    </xf>
    <xf numFmtId="0" fontId="0" fillId="0" borderId="12" xfId="0" applyFont="1" applyBorder="1" applyAlignment="1">
      <alignment horizontal="center"/>
    </xf>
    <xf numFmtId="164" fontId="0" fillId="0" borderId="12" xfId="0" applyNumberFormat="1" applyFont="1" applyBorder="1" applyAlignment="1">
      <alignment/>
    </xf>
    <xf numFmtId="164" fontId="0" fillId="0" borderId="25" xfId="0" applyNumberFormat="1" applyFont="1" applyBorder="1" applyAlignment="1">
      <alignment/>
    </xf>
    <xf numFmtId="164" fontId="0" fillId="0" borderId="14" xfId="0" applyNumberFormat="1" applyFont="1" applyBorder="1" applyAlignment="1">
      <alignment/>
    </xf>
    <xf numFmtId="164" fontId="0" fillId="0" borderId="26" xfId="0" applyNumberFormat="1" applyFont="1" applyBorder="1" applyAlignment="1">
      <alignment/>
    </xf>
    <xf numFmtId="164" fontId="0" fillId="0" borderId="23" xfId="0" applyNumberFormat="1" applyFont="1" applyBorder="1" applyAlignment="1">
      <alignment/>
    </xf>
    <xf numFmtId="164" fontId="0" fillId="0" borderId="15" xfId="0" applyNumberFormat="1" applyFont="1" applyBorder="1" applyAlignment="1">
      <alignment/>
    </xf>
    <xf numFmtId="0" fontId="0" fillId="0" borderId="35" xfId="0" applyFont="1" applyBorder="1" applyAlignment="1">
      <alignment/>
    </xf>
    <xf numFmtId="0" fontId="0" fillId="0" borderId="44" xfId="0" applyFill="1" applyBorder="1" applyAlignment="1">
      <alignment/>
    </xf>
    <xf numFmtId="3" fontId="0" fillId="0" borderId="17" xfId="0" applyNumberFormat="1" applyFont="1" applyFill="1" applyBorder="1" applyAlignment="1">
      <alignment/>
    </xf>
    <xf numFmtId="164" fontId="0" fillId="0" borderId="17" xfId="0" applyNumberFormat="1" applyFont="1" applyFill="1" applyBorder="1" applyAlignment="1">
      <alignment/>
    </xf>
    <xf numFmtId="9" fontId="0" fillId="0" borderId="17" xfId="0" applyNumberFormat="1" applyFont="1" applyFill="1" applyBorder="1" applyAlignment="1">
      <alignment vertical="center"/>
    </xf>
    <xf numFmtId="0" fontId="0" fillId="0" borderId="17" xfId="0" applyFont="1" applyBorder="1" applyAlignment="1">
      <alignment/>
    </xf>
    <xf numFmtId="3" fontId="0" fillId="0" borderId="17" xfId="0" applyNumberFormat="1" applyFont="1" applyBorder="1" applyAlignment="1">
      <alignment/>
    </xf>
    <xf numFmtId="9" fontId="0" fillId="0" borderId="17" xfId="0" applyNumberFormat="1" applyFont="1" applyFill="1" applyBorder="1" applyAlignment="1">
      <alignment/>
    </xf>
    <xf numFmtId="0" fontId="0" fillId="0" borderId="37" xfId="0" applyFont="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4" xfId="0" applyBorder="1" applyAlignment="1">
      <alignment/>
    </xf>
    <xf numFmtId="0" fontId="0" fillId="0" borderId="17" xfId="0" applyFont="1" applyBorder="1" applyAlignment="1">
      <alignment/>
    </xf>
    <xf numFmtId="0" fontId="2" fillId="0" borderId="37" xfId="0" applyFont="1" applyBorder="1" applyAlignment="1">
      <alignment/>
    </xf>
    <xf numFmtId="0" fontId="0" fillId="0" borderId="0" xfId="0" applyFont="1" applyAlignment="1">
      <alignment/>
    </xf>
    <xf numFmtId="9" fontId="0" fillId="0" borderId="0" xfId="0" applyNumberFormat="1" applyBorder="1" applyAlignment="1">
      <alignment vertical="center"/>
    </xf>
    <xf numFmtId="39" fontId="8" fillId="34" borderId="0" xfId="0" applyNumberFormat="1" applyFont="1" applyFill="1" applyBorder="1" applyAlignment="1">
      <alignment vertical="center"/>
    </xf>
    <xf numFmtId="0" fontId="0" fillId="34" borderId="22" xfId="0" applyFont="1" applyFill="1" applyBorder="1" applyAlignment="1">
      <alignment vertical="center"/>
    </xf>
    <xf numFmtId="9" fontId="0" fillId="34" borderId="0" xfId="0" applyNumberFormat="1" applyFill="1" applyBorder="1" applyAlignment="1">
      <alignment vertical="center"/>
    </xf>
    <xf numFmtId="0" fontId="0" fillId="0" borderId="21" xfId="0" applyFont="1" applyBorder="1" applyAlignment="1">
      <alignment/>
    </xf>
    <xf numFmtId="0" fontId="0" fillId="0" borderId="22" xfId="0" applyFont="1" applyBorder="1" applyAlignment="1">
      <alignment/>
    </xf>
    <xf numFmtId="0" fontId="0" fillId="0" borderId="36" xfId="0" applyFont="1" applyBorder="1" applyAlignment="1">
      <alignment/>
    </xf>
    <xf numFmtId="0" fontId="0" fillId="0" borderId="39" xfId="0" applyFont="1" applyFill="1" applyBorder="1" applyAlignment="1">
      <alignment/>
    </xf>
    <xf numFmtId="0" fontId="0" fillId="0" borderId="16" xfId="0" applyFont="1" applyFill="1" applyBorder="1" applyAlignment="1">
      <alignment/>
    </xf>
    <xf numFmtId="0" fontId="0" fillId="0" borderId="45" xfId="0" applyFont="1" applyFill="1" applyBorder="1" applyAlignment="1">
      <alignment/>
    </xf>
    <xf numFmtId="0" fontId="0" fillId="0" borderId="36" xfId="0" applyBorder="1" applyAlignment="1">
      <alignment/>
    </xf>
    <xf numFmtId="0" fontId="0" fillId="0" borderId="39" xfId="0" applyFont="1" applyBorder="1" applyAlignment="1">
      <alignment/>
    </xf>
    <xf numFmtId="0" fontId="0" fillId="0" borderId="16" xfId="0" applyFont="1" applyBorder="1" applyAlignment="1">
      <alignment/>
    </xf>
    <xf numFmtId="0" fontId="0" fillId="0" borderId="45" xfId="0" applyBorder="1" applyAlignment="1">
      <alignment/>
    </xf>
    <xf numFmtId="0" fontId="2" fillId="34" borderId="0" xfId="0" applyFont="1" applyFill="1" applyBorder="1" applyAlignment="1">
      <alignment vertical="center"/>
    </xf>
    <xf numFmtId="0" fontId="0" fillId="0" borderId="29" xfId="0" applyFont="1" applyFill="1" applyBorder="1" applyAlignment="1">
      <alignment vertical="center"/>
    </xf>
    <xf numFmtId="0" fontId="0" fillId="0" borderId="24" xfId="0" applyFont="1" applyFill="1" applyBorder="1" applyAlignment="1">
      <alignment vertical="center"/>
    </xf>
    <xf numFmtId="0" fontId="0" fillId="0" borderId="17" xfId="0" applyFont="1" applyFill="1" applyBorder="1" applyAlignment="1">
      <alignment vertical="center"/>
    </xf>
    <xf numFmtId="0" fontId="0" fillId="0" borderId="37" xfId="0" applyFont="1" applyFill="1" applyBorder="1" applyAlignment="1">
      <alignment vertical="center"/>
    </xf>
    <xf numFmtId="0" fontId="0" fillId="0" borderId="24" xfId="0" applyFont="1" applyFill="1" applyBorder="1" applyAlignment="1">
      <alignment/>
    </xf>
    <xf numFmtId="0" fontId="0" fillId="0" borderId="17" xfId="0" applyFont="1" applyFill="1" applyBorder="1" applyAlignment="1">
      <alignment/>
    </xf>
    <xf numFmtId="0" fontId="0" fillId="0" borderId="29" xfId="0" applyFill="1" applyBorder="1" applyAlignment="1">
      <alignment/>
    </xf>
    <xf numFmtId="1" fontId="0" fillId="0" borderId="39" xfId="0" applyNumberFormat="1" applyFont="1" applyFill="1" applyBorder="1" applyAlignment="1">
      <alignment/>
    </xf>
    <xf numFmtId="1" fontId="0" fillId="0" borderId="16" xfId="0" applyNumberFormat="1" applyFont="1" applyFill="1" applyBorder="1" applyAlignment="1">
      <alignment/>
    </xf>
    <xf numFmtId="1" fontId="0" fillId="0" borderId="45" xfId="0" applyNumberFormat="1" applyFont="1" applyFill="1" applyBorder="1" applyAlignment="1">
      <alignment/>
    </xf>
    <xf numFmtId="9" fontId="7" fillId="0" borderId="24" xfId="0" applyNumberFormat="1" applyFont="1" applyFill="1" applyBorder="1" applyAlignment="1">
      <alignment horizontal="center"/>
    </xf>
    <xf numFmtId="0" fontId="7" fillId="0" borderId="24" xfId="0" applyFont="1" applyFill="1" applyBorder="1" applyAlignment="1">
      <alignment horizontal="center"/>
    </xf>
    <xf numFmtId="0" fontId="7" fillId="0" borderId="21" xfId="0" applyFont="1" applyFill="1" applyBorder="1" applyAlignment="1">
      <alignment horizontal="center"/>
    </xf>
    <xf numFmtId="165" fontId="0" fillId="0" borderId="24" xfId="0" applyNumberFormat="1" applyFont="1" applyFill="1" applyBorder="1" applyAlignment="1">
      <alignment/>
    </xf>
    <xf numFmtId="0" fontId="0" fillId="0" borderId="21" xfId="0" applyBorder="1" applyAlignment="1">
      <alignment vertical="center"/>
    </xf>
    <xf numFmtId="0" fontId="12" fillId="16" borderId="39" xfId="0" applyFont="1" applyFill="1" applyBorder="1" applyAlignment="1">
      <alignment vertical="center"/>
    </xf>
    <xf numFmtId="0" fontId="0" fillId="16" borderId="3" xfId="0" applyFill="1" applyBorder="1" applyAlignment="1">
      <alignment vertical="center"/>
    </xf>
    <xf numFmtId="0" fontId="0" fillId="16" borderId="21" xfId="0" applyFill="1" applyBorder="1" applyAlignment="1">
      <alignment vertical="center"/>
    </xf>
    <xf numFmtId="0" fontId="0" fillId="16" borderId="16" xfId="0" applyFill="1" applyBorder="1" applyAlignment="1">
      <alignment vertical="center"/>
    </xf>
    <xf numFmtId="0" fontId="0" fillId="16" borderId="0" xfId="0" applyFill="1" applyBorder="1" applyAlignment="1">
      <alignment vertical="center"/>
    </xf>
    <xf numFmtId="0" fontId="0" fillId="16" borderId="22" xfId="0" applyFill="1" applyBorder="1" applyAlignment="1">
      <alignment vertical="center"/>
    </xf>
    <xf numFmtId="0" fontId="5" fillId="16" borderId="16" xfId="0" applyFont="1" applyFill="1" applyBorder="1" applyAlignment="1">
      <alignment vertical="center"/>
    </xf>
    <xf numFmtId="9" fontId="8" fillId="16" borderId="0" xfId="0" applyNumberFormat="1" applyFont="1" applyFill="1" applyBorder="1" applyAlignment="1">
      <alignment vertical="center"/>
    </xf>
    <xf numFmtId="44" fontId="0" fillId="16" borderId="22" xfId="0" applyNumberFormat="1" applyFill="1" applyBorder="1" applyAlignment="1">
      <alignment vertical="center"/>
    </xf>
    <xf numFmtId="3" fontId="8" fillId="16" borderId="0" xfId="0" applyNumberFormat="1" applyFont="1" applyFill="1" applyBorder="1" applyAlignment="1">
      <alignment vertical="center"/>
    </xf>
    <xf numFmtId="0" fontId="0" fillId="16" borderId="16" xfId="0" applyFont="1" applyFill="1" applyBorder="1" applyAlignment="1">
      <alignment vertical="center"/>
    </xf>
    <xf numFmtId="9" fontId="0" fillId="16" borderId="0" xfId="0" applyNumberFormat="1" applyFill="1" applyBorder="1" applyAlignment="1">
      <alignment vertical="center"/>
    </xf>
    <xf numFmtId="9" fontId="0" fillId="16" borderId="22" xfId="0" applyNumberFormat="1" applyFill="1" applyBorder="1" applyAlignment="1">
      <alignment vertical="center"/>
    </xf>
    <xf numFmtId="0" fontId="16" fillId="16" borderId="16" xfId="0" applyFont="1" applyFill="1" applyBorder="1" applyAlignment="1">
      <alignment vertical="center"/>
    </xf>
    <xf numFmtId="0" fontId="0" fillId="16" borderId="45" xfId="0" applyFill="1" applyBorder="1" applyAlignment="1">
      <alignment vertical="center"/>
    </xf>
    <xf numFmtId="0" fontId="0" fillId="16" borderId="35" xfId="0" applyFill="1" applyBorder="1" applyAlignment="1">
      <alignment vertical="center"/>
    </xf>
    <xf numFmtId="0" fontId="0" fillId="16" borderId="36" xfId="0" applyFill="1" applyBorder="1" applyAlignment="1">
      <alignment vertical="center"/>
    </xf>
    <xf numFmtId="0" fontId="0" fillId="0" borderId="3" xfId="0" applyBorder="1" applyAlignment="1">
      <alignment/>
    </xf>
    <xf numFmtId="0" fontId="0" fillId="0" borderId="0" xfId="0" applyFont="1" applyBorder="1" applyAlignment="1">
      <alignment/>
    </xf>
    <xf numFmtId="9" fontId="0" fillId="0" borderId="22" xfId="0" applyNumberFormat="1" applyBorder="1" applyAlignment="1">
      <alignment/>
    </xf>
    <xf numFmtId="9" fontId="0" fillId="0" borderId="39" xfId="0" applyNumberFormat="1" applyBorder="1" applyAlignment="1">
      <alignment/>
    </xf>
    <xf numFmtId="9" fontId="0" fillId="0" borderId="21" xfId="0" applyNumberFormat="1" applyBorder="1" applyAlignment="1">
      <alignment/>
    </xf>
    <xf numFmtId="9" fontId="0" fillId="0" borderId="16" xfId="0" applyNumberFormat="1" applyBorder="1" applyAlignment="1">
      <alignment/>
    </xf>
    <xf numFmtId="9" fontId="0" fillId="0" borderId="45" xfId="0" applyNumberFormat="1" applyBorder="1" applyAlignment="1">
      <alignment/>
    </xf>
    <xf numFmtId="9" fontId="0" fillId="0" borderId="36" xfId="0" applyNumberFormat="1" applyBorder="1" applyAlignment="1">
      <alignment/>
    </xf>
    <xf numFmtId="0" fontId="2" fillId="0" borderId="45" xfId="0" applyFont="1" applyBorder="1" applyAlignment="1">
      <alignment/>
    </xf>
    <xf numFmtId="0" fontId="2" fillId="0" borderId="35" xfId="0" applyFont="1" applyBorder="1" applyAlignment="1">
      <alignment/>
    </xf>
    <xf numFmtId="10" fontId="2" fillId="0" borderId="35" xfId="0" applyNumberFormat="1" applyFont="1" applyBorder="1" applyAlignment="1">
      <alignment/>
    </xf>
    <xf numFmtId="10" fontId="2" fillId="0" borderId="36" xfId="0" applyNumberFormat="1" applyFont="1" applyBorder="1" applyAlignment="1">
      <alignment/>
    </xf>
    <xf numFmtId="0" fontId="5" fillId="34" borderId="39" xfId="0" applyFont="1" applyFill="1" applyBorder="1" applyAlignment="1">
      <alignment vertical="center"/>
    </xf>
    <xf numFmtId="164" fontId="0" fillId="0" borderId="22" xfId="0" applyNumberFormat="1" applyBorder="1" applyAlignment="1">
      <alignment vertical="center"/>
    </xf>
    <xf numFmtId="0" fontId="0" fillId="0" borderId="45" xfId="0" applyFont="1" applyBorder="1" applyAlignment="1">
      <alignment vertical="center"/>
    </xf>
    <xf numFmtId="164" fontId="0" fillId="0" borderId="36" xfId="0" applyNumberFormat="1" applyBorder="1" applyAlignment="1">
      <alignment vertical="center"/>
    </xf>
    <xf numFmtId="44" fontId="0" fillId="0" borderId="39" xfId="0" applyNumberFormat="1" applyFont="1" applyFill="1" applyBorder="1" applyAlignment="1">
      <alignment/>
    </xf>
    <xf numFmtId="44" fontId="0" fillId="0" borderId="16" xfId="0" applyNumberFormat="1" applyFont="1" applyFill="1" applyBorder="1" applyAlignment="1">
      <alignment/>
    </xf>
    <xf numFmtId="44" fontId="0" fillId="0" borderId="45" xfId="0" applyNumberFormat="1" applyFont="1" applyFill="1" applyBorder="1" applyAlignment="1">
      <alignment/>
    </xf>
    <xf numFmtId="0" fontId="0" fillId="0" borderId="24" xfId="0" applyFont="1" applyBorder="1" applyAlignment="1">
      <alignment/>
    </xf>
    <xf numFmtId="0" fontId="0" fillId="16" borderId="16" xfId="0" applyFill="1" applyBorder="1" applyAlignment="1">
      <alignment vertical="center" wrapText="1"/>
    </xf>
    <xf numFmtId="0" fontId="0" fillId="16" borderId="0" xfId="0" applyFill="1" applyBorder="1" applyAlignment="1">
      <alignment vertical="center" wrapText="1"/>
    </xf>
    <xf numFmtId="10" fontId="0" fillId="34" borderId="0" xfId="0" applyNumberFormat="1" applyFont="1" applyFill="1" applyBorder="1" applyAlignment="1">
      <alignment vertical="center"/>
    </xf>
    <xf numFmtId="2" fontId="0" fillId="34" borderId="0" xfId="0" applyNumberFormat="1" applyFont="1" applyFill="1" applyBorder="1" applyAlignment="1">
      <alignment vertical="center"/>
    </xf>
    <xf numFmtId="0" fontId="0" fillId="0" borderId="31" xfId="0" applyFont="1" applyBorder="1" applyAlignment="1">
      <alignment/>
    </xf>
    <xf numFmtId="44" fontId="0" fillId="0" borderId="0" xfId="0" applyNumberFormat="1" applyFont="1" applyBorder="1" applyAlignment="1">
      <alignment/>
    </xf>
    <xf numFmtId="164" fontId="8" fillId="16" borderId="0" xfId="0" applyNumberFormat="1" applyFont="1" applyFill="1" applyBorder="1" applyAlignment="1">
      <alignment vertical="center"/>
    </xf>
    <xf numFmtId="2" fontId="0" fillId="0" borderId="24" xfId="0" applyNumberFormat="1" applyFont="1" applyBorder="1" applyAlignment="1">
      <alignment/>
    </xf>
    <xf numFmtId="2" fontId="0" fillId="0" borderId="24" xfId="0" applyNumberFormat="1" applyFont="1" applyFill="1" applyBorder="1" applyAlignment="1">
      <alignment/>
    </xf>
    <xf numFmtId="2" fontId="0" fillId="0" borderId="17" xfId="0" applyNumberFormat="1" applyFont="1" applyFill="1" applyBorder="1" applyAlignment="1">
      <alignment/>
    </xf>
    <xf numFmtId="2" fontId="0" fillId="0" borderId="37" xfId="0" applyNumberFormat="1" applyFont="1" applyFill="1" applyBorder="1" applyAlignment="1">
      <alignment/>
    </xf>
    <xf numFmtId="2" fontId="0" fillId="0" borderId="17" xfId="0" applyNumberFormat="1" applyFont="1" applyBorder="1" applyAlignment="1">
      <alignment/>
    </xf>
    <xf numFmtId="2" fontId="0" fillId="0" borderId="37" xfId="0" applyNumberFormat="1" applyFont="1" applyBorder="1" applyAlignment="1">
      <alignment/>
    </xf>
    <xf numFmtId="0" fontId="0" fillId="16" borderId="0" xfId="0" applyFont="1" applyFill="1" applyBorder="1" applyAlignment="1">
      <alignment vertical="center"/>
    </xf>
    <xf numFmtId="0" fontId="0" fillId="34" borderId="45" xfId="0" applyFont="1" applyFill="1" applyBorder="1" applyAlignment="1">
      <alignment vertical="center"/>
    </xf>
    <xf numFmtId="2" fontId="0" fillId="34" borderId="35" xfId="0" applyNumberFormat="1" applyFont="1" applyFill="1" applyBorder="1" applyAlignment="1">
      <alignment vertical="center"/>
    </xf>
    <xf numFmtId="0" fontId="0" fillId="34" borderId="36" xfId="0" applyFont="1" applyFill="1" applyBorder="1" applyAlignment="1">
      <alignment vertical="center"/>
    </xf>
    <xf numFmtId="0" fontId="0" fillId="0" borderId="11" xfId="0" applyFont="1" applyBorder="1" applyAlignment="1">
      <alignment/>
    </xf>
    <xf numFmtId="166" fontId="2" fillId="0" borderId="16" xfId="0" applyNumberFormat="1" applyFont="1" applyBorder="1" applyAlignment="1">
      <alignment/>
    </xf>
    <xf numFmtId="166" fontId="2" fillId="0" borderId="0" xfId="0" applyNumberFormat="1" applyFont="1" applyBorder="1" applyAlignment="1">
      <alignment/>
    </xf>
    <xf numFmtId="166" fontId="2" fillId="0" borderId="12" xfId="0" applyNumberFormat="1" applyFont="1" applyBorder="1" applyAlignment="1">
      <alignment/>
    </xf>
    <xf numFmtId="166" fontId="2" fillId="0" borderId="22" xfId="0" applyNumberFormat="1" applyFont="1" applyBorder="1" applyAlignment="1">
      <alignment/>
    </xf>
    <xf numFmtId="44" fontId="0" fillId="0" borderId="22" xfId="0" applyNumberFormat="1" applyBorder="1" applyAlignment="1">
      <alignment/>
    </xf>
    <xf numFmtId="3" fontId="14" fillId="0" borderId="0" xfId="0" applyNumberFormat="1" applyFont="1" applyBorder="1" applyAlignment="1">
      <alignment/>
    </xf>
    <xf numFmtId="42" fontId="14" fillId="0" borderId="0" xfId="0" applyNumberFormat="1" applyFont="1" applyBorder="1" applyAlignment="1">
      <alignment/>
    </xf>
    <xf numFmtId="42" fontId="14" fillId="0" borderId="12" xfId="0" applyNumberFormat="1" applyFont="1" applyBorder="1" applyAlignment="1">
      <alignment/>
    </xf>
    <xf numFmtId="10" fontId="0" fillId="34" borderId="0" xfId="0" applyNumberFormat="1" applyFill="1" applyBorder="1" applyAlignment="1">
      <alignment vertical="center"/>
    </xf>
    <xf numFmtId="9" fontId="0" fillId="0" borderId="0" xfId="0" applyNumberFormat="1" applyAlignment="1">
      <alignment/>
    </xf>
    <xf numFmtId="42" fontId="0" fillId="0" borderId="0" xfId="0" applyNumberFormat="1" applyAlignment="1">
      <alignment/>
    </xf>
    <xf numFmtId="0" fontId="0" fillId="0" borderId="17" xfId="0" applyFont="1" applyBorder="1" applyAlignment="1">
      <alignment/>
    </xf>
    <xf numFmtId="42" fontId="0" fillId="0" borderId="46" xfId="0" applyNumberFormat="1" applyBorder="1" applyAlignment="1">
      <alignment/>
    </xf>
    <xf numFmtId="44" fontId="0" fillId="16" borderId="0" xfId="0" applyNumberFormat="1" applyFill="1" applyBorder="1" applyAlignment="1">
      <alignment vertical="center"/>
    </xf>
    <xf numFmtId="0" fontId="0" fillId="0" borderId="0" xfId="0" applyFill="1" applyAlignment="1">
      <alignment/>
    </xf>
    <xf numFmtId="0" fontId="0" fillId="0" borderId="0" xfId="0" applyFont="1" applyFill="1" applyAlignment="1">
      <alignment/>
    </xf>
    <xf numFmtId="164" fontId="9" fillId="40" borderId="29" xfId="0" applyNumberFormat="1" applyFont="1" applyFill="1" applyBorder="1" applyAlignment="1">
      <alignment horizontal="center" vertical="center"/>
    </xf>
    <xf numFmtId="44" fontId="8" fillId="41" borderId="0" xfId="0" applyNumberFormat="1" applyFont="1" applyFill="1" applyBorder="1" applyAlignment="1">
      <alignment vertical="center"/>
    </xf>
    <xf numFmtId="9" fontId="0" fillId="41" borderId="0" xfId="0" applyNumberFormat="1" applyFill="1" applyBorder="1" applyAlignment="1">
      <alignment vertical="center"/>
    </xf>
    <xf numFmtId="4" fontId="8" fillId="41" borderId="0" xfId="0" applyNumberFormat="1" applyFont="1" applyFill="1" applyBorder="1" applyAlignment="1">
      <alignment vertical="center"/>
    </xf>
    <xf numFmtId="0" fontId="0" fillId="41" borderId="0" xfId="0" applyFill="1" applyBorder="1" applyAlignment="1">
      <alignment vertical="center"/>
    </xf>
    <xf numFmtId="0" fontId="0" fillId="41" borderId="0" xfId="0" applyFont="1" applyFill="1" applyBorder="1" applyAlignment="1">
      <alignment vertical="center"/>
    </xf>
    <xf numFmtId="2" fontId="0" fillId="41" borderId="0" xfId="0" applyNumberFormat="1" applyFont="1" applyFill="1" applyBorder="1" applyAlignment="1">
      <alignment vertical="center"/>
    </xf>
    <xf numFmtId="10" fontId="8" fillId="41" borderId="0" xfId="0" applyNumberFormat="1" applyFont="1" applyFill="1" applyBorder="1" applyAlignment="1">
      <alignment vertical="center"/>
    </xf>
    <xf numFmtId="8" fontId="0" fillId="40" borderId="0" xfId="0" applyNumberFormat="1" applyFill="1" applyAlignment="1">
      <alignment/>
    </xf>
    <xf numFmtId="10" fontId="0" fillId="0" borderId="0" xfId="0" applyNumberFormat="1" applyBorder="1" applyAlignment="1">
      <alignment vertical="center"/>
    </xf>
    <xf numFmtId="0" fontId="0" fillId="0" borderId="0" xfId="104">
      <alignment/>
      <protection/>
    </xf>
    <xf numFmtId="0" fontId="38" fillId="0" borderId="0" xfId="104" applyFont="1" applyAlignment="1">
      <alignment/>
      <protection/>
    </xf>
    <xf numFmtId="49" fontId="88" fillId="0" borderId="0" xfId="104" applyNumberFormat="1" applyFont="1" applyAlignment="1">
      <alignment horizontal="left"/>
      <protection/>
    </xf>
    <xf numFmtId="0" fontId="0" fillId="0" borderId="0" xfId="105">
      <alignment/>
      <protection/>
    </xf>
    <xf numFmtId="0" fontId="6" fillId="0" borderId="0" xfId="104" applyFont="1" applyBorder="1" applyAlignment="1">
      <alignment/>
      <protection/>
    </xf>
    <xf numFmtId="0" fontId="38" fillId="0" borderId="0" xfId="105" applyFont="1" applyAlignment="1">
      <alignment horizontal="right" vertical="top"/>
      <protection/>
    </xf>
    <xf numFmtId="0" fontId="0" fillId="0" borderId="0" xfId="107">
      <alignment/>
      <protection/>
    </xf>
    <xf numFmtId="0" fontId="39" fillId="0" borderId="0" xfId="104" applyFont="1" applyBorder="1" applyAlignment="1">
      <alignment horizontal="left"/>
      <protection/>
    </xf>
    <xf numFmtId="0" fontId="10" fillId="0" borderId="0" xfId="105" applyFont="1">
      <alignment/>
      <protection/>
    </xf>
    <xf numFmtId="14" fontId="38" fillId="0" borderId="0" xfId="105" applyNumberFormat="1" applyFont="1" applyAlignment="1">
      <alignment horizontal="right" vertical="top"/>
      <protection/>
    </xf>
    <xf numFmtId="0" fontId="40" fillId="0" borderId="0" xfId="107" applyFont="1">
      <alignment/>
      <protection/>
    </xf>
    <xf numFmtId="0" fontId="41" fillId="0" borderId="47" xfId="107" applyFont="1" applyBorder="1" applyAlignment="1">
      <alignment horizontal="center" vertical="center" wrapText="1"/>
      <protection/>
    </xf>
    <xf numFmtId="0" fontId="0" fillId="0" borderId="47" xfId="107" applyFont="1" applyBorder="1" applyAlignment="1">
      <alignment horizontal="center" vertical="center" wrapText="1"/>
      <protection/>
    </xf>
    <xf numFmtId="0" fontId="0" fillId="0" borderId="41" xfId="107" applyFont="1" applyBorder="1" applyAlignment="1">
      <alignment horizontal="center" vertical="center" wrapText="1"/>
      <protection/>
    </xf>
    <xf numFmtId="0" fontId="42" fillId="0" borderId="24" xfId="107" applyFont="1" applyBorder="1" applyAlignment="1">
      <alignment horizontal="center" vertical="center" wrapText="1"/>
      <protection/>
    </xf>
    <xf numFmtId="0" fontId="0" fillId="0" borderId="0" xfId="107" applyFont="1">
      <alignment/>
      <protection/>
    </xf>
    <xf numFmtId="0" fontId="0" fillId="0" borderId="17" xfId="107" applyFill="1" applyBorder="1" applyAlignment="1">
      <alignment vertical="center"/>
      <protection/>
    </xf>
    <xf numFmtId="0" fontId="0" fillId="0" borderId="0" xfId="107" applyBorder="1" applyAlignment="1">
      <alignment vertical="center" wrapText="1"/>
      <protection/>
    </xf>
    <xf numFmtId="9" fontId="0" fillId="0" borderId="17" xfId="107" applyNumberFormat="1" applyBorder="1" applyAlignment="1">
      <alignment horizontal="center" vertical="center"/>
      <protection/>
    </xf>
    <xf numFmtId="9" fontId="0" fillId="0" borderId="22" xfId="111" applyFont="1" applyBorder="1" applyAlignment="1">
      <alignment horizontal="center" vertical="center"/>
    </xf>
    <xf numFmtId="9" fontId="0" fillId="38" borderId="17" xfId="107" applyNumberFormat="1" applyFont="1" applyFill="1" applyBorder="1" applyAlignment="1">
      <alignment horizontal="center" vertical="center"/>
      <protection/>
    </xf>
    <xf numFmtId="0" fontId="43" fillId="0" borderId="37" xfId="107" applyFont="1" applyFill="1" applyBorder="1" applyAlignment="1">
      <alignment horizontal="center" vertical="center" wrapText="1"/>
      <protection/>
    </xf>
    <xf numFmtId="0" fontId="0" fillId="0" borderId="37" xfId="107" applyFill="1" applyBorder="1" applyAlignment="1">
      <alignment vertical="center"/>
      <protection/>
    </xf>
    <xf numFmtId="0" fontId="0" fillId="0" borderId="35" xfId="107" applyBorder="1" applyAlignment="1">
      <alignment vertical="center" wrapText="1"/>
      <protection/>
    </xf>
    <xf numFmtId="9" fontId="0" fillId="0" borderId="37" xfId="107" applyNumberFormat="1" applyBorder="1" applyAlignment="1">
      <alignment horizontal="center" vertical="center"/>
      <protection/>
    </xf>
    <xf numFmtId="0" fontId="2" fillId="0" borderId="0" xfId="107" applyFont="1" applyAlignment="1">
      <alignment horizontal="right"/>
      <protection/>
    </xf>
    <xf numFmtId="164" fontId="9" fillId="0" borderId="0" xfId="111" applyNumberFormat="1" applyFont="1" applyFill="1" applyBorder="1" applyAlignment="1">
      <alignment horizontal="center"/>
    </xf>
    <xf numFmtId="0" fontId="0" fillId="0" borderId="29" xfId="107" applyFont="1" applyBorder="1">
      <alignment/>
      <protection/>
    </xf>
    <xf numFmtId="0" fontId="89" fillId="0" borderId="29" xfId="107" applyFont="1" applyBorder="1" applyAlignment="1">
      <alignment horizontal="center"/>
      <protection/>
    </xf>
    <xf numFmtId="164" fontId="89" fillId="0" borderId="29" xfId="111" applyNumberFormat="1" applyFont="1" applyFill="1" applyBorder="1" applyAlignment="1">
      <alignment horizontal="center"/>
    </xf>
    <xf numFmtId="0" fontId="2" fillId="0" borderId="29" xfId="107" applyFont="1" applyBorder="1" applyAlignment="1">
      <alignment horizontal="center"/>
      <protection/>
    </xf>
    <xf numFmtId="0" fontId="2" fillId="0" borderId="29" xfId="107" applyFont="1" applyBorder="1">
      <alignment/>
      <protection/>
    </xf>
    <xf numFmtId="9" fontId="90" fillId="0" borderId="29" xfId="107" applyNumberFormat="1" applyFont="1" applyBorder="1" applyAlignment="1">
      <alignment horizontal="center"/>
      <protection/>
    </xf>
    <xf numFmtId="14" fontId="90" fillId="0" borderId="29" xfId="104" applyNumberFormat="1" applyFont="1" applyBorder="1" applyAlignment="1">
      <alignment horizontal="center" vertical="center" wrapText="1"/>
      <protection/>
    </xf>
    <xf numFmtId="14" fontId="90" fillId="0" borderId="29" xfId="104" applyNumberFormat="1" applyFont="1" applyFill="1" applyBorder="1" applyAlignment="1">
      <alignment horizontal="center" vertical="center" wrapText="1"/>
      <protection/>
    </xf>
    <xf numFmtId="14" fontId="2" fillId="0" borderId="29" xfId="104" applyNumberFormat="1" applyFont="1" applyFill="1" applyBorder="1" applyAlignment="1">
      <alignment horizontal="center" vertical="center" wrapText="1"/>
      <protection/>
    </xf>
    <xf numFmtId="0" fontId="2" fillId="0" borderId="0" xfId="0" applyFont="1" applyFill="1" applyAlignment="1">
      <alignment horizontal="right"/>
    </xf>
    <xf numFmtId="0" fontId="0" fillId="0" borderId="0" xfId="107" applyFill="1">
      <alignment/>
      <protection/>
    </xf>
    <xf numFmtId="0" fontId="1" fillId="0" borderId="0" xfId="107" applyFont="1">
      <alignment/>
      <protection/>
    </xf>
    <xf numFmtId="0" fontId="0" fillId="0" borderId="0" xfId="0" applyFont="1" applyFill="1" applyBorder="1" applyAlignment="1">
      <alignment/>
    </xf>
    <xf numFmtId="8" fontId="0" fillId="0" borderId="0" xfId="0" applyNumberFormat="1" applyBorder="1" applyAlignment="1">
      <alignment/>
    </xf>
    <xf numFmtId="9" fontId="41" fillId="41" borderId="16" xfId="107" applyNumberFormat="1" applyFont="1" applyFill="1" applyBorder="1" applyAlignment="1">
      <alignment horizontal="center" vertical="center"/>
      <protection/>
    </xf>
    <xf numFmtId="164" fontId="91" fillId="42" borderId="29" xfId="111" applyNumberFormat="1" applyFont="1" applyFill="1" applyBorder="1" applyAlignment="1">
      <alignment horizontal="center" vertical="center"/>
    </xf>
    <xf numFmtId="164" fontId="2" fillId="0" borderId="29" xfId="107" applyNumberFormat="1" applyFont="1" applyBorder="1" applyAlignment="1">
      <alignment horizontal="center"/>
      <protection/>
    </xf>
    <xf numFmtId="37" fontId="2" fillId="0" borderId="29" xfId="62" applyNumberFormat="1" applyFont="1" applyFill="1" applyBorder="1" applyAlignment="1">
      <alignment/>
    </xf>
    <xf numFmtId="0" fontId="69" fillId="0" borderId="0" xfId="102">
      <alignment/>
      <protection/>
    </xf>
    <xf numFmtId="164" fontId="8" fillId="41" borderId="0" xfId="0" applyNumberFormat="1" applyFont="1" applyFill="1" applyBorder="1" applyAlignment="1">
      <alignment vertical="center"/>
    </xf>
    <xf numFmtId="4" fontId="45" fillId="0" borderId="0" xfId="103" applyNumberFormat="1" applyFont="1" applyFill="1" applyBorder="1" applyAlignment="1" applyProtection="1">
      <alignment horizontal="right" vertical="center" wrapText="1"/>
      <protection/>
    </xf>
    <xf numFmtId="3" fontId="2" fillId="0" borderId="29" xfId="107" applyNumberFormat="1" applyFont="1" applyBorder="1">
      <alignment/>
      <protection/>
    </xf>
    <xf numFmtId="0" fontId="6"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ont="1" applyBorder="1" applyAlignment="1">
      <alignment horizontal="left" vertical="center" wrapText="1"/>
    </xf>
    <xf numFmtId="0" fontId="0" fillId="0" borderId="0" xfId="0" applyFont="1" applyAlignment="1">
      <alignment vertical="center" wrapText="1"/>
    </xf>
    <xf numFmtId="0" fontId="46" fillId="0" borderId="0" xfId="0" applyFont="1" applyAlignment="1">
      <alignment vertical="center" wrapText="1"/>
    </xf>
    <xf numFmtId="0" fontId="2" fillId="0" borderId="0" xfId="0" applyFont="1" applyBorder="1" applyAlignment="1">
      <alignment horizontal="left" vertical="center" wrapText="1"/>
    </xf>
    <xf numFmtId="0" fontId="0" fillId="0" borderId="0" xfId="104" applyAlignment="1">
      <alignment vertical="center"/>
      <protection/>
    </xf>
    <xf numFmtId="0" fontId="2" fillId="0" borderId="48" xfId="104" applyFont="1" applyBorder="1" applyAlignment="1">
      <alignment horizontal="left" vertical="center" wrapText="1"/>
      <protection/>
    </xf>
    <xf numFmtId="0" fontId="92" fillId="0" borderId="49" xfId="0" applyFont="1" applyBorder="1" applyAlignment="1">
      <alignment/>
    </xf>
    <xf numFmtId="0" fontId="2" fillId="0" borderId="50" xfId="0" applyFont="1" applyBorder="1" applyAlignment="1">
      <alignment/>
    </xf>
    <xf numFmtId="0" fontId="2" fillId="0" borderId="0" xfId="104" applyFont="1" applyAlignment="1">
      <alignment vertical="center"/>
      <protection/>
    </xf>
    <xf numFmtId="0" fontId="2" fillId="0" borderId="51" xfId="104" applyFont="1" applyBorder="1" applyAlignment="1">
      <alignment horizontal="left" vertical="center" wrapText="1"/>
      <protection/>
    </xf>
    <xf numFmtId="14" fontId="0" fillId="0" borderId="52" xfId="104" applyNumberFormat="1" applyFont="1" applyBorder="1" applyAlignment="1">
      <alignment horizontal="left" vertical="center" wrapText="1"/>
      <protection/>
    </xf>
    <xf numFmtId="6" fontId="0" fillId="0" borderId="52" xfId="104" applyNumberFormat="1" applyFont="1" applyFill="1" applyBorder="1" applyAlignment="1">
      <alignment horizontal="left" vertical="center" wrapText="1"/>
      <protection/>
    </xf>
    <xf numFmtId="0" fontId="2" fillId="0" borderId="53" xfId="0" applyFont="1" applyBorder="1" applyAlignment="1">
      <alignment vertical="center"/>
    </xf>
    <xf numFmtId="0" fontId="93" fillId="0" borderId="52" xfId="104" applyFont="1" applyBorder="1" applyAlignment="1">
      <alignment horizontal="justify" vertical="center" wrapText="1"/>
      <protection/>
    </xf>
    <xf numFmtId="0" fontId="2" fillId="0" borderId="53" xfId="104" applyFont="1" applyBorder="1" applyAlignment="1">
      <alignment vertical="center" wrapText="1"/>
      <protection/>
    </xf>
    <xf numFmtId="0" fontId="93" fillId="0" borderId="52" xfId="104" applyFont="1" applyBorder="1" applyAlignment="1">
      <alignment vertical="center" wrapText="1"/>
      <protection/>
    </xf>
    <xf numFmtId="0" fontId="2" fillId="0" borderId="54" xfId="0" applyFont="1" applyBorder="1" applyAlignment="1">
      <alignment/>
    </xf>
    <xf numFmtId="0" fontId="0" fillId="0" borderId="55" xfId="104" applyFont="1" applyFill="1" applyBorder="1" applyAlignment="1">
      <alignment horizontal="left" vertical="center" wrapText="1"/>
      <protection/>
    </xf>
    <xf numFmtId="0" fontId="0" fillId="0" borderId="0" xfId="104" applyFont="1" applyFill="1" applyBorder="1" applyAlignment="1">
      <alignment horizontal="left" vertical="center" wrapText="1"/>
      <protection/>
    </xf>
    <xf numFmtId="9" fontId="0" fillId="0" borderId="0" xfId="104" applyNumberFormat="1" applyFont="1" applyBorder="1" applyAlignment="1">
      <alignment horizontal="left" vertical="center" wrapText="1"/>
      <protection/>
    </xf>
    <xf numFmtId="0" fontId="2" fillId="0" borderId="0" xfId="0" applyFont="1" applyBorder="1" applyAlignment="1">
      <alignment horizontal="left" wrapText="1"/>
    </xf>
    <xf numFmtId="0" fontId="0" fillId="0" borderId="0" xfId="106" applyFont="1" applyBorder="1" applyAlignment="1">
      <alignment horizontal="left" vertical="top" wrapText="1"/>
      <protection/>
    </xf>
    <xf numFmtId="0" fontId="80" fillId="0" borderId="0" xfId="85" applyBorder="1" applyAlignment="1" applyProtection="1">
      <alignment horizontal="left" vertical="top" wrapText="1"/>
      <protection/>
    </xf>
    <xf numFmtId="0" fontId="4" fillId="0" borderId="0" xfId="88" applyFont="1" applyBorder="1" applyAlignment="1" applyProtection="1">
      <alignment horizontal="left" vertical="top" wrapText="1"/>
      <protection/>
    </xf>
    <xf numFmtId="0" fontId="0" fillId="0" borderId="0" xfId="104" applyFont="1" applyBorder="1" applyAlignment="1">
      <alignment horizontal="left"/>
      <protection/>
    </xf>
    <xf numFmtId="0" fontId="0" fillId="0" borderId="0" xfId="104" applyFont="1">
      <alignment/>
      <protection/>
    </xf>
    <xf numFmtId="0" fontId="0" fillId="0" borderId="0" xfId="104" applyAlignment="1">
      <alignment wrapText="1"/>
      <protection/>
    </xf>
    <xf numFmtId="0" fontId="80" fillId="0" borderId="0" xfId="85" applyFill="1" applyBorder="1" applyAlignment="1" applyProtection="1">
      <alignment horizontal="left" vertical="top" wrapText="1"/>
      <protection/>
    </xf>
    <xf numFmtId="0" fontId="4" fillId="0" borderId="0" xfId="88" applyFont="1" applyFill="1" applyBorder="1" applyAlignment="1" applyProtection="1">
      <alignment horizontal="left" vertical="top" wrapText="1"/>
      <protection/>
    </xf>
    <xf numFmtId="0" fontId="0" fillId="0" borderId="0" xfId="104" applyFont="1" applyBorder="1" applyAlignment="1">
      <alignment horizontal="left" wrapText="1"/>
      <protection/>
    </xf>
    <xf numFmtId="0" fontId="0" fillId="0" borderId="0" xfId="104" applyFont="1" applyAlignment="1">
      <alignment wrapText="1"/>
      <protection/>
    </xf>
    <xf numFmtId="0" fontId="0" fillId="0" borderId="0" xfId="106" applyFont="1" applyBorder="1" applyAlignment="1">
      <alignment horizontal="left" wrapText="1"/>
      <protection/>
    </xf>
    <xf numFmtId="0" fontId="4" fillId="0" borderId="0" xfId="88" applyFont="1" applyBorder="1" applyAlignment="1" applyProtection="1">
      <alignment horizontal="left" wrapText="1"/>
      <protection/>
    </xf>
    <xf numFmtId="0" fontId="4" fillId="0" borderId="0" xfId="88" applyNumberFormat="1" applyFont="1" applyBorder="1" applyAlignment="1" applyProtection="1">
      <alignment horizontal="left" wrapText="1"/>
      <protection/>
    </xf>
    <xf numFmtId="0" fontId="0" fillId="0" borderId="0" xfId="104" applyNumberFormat="1" applyFont="1" applyBorder="1" applyAlignment="1">
      <alignment horizontal="left" wrapText="1"/>
      <protection/>
    </xf>
    <xf numFmtId="0" fontId="4" fillId="0" borderId="0" xfId="88" applyFont="1" applyAlignment="1" applyProtection="1">
      <alignment/>
      <protection/>
    </xf>
    <xf numFmtId="0" fontId="0" fillId="0" borderId="0" xfId="104" applyFont="1" applyFill="1" applyBorder="1" applyAlignment="1">
      <alignment vertical="top" wrapText="1"/>
      <protection/>
    </xf>
    <xf numFmtId="0" fontId="0" fillId="0" borderId="0" xfId="104" applyFont="1" applyBorder="1" applyAlignment="1">
      <alignment wrapText="1"/>
      <protection/>
    </xf>
    <xf numFmtId="0" fontId="0" fillId="0" borderId="0" xfId="104" applyBorder="1" applyAlignment="1">
      <alignment wrapText="1"/>
      <protection/>
    </xf>
    <xf numFmtId="0" fontId="0" fillId="13" borderId="11" xfId="0" applyFont="1" applyFill="1" applyBorder="1" applyAlignment="1">
      <alignment/>
    </xf>
    <xf numFmtId="0" fontId="0" fillId="13" borderId="11" xfId="0" applyFill="1" applyBorder="1" applyAlignment="1">
      <alignment/>
    </xf>
    <xf numFmtId="0" fontId="4" fillId="0" borderId="0" xfId="84" applyBorder="1" applyAlignment="1" applyProtection="1">
      <alignment horizontal="left" wrapText="1"/>
      <protection/>
    </xf>
    <xf numFmtId="0" fontId="4" fillId="0" borderId="0" xfId="84" applyAlignment="1" applyProtection="1">
      <alignment/>
      <protection/>
    </xf>
    <xf numFmtId="0" fontId="6" fillId="0" borderId="0" xfId="104" applyFont="1" applyAlignment="1">
      <alignment horizontal="center" vertical="center"/>
      <protection/>
    </xf>
    <xf numFmtId="0" fontId="10" fillId="0" borderId="0" xfId="104" applyFont="1" applyBorder="1" applyAlignment="1">
      <alignment horizontal="center"/>
      <protection/>
    </xf>
    <xf numFmtId="0" fontId="7" fillId="0" borderId="0" xfId="0" applyFont="1" applyBorder="1" applyAlignment="1">
      <alignment horizontal="left" vertical="center"/>
    </xf>
    <xf numFmtId="0" fontId="2" fillId="0" borderId="0" xfId="107" applyFont="1" applyFill="1" applyBorder="1" applyAlignment="1">
      <alignment vertical="center" wrapText="1"/>
      <protection/>
    </xf>
    <xf numFmtId="0" fontId="0" fillId="0" borderId="28" xfId="107" applyFill="1" applyBorder="1" applyAlignment="1">
      <alignment vertical="center"/>
      <protection/>
    </xf>
    <xf numFmtId="0" fontId="0" fillId="0" borderId="28" xfId="107" applyBorder="1" applyAlignment="1">
      <alignment vertical="center" wrapText="1"/>
      <protection/>
    </xf>
    <xf numFmtId="9" fontId="41" fillId="41" borderId="28" xfId="107" applyNumberFormat="1" applyFont="1" applyFill="1" applyBorder="1" applyAlignment="1">
      <alignment horizontal="center" vertical="center"/>
      <protection/>
    </xf>
    <xf numFmtId="9" fontId="0" fillId="0" borderId="28" xfId="107" applyNumberFormat="1" applyBorder="1" applyAlignment="1">
      <alignment horizontal="center" vertical="center"/>
      <protection/>
    </xf>
    <xf numFmtId="9" fontId="0" fillId="0" borderId="28" xfId="111" applyFont="1" applyBorder="1" applyAlignment="1">
      <alignment horizontal="center" vertical="center"/>
    </xf>
    <xf numFmtId="9" fontId="0" fillId="38" borderId="28" xfId="107" applyNumberFormat="1" applyFont="1" applyFill="1" applyBorder="1" applyAlignment="1">
      <alignment horizontal="center" vertical="center"/>
      <protection/>
    </xf>
    <xf numFmtId="10" fontId="0" fillId="38" borderId="37" xfId="107" applyNumberFormat="1" applyFont="1" applyFill="1" applyBorder="1" applyAlignment="1">
      <alignment horizontal="center" vertical="center"/>
      <protection/>
    </xf>
    <xf numFmtId="10" fontId="41" fillId="41" borderId="45" xfId="107" applyNumberFormat="1" applyFont="1" applyFill="1" applyBorder="1" applyAlignment="1">
      <alignment horizontal="center" vertical="center"/>
      <protection/>
    </xf>
    <xf numFmtId="2" fontId="41" fillId="41" borderId="45" xfId="107" applyNumberFormat="1" applyFont="1" applyFill="1" applyBorder="1" applyAlignment="1">
      <alignment horizontal="center" vertical="center"/>
      <protection/>
    </xf>
    <xf numFmtId="2" fontId="0" fillId="38" borderId="37" xfId="107" applyNumberFormat="1" applyFont="1" applyFill="1" applyBorder="1" applyAlignment="1">
      <alignment horizontal="center" vertical="center"/>
      <protection/>
    </xf>
    <xf numFmtId="1" fontId="0" fillId="0" borderId="36" xfId="111" applyNumberFormat="1" applyFont="1" applyBorder="1" applyAlignment="1">
      <alignment horizontal="center" vertical="center"/>
    </xf>
    <xf numFmtId="2" fontId="0" fillId="0" borderId="37" xfId="107" applyNumberFormat="1" applyBorder="1" applyAlignment="1">
      <alignment horizontal="center" vertical="center"/>
      <protection/>
    </xf>
    <xf numFmtId="173" fontId="41" fillId="41" borderId="45" xfId="107" applyNumberFormat="1" applyFont="1" applyFill="1" applyBorder="1" applyAlignment="1">
      <alignment horizontal="center" vertical="center"/>
      <protection/>
    </xf>
    <xf numFmtId="173" fontId="0" fillId="0" borderId="37" xfId="107" applyNumberFormat="1" applyBorder="1" applyAlignment="1">
      <alignment horizontal="center" vertical="center"/>
      <protection/>
    </xf>
    <xf numFmtId="173" fontId="0" fillId="38" borderId="37" xfId="107" applyNumberFormat="1" applyFont="1" applyFill="1" applyBorder="1" applyAlignment="1">
      <alignment horizontal="center" vertical="center"/>
      <protection/>
    </xf>
    <xf numFmtId="173" fontId="0" fillId="0" borderId="36" xfId="111" applyNumberFormat="1" applyFont="1" applyBorder="1" applyAlignment="1">
      <alignment horizontal="center" vertical="center"/>
    </xf>
    <xf numFmtId="2" fontId="0" fillId="0" borderId="36" xfId="111" applyNumberFormat="1" applyFont="1" applyBorder="1" applyAlignment="1">
      <alignment horizontal="center" vertical="center"/>
    </xf>
    <xf numFmtId="9" fontId="0" fillId="0" borderId="36" xfId="111" applyFont="1" applyBorder="1" applyAlignment="1">
      <alignment horizontal="center" vertical="center"/>
    </xf>
    <xf numFmtId="0" fontId="94" fillId="0" borderId="52" xfId="0" applyFont="1" applyBorder="1" applyAlignment="1">
      <alignment horizontal="left" vertical="center" wrapText="1"/>
    </xf>
    <xf numFmtId="0" fontId="88" fillId="0" borderId="0" xfId="104" applyFont="1" applyAlignment="1">
      <alignment horizontal="right"/>
      <protection/>
    </xf>
    <xf numFmtId="14" fontId="94" fillId="0" borderId="29" xfId="104" applyNumberFormat="1" applyFont="1" applyBorder="1" applyAlignment="1">
      <alignment horizontal="left" vertical="center" wrapText="1"/>
      <protection/>
    </xf>
    <xf numFmtId="0" fontId="94" fillId="0" borderId="56" xfId="0" applyFont="1" applyBorder="1" applyAlignment="1">
      <alignment horizontal="left" vertical="center" wrapText="1"/>
    </xf>
    <xf numFmtId="0" fontId="94" fillId="0" borderId="29" xfId="104" applyFont="1" applyBorder="1" applyAlignment="1">
      <alignment horizontal="justify" vertical="center" wrapText="1"/>
      <protection/>
    </xf>
    <xf numFmtId="0" fontId="94" fillId="0" borderId="29" xfId="104" applyFont="1" applyBorder="1" applyAlignment="1">
      <alignment vertical="center" wrapText="1"/>
      <protection/>
    </xf>
    <xf numFmtId="9" fontId="94" fillId="0" borderId="57" xfId="104" applyNumberFormat="1" applyFont="1" applyBorder="1" applyAlignment="1">
      <alignment horizontal="left" vertical="center" wrapText="1"/>
      <protection/>
    </xf>
    <xf numFmtId="42" fontId="14" fillId="0" borderId="17" xfId="0" applyNumberFormat="1" applyFont="1" applyBorder="1" applyAlignment="1">
      <alignment/>
    </xf>
    <xf numFmtId="0" fontId="0" fillId="16" borderId="0" xfId="0" applyFont="1" applyFill="1" applyBorder="1" applyAlignment="1">
      <alignment vertical="center" wrapText="1"/>
    </xf>
    <xf numFmtId="0" fontId="2" fillId="0" borderId="0" xfId="0" applyFont="1" applyBorder="1" applyAlignment="1">
      <alignment vertical="center"/>
    </xf>
    <xf numFmtId="0" fontId="47" fillId="0" borderId="0" xfId="0" applyFont="1" applyBorder="1" applyAlignment="1">
      <alignment vertical="center"/>
    </xf>
    <xf numFmtId="0" fontId="2" fillId="0" borderId="0" xfId="0" applyFont="1" applyFill="1" applyBorder="1" applyAlignment="1">
      <alignment vertical="center"/>
    </xf>
    <xf numFmtId="0" fontId="2" fillId="7" borderId="0" xfId="0" applyFont="1" applyFill="1" applyBorder="1" applyAlignment="1">
      <alignment vertical="center"/>
    </xf>
    <xf numFmtId="0" fontId="0" fillId="10" borderId="0" xfId="0" applyFill="1" applyBorder="1" applyAlignment="1">
      <alignment vertical="center"/>
    </xf>
    <xf numFmtId="0" fontId="2" fillId="10" borderId="0" xfId="0" applyFont="1" applyFill="1" applyBorder="1" applyAlignment="1">
      <alignment vertical="center"/>
    </xf>
    <xf numFmtId="0" fontId="2" fillId="10" borderId="0" xfId="0" applyFont="1" applyFill="1" applyAlignment="1">
      <alignment vertical="center" wrapText="1"/>
    </xf>
    <xf numFmtId="0" fontId="13" fillId="10" borderId="0" xfId="0" applyFont="1" applyFill="1" applyBorder="1" applyAlignment="1">
      <alignment vertical="center"/>
    </xf>
    <xf numFmtId="0" fontId="0" fillId="0" borderId="17" xfId="0" applyBorder="1" applyAlignment="1">
      <alignment vertical="center"/>
    </xf>
    <xf numFmtId="0" fontId="0" fillId="0" borderId="37" xfId="0" applyBorder="1" applyAlignment="1">
      <alignment vertical="center"/>
    </xf>
    <xf numFmtId="0" fontId="2" fillId="0" borderId="29" xfId="0" applyFont="1" applyBorder="1" applyAlignment="1">
      <alignment vertical="center"/>
    </xf>
    <xf numFmtId="0" fontId="0" fillId="0" borderId="0" xfId="0" applyBorder="1" applyAlignment="1">
      <alignment wrapText="1"/>
    </xf>
    <xf numFmtId="0" fontId="7" fillId="0" borderId="11" xfId="0" applyFont="1" applyFill="1" applyBorder="1" applyAlignment="1">
      <alignment/>
    </xf>
    <xf numFmtId="0" fontId="7" fillId="0" borderId="0" xfId="0" applyFont="1" applyAlignment="1">
      <alignment/>
    </xf>
    <xf numFmtId="0" fontId="0" fillId="0" borderId="0" xfId="106" applyFont="1" applyBorder="1" applyAlignment="1">
      <alignment horizontal="left" vertical="top" wrapText="1"/>
      <protection/>
    </xf>
    <xf numFmtId="0" fontId="0" fillId="0" borderId="0" xfId="106" applyFont="1" applyBorder="1" applyAlignment="1">
      <alignment horizontal="left" wrapText="1"/>
      <protection/>
    </xf>
    <xf numFmtId="0" fontId="0" fillId="0" borderId="0" xfId="106" applyNumberFormat="1" applyFont="1" applyBorder="1" applyAlignment="1">
      <alignment horizontal="left" wrapText="1"/>
      <protection/>
    </xf>
    <xf numFmtId="0" fontId="6" fillId="0" borderId="0" xfId="104" applyFont="1" applyAlignment="1">
      <alignment horizontal="center" vertical="center"/>
      <protection/>
    </xf>
    <xf numFmtId="0" fontId="0" fillId="0" borderId="0" xfId="0" applyAlignment="1">
      <alignment horizontal="center" vertical="center"/>
    </xf>
    <xf numFmtId="0" fontId="10" fillId="0" borderId="0" xfId="104" applyFont="1" applyBorder="1" applyAlignment="1">
      <alignment horizontal="center"/>
      <protection/>
    </xf>
    <xf numFmtId="0" fontId="0" fillId="0" borderId="0" xfId="0" applyAlignment="1">
      <alignment horizontal="center"/>
    </xf>
    <xf numFmtId="0" fontId="0" fillId="0" borderId="0" xfId="104" applyNumberFormat="1" applyFont="1" applyBorder="1" applyAlignment="1">
      <alignment horizontal="left" wrapText="1"/>
      <protection/>
    </xf>
    <xf numFmtId="0" fontId="4" fillId="0" borderId="0" xfId="84" applyBorder="1" applyAlignment="1" applyProtection="1">
      <alignment horizontal="left" wrapText="1"/>
      <protection/>
    </xf>
    <xf numFmtId="0" fontId="4" fillId="0" borderId="0" xfId="84" applyAlignment="1" applyProtection="1">
      <alignment horizontal="left"/>
      <protection/>
    </xf>
    <xf numFmtId="0" fontId="44" fillId="0" borderId="0" xfId="107" applyFont="1" applyBorder="1" applyAlignment="1">
      <alignment horizontal="center" vertical="center" wrapText="1"/>
      <protection/>
    </xf>
    <xf numFmtId="0" fontId="1" fillId="0" borderId="0" xfId="107" applyFont="1" applyAlignment="1">
      <alignment horizontal="left" vertical="top" wrapText="1"/>
      <protection/>
    </xf>
    <xf numFmtId="0" fontId="0" fillId="0" borderId="0" xfId="107" applyFont="1" applyAlignment="1">
      <alignment horizontal="left" wrapText="1"/>
      <protection/>
    </xf>
    <xf numFmtId="0" fontId="0" fillId="0" borderId="0" xfId="107" applyAlignment="1">
      <alignment horizontal="left" wrapText="1"/>
      <protection/>
    </xf>
    <xf numFmtId="0" fontId="2" fillId="0" borderId="24" xfId="107" applyFont="1" applyFill="1" applyBorder="1" applyAlignment="1">
      <alignment horizontal="left" vertical="center"/>
      <protection/>
    </xf>
    <xf numFmtId="0" fontId="2" fillId="0" borderId="25" xfId="107" applyFont="1" applyFill="1" applyBorder="1" applyAlignment="1">
      <alignment horizontal="left" vertical="center"/>
      <protection/>
    </xf>
    <xf numFmtId="0" fontId="40" fillId="0" borderId="21" xfId="107" applyFont="1" applyBorder="1" applyAlignment="1">
      <alignment vertical="center"/>
      <protection/>
    </xf>
    <xf numFmtId="0" fontId="40" fillId="0" borderId="14" xfId="107" applyFont="1" applyBorder="1" applyAlignment="1">
      <alignment vertical="center"/>
      <protection/>
    </xf>
    <xf numFmtId="0" fontId="40" fillId="0" borderId="27" xfId="107" applyFont="1" applyBorder="1" applyAlignment="1">
      <alignment horizontal="center"/>
      <protection/>
    </xf>
    <xf numFmtId="0" fontId="40" fillId="0" borderId="28" xfId="107" applyFont="1" applyBorder="1" applyAlignment="1">
      <alignment horizontal="center"/>
      <protection/>
    </xf>
    <xf numFmtId="0" fontId="40" fillId="0" borderId="38" xfId="107" applyFont="1" applyBorder="1" applyAlignment="1">
      <alignment horizontal="center"/>
      <protection/>
    </xf>
    <xf numFmtId="0" fontId="0" fillId="0" borderId="0" xfId="0" applyAlignment="1">
      <alignment horizontal="left" vertical="center" wrapText="1"/>
    </xf>
    <xf numFmtId="0" fontId="0" fillId="0" borderId="0" xfId="0" applyFont="1" applyAlignment="1">
      <alignment vertical="center" wrapText="1"/>
    </xf>
    <xf numFmtId="0" fontId="7" fillId="0" borderId="0" xfId="0" applyFont="1" applyBorder="1" applyAlignment="1">
      <alignment horizontal="left" vertical="center"/>
    </xf>
    <xf numFmtId="0" fontId="0" fillId="0" borderId="58" xfId="0" applyFont="1" applyFill="1" applyBorder="1" applyAlignment="1">
      <alignment horizontal="left" vertical="center"/>
    </xf>
    <xf numFmtId="0" fontId="0" fillId="0" borderId="42" xfId="0" applyFont="1" applyFill="1" applyBorder="1" applyAlignment="1">
      <alignment horizontal="left" vertic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38" xfId="0" applyFont="1" applyFill="1" applyBorder="1" applyAlignment="1">
      <alignment horizontal="center"/>
    </xf>
    <xf numFmtId="0" fontId="7" fillId="0" borderId="59" xfId="0" applyFont="1" applyFill="1" applyBorder="1" applyAlignment="1">
      <alignment wrapText="1"/>
    </xf>
    <xf numFmtId="0" fontId="7" fillId="0" borderId="59" xfId="0" applyFont="1" applyBorder="1" applyAlignment="1">
      <alignment wrapText="1"/>
    </xf>
    <xf numFmtId="0" fontId="7" fillId="0" borderId="14" xfId="0" applyFont="1" applyBorder="1" applyAlignment="1">
      <alignment wrapText="1"/>
    </xf>
    <xf numFmtId="0" fontId="0" fillId="0" borderId="39" xfId="0" applyFont="1" applyBorder="1" applyAlignment="1">
      <alignment horizontal="center" wrapText="1"/>
    </xf>
    <xf numFmtId="0" fontId="0" fillId="0" borderId="16" xfId="0" applyBorder="1" applyAlignment="1">
      <alignment horizontal="center" wrapText="1"/>
    </xf>
    <xf numFmtId="0" fontId="0" fillId="0" borderId="45" xfId="0" applyBorder="1" applyAlignment="1">
      <alignment horizontal="center" wrapText="1"/>
    </xf>
    <xf numFmtId="0" fontId="0" fillId="0" borderId="3" xfId="0" applyFont="1" applyBorder="1" applyAlignment="1">
      <alignment horizontal="center"/>
    </xf>
    <xf numFmtId="0" fontId="0" fillId="0" borderId="21" xfId="0" applyBorder="1" applyAlignment="1">
      <alignment horizontal="center"/>
    </xf>
    <xf numFmtId="0" fontId="38" fillId="0" borderId="0" xfId="0" applyFont="1" applyAlignment="1">
      <alignment horizontal="right"/>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umption" xfId="39"/>
    <cellStyle name="Bad" xfId="40"/>
    <cellStyle name="Calculation" xfId="41"/>
    <cellStyle name="Check Cell" xfId="42"/>
    <cellStyle name="Comma" xfId="43"/>
    <cellStyle name="Comma  - Style1" xfId="44"/>
    <cellStyle name="Comma  - Style2" xfId="45"/>
    <cellStyle name="Comma  - Style3" xfId="46"/>
    <cellStyle name="Comma  - Style4" xfId="47"/>
    <cellStyle name="Comma  - Style5" xfId="48"/>
    <cellStyle name="Comma  - Style6" xfId="49"/>
    <cellStyle name="Comma  - Style7" xfId="50"/>
    <cellStyle name="Comma  - Style8" xfId="51"/>
    <cellStyle name="Comma [0]" xfId="52"/>
    <cellStyle name="Comma 2" xfId="53"/>
    <cellStyle name="Comma 2 2" xfId="54"/>
    <cellStyle name="Comma 3" xfId="55"/>
    <cellStyle name="Comma 3 2" xfId="56"/>
    <cellStyle name="Comma 4" xfId="57"/>
    <cellStyle name="Comma 5" xfId="58"/>
    <cellStyle name="Comma0" xfId="59"/>
    <cellStyle name="Currency" xfId="60"/>
    <cellStyle name="Currency [0]" xfId="61"/>
    <cellStyle name="Currency 2" xfId="62"/>
    <cellStyle name="Currency 3" xfId="63"/>
    <cellStyle name="Currency 3 2" xfId="64"/>
    <cellStyle name="Currency0" xfId="65"/>
    <cellStyle name="Data" xfId="66"/>
    <cellStyle name="Date" xfId="67"/>
    <cellStyle name="Explanatory Text" xfId="68"/>
    <cellStyle name="F2" xfId="69"/>
    <cellStyle name="F3" xfId="70"/>
    <cellStyle name="F4" xfId="71"/>
    <cellStyle name="F5" xfId="72"/>
    <cellStyle name="F6" xfId="73"/>
    <cellStyle name="F7" xfId="74"/>
    <cellStyle name="F8" xfId="75"/>
    <cellStyle name="Fixed" xfId="76"/>
    <cellStyle name="Followed Hyperlink" xfId="77"/>
    <cellStyle name="Good" xfId="78"/>
    <cellStyle name="Heading" xfId="79"/>
    <cellStyle name="Heading 1" xfId="80"/>
    <cellStyle name="Heading 2" xfId="81"/>
    <cellStyle name="Heading 3" xfId="82"/>
    <cellStyle name="Heading 4" xfId="83"/>
    <cellStyle name="Hyperlink" xfId="84"/>
    <cellStyle name="Hyperlink 2" xfId="85"/>
    <cellStyle name="Hyperlink 2 2" xfId="86"/>
    <cellStyle name="Hyperlink 3" xfId="87"/>
    <cellStyle name="Hyperlink 4" xfId="88"/>
    <cellStyle name="Input" xfId="89"/>
    <cellStyle name="Linked Cell" xfId="90"/>
    <cellStyle name="Microsoft Excel found an error in the formula you entered. Do you want to accept the correction proposed below?&#10;&#10;|&#10;&#10;• To accept the correction, click Yes.&#10;• To close this message and correct the formula yourself, click No." xfId="91"/>
    <cellStyle name="Neutral" xfId="92"/>
    <cellStyle name="Normal - Style1" xfId="93"/>
    <cellStyle name="Normal 2" xfId="94"/>
    <cellStyle name="Normal 2 2" xfId="95"/>
    <cellStyle name="Normal 3" xfId="96"/>
    <cellStyle name="Normal 3 2" xfId="97"/>
    <cellStyle name="Normal 4" xfId="98"/>
    <cellStyle name="Normal 4 2" xfId="99"/>
    <cellStyle name="Normal 5" xfId="100"/>
    <cellStyle name="Normal 6" xfId="101"/>
    <cellStyle name="Normal 7" xfId="102"/>
    <cellStyle name="Normal 8" xfId="103"/>
    <cellStyle name="Normal_ConsolidatedAg_IM_Clean" xfId="104"/>
    <cellStyle name="Normal_ConsolidatedAg_IM_Clean - v3" xfId="105"/>
    <cellStyle name="Normal_FeederRoadAnalysis_IM_Clean - v4" xfId="106"/>
    <cellStyle name="Normal_Mongolia Health ERR.IM Cleaned - v15" xfId="107"/>
    <cellStyle name="Note" xfId="108"/>
    <cellStyle name="Output" xfId="109"/>
    <cellStyle name="Percent" xfId="110"/>
    <cellStyle name="Percent 2" xfId="111"/>
    <cellStyle name="Percent 2 2" xfId="112"/>
    <cellStyle name="Percent 3" xfId="113"/>
    <cellStyle name="Percent 3 2" xfId="114"/>
    <cellStyle name="Percent 4" xfId="115"/>
    <cellStyle name="Stub" xfId="116"/>
    <cellStyle name="Title" xfId="117"/>
    <cellStyle name="Top" xfId="118"/>
    <cellStyle name="Total" xfId="119"/>
    <cellStyle name="Totals" xfId="120"/>
    <cellStyle name="Warning Text" xfId="121"/>
  </cellStyles>
  <dxfs count="2">
    <dxf>
      <font>
        <color indexed="10"/>
      </font>
    </dxf>
    <dxf>
      <font>
        <color indexed="9"/>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9525</xdr:colOff>
      <xdr:row>2</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323850"/>
          <a:ext cx="9525" cy="9525"/>
        </a:xfrm>
        <a:prstGeom prst="rect">
          <a:avLst/>
        </a:prstGeom>
        <a:noFill/>
        <a:ln w="9525" cmpd="sng">
          <a:noFill/>
        </a:ln>
      </xdr:spPr>
    </xdr:pic>
    <xdr:clientData/>
  </xdr:twoCellAnchor>
  <xdr:twoCellAnchor editAs="oneCell">
    <xdr:from>
      <xdr:col>0</xdr:col>
      <xdr:colOff>0</xdr:colOff>
      <xdr:row>2</xdr:row>
      <xdr:rowOff>0</xdr:rowOff>
    </xdr:from>
    <xdr:to>
      <xdr:col>0</xdr:col>
      <xdr:colOff>9525</xdr:colOff>
      <xdr:row>2</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323850"/>
          <a:ext cx="9525" cy="9525"/>
        </a:xfrm>
        <a:prstGeom prst="rect">
          <a:avLst/>
        </a:prstGeom>
        <a:noFill/>
        <a:ln w="9525" cmpd="sng">
          <a:noFill/>
        </a:ln>
      </xdr:spPr>
    </xdr:pic>
    <xdr:clientData/>
  </xdr:twoCellAnchor>
  <xdr:twoCellAnchor editAs="oneCell">
    <xdr:from>
      <xdr:col>0</xdr:col>
      <xdr:colOff>0</xdr:colOff>
      <xdr:row>2</xdr:row>
      <xdr:rowOff>0</xdr:rowOff>
    </xdr:from>
    <xdr:to>
      <xdr:col>0</xdr:col>
      <xdr:colOff>9525</xdr:colOff>
      <xdr:row>2</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323850"/>
          <a:ext cx="9525" cy="9525"/>
        </a:xfrm>
        <a:prstGeom prst="rect">
          <a:avLst/>
        </a:prstGeom>
        <a:noFill/>
        <a:ln w="9525" cmpd="sng">
          <a:noFill/>
        </a:ln>
      </xdr:spPr>
    </xdr:pic>
    <xdr:clientData/>
  </xdr:twoCellAnchor>
  <xdr:twoCellAnchor editAs="oneCell">
    <xdr:from>
      <xdr:col>3</xdr:col>
      <xdr:colOff>0</xdr:colOff>
      <xdr:row>0</xdr:row>
      <xdr:rowOff>0</xdr:rowOff>
    </xdr:from>
    <xdr:to>
      <xdr:col>6</xdr:col>
      <xdr:colOff>180975</xdr:colOff>
      <xdr:row>0</xdr:row>
      <xdr:rowOff>152400</xdr:rowOff>
    </xdr:to>
    <xdr:pic>
      <xdr:nvPicPr>
        <xdr:cNvPr id="4" name="Picture 1" descr="MCC horizontal"/>
        <xdr:cNvPicPr preferRelativeResize="1">
          <a:picLocks noChangeAspect="1"/>
        </xdr:cNvPicPr>
      </xdr:nvPicPr>
      <xdr:blipFill>
        <a:blip r:embed="rId2"/>
        <a:stretch>
          <a:fillRect/>
        </a:stretch>
      </xdr:blipFill>
      <xdr:spPr>
        <a:xfrm>
          <a:off x="3771900" y="0"/>
          <a:ext cx="2171700" cy="152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xdr:row>
      <xdr:rowOff>0</xdr:rowOff>
    </xdr:from>
    <xdr:to>
      <xdr:col>15</xdr:col>
      <xdr:colOff>342900</xdr:colOff>
      <xdr:row>1</xdr:row>
      <xdr:rowOff>152400</xdr:rowOff>
    </xdr:to>
    <xdr:pic>
      <xdr:nvPicPr>
        <xdr:cNvPr id="1" name="Picture 1" descr="MCC horizontal"/>
        <xdr:cNvPicPr preferRelativeResize="1">
          <a:picLocks noChangeAspect="1"/>
        </xdr:cNvPicPr>
      </xdr:nvPicPr>
      <xdr:blipFill>
        <a:blip r:embed="rId1"/>
        <a:stretch>
          <a:fillRect/>
        </a:stretch>
      </xdr:blipFill>
      <xdr:spPr>
        <a:xfrm>
          <a:off x="6991350" y="161925"/>
          <a:ext cx="217170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142875</xdr:rowOff>
    </xdr:from>
    <xdr:to>
      <xdr:col>2</xdr:col>
      <xdr:colOff>219075</xdr:colOff>
      <xdr:row>5</xdr:row>
      <xdr:rowOff>123825</xdr:rowOff>
    </xdr:to>
    <xdr:pic>
      <xdr:nvPicPr>
        <xdr:cNvPr id="1" name="Picture 1"/>
        <xdr:cNvPicPr preferRelativeResize="1">
          <a:picLocks noChangeAspect="1"/>
        </xdr:cNvPicPr>
      </xdr:nvPicPr>
      <xdr:blipFill>
        <a:blip r:embed="rId1"/>
        <a:stretch>
          <a:fillRect/>
        </a:stretch>
      </xdr:blipFill>
      <xdr:spPr>
        <a:xfrm>
          <a:off x="219075" y="142875"/>
          <a:ext cx="295275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33</xdr:row>
      <xdr:rowOff>0</xdr:rowOff>
    </xdr:from>
    <xdr:to>
      <xdr:col>1</xdr:col>
      <xdr:colOff>2162175</xdr:colOff>
      <xdr:row>33</xdr:row>
      <xdr:rowOff>152400</xdr:rowOff>
    </xdr:to>
    <xdr:pic>
      <xdr:nvPicPr>
        <xdr:cNvPr id="1" name="Picture 2" descr="MCC horizontal"/>
        <xdr:cNvPicPr preferRelativeResize="1">
          <a:picLocks noChangeAspect="1"/>
        </xdr:cNvPicPr>
      </xdr:nvPicPr>
      <xdr:blipFill>
        <a:blip r:embed="rId1"/>
        <a:stretch>
          <a:fillRect/>
        </a:stretch>
      </xdr:blipFill>
      <xdr:spPr>
        <a:xfrm>
          <a:off x="428625" y="10058400"/>
          <a:ext cx="2162175"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2</xdr:col>
      <xdr:colOff>0</xdr:colOff>
      <xdr:row>28</xdr:row>
      <xdr:rowOff>0</xdr:rowOff>
    </xdr:from>
    <xdr:to>
      <xdr:col>7</xdr:col>
      <xdr:colOff>200025</xdr:colOff>
      <xdr:row>54</xdr:row>
      <xdr:rowOff>57150</xdr:rowOff>
    </xdr:to>
    <xdr:pic>
      <xdr:nvPicPr>
        <xdr:cNvPr id="6" name="Picture 11"/>
        <xdr:cNvPicPr preferRelativeResize="1">
          <a:picLocks noChangeAspect="1"/>
        </xdr:cNvPicPr>
      </xdr:nvPicPr>
      <xdr:blipFill>
        <a:blip r:embed="rId2"/>
        <a:stretch>
          <a:fillRect/>
        </a:stretch>
      </xdr:blipFill>
      <xdr:spPr>
        <a:xfrm>
          <a:off x="1466850" y="7943850"/>
          <a:ext cx="8905875" cy="4267200"/>
        </a:xfrm>
        <a:prstGeom prst="rect">
          <a:avLst/>
        </a:prstGeom>
        <a:noFill/>
        <a:ln w="9525" cmpd="sng">
          <a:noFill/>
        </a:ln>
      </xdr:spPr>
    </xdr:pic>
    <xdr:clientData/>
  </xdr:twoCellAnchor>
  <xdr:twoCellAnchor editAs="oneCell">
    <xdr:from>
      <xdr:col>2</xdr:col>
      <xdr:colOff>0</xdr:colOff>
      <xdr:row>56</xdr:row>
      <xdr:rowOff>0</xdr:rowOff>
    </xdr:from>
    <xdr:to>
      <xdr:col>7</xdr:col>
      <xdr:colOff>200025</xdr:colOff>
      <xdr:row>81</xdr:row>
      <xdr:rowOff>0</xdr:rowOff>
    </xdr:to>
    <xdr:pic>
      <xdr:nvPicPr>
        <xdr:cNvPr id="7" name="Picture 12"/>
        <xdr:cNvPicPr preferRelativeResize="1">
          <a:picLocks noChangeAspect="1"/>
        </xdr:cNvPicPr>
      </xdr:nvPicPr>
      <xdr:blipFill>
        <a:blip r:embed="rId3"/>
        <a:stretch>
          <a:fillRect/>
        </a:stretch>
      </xdr:blipFill>
      <xdr:spPr>
        <a:xfrm>
          <a:off x="1466850" y="12477750"/>
          <a:ext cx="8905875" cy="4048125"/>
        </a:xfrm>
        <a:prstGeom prst="rect">
          <a:avLst/>
        </a:prstGeom>
        <a:noFill/>
        <a:ln w="9525" cmpd="sng">
          <a:noFill/>
        </a:ln>
      </xdr:spPr>
    </xdr:pic>
    <xdr:clientData/>
  </xdr:twoCellAnchor>
  <xdr:twoCellAnchor editAs="oneCell">
    <xdr:from>
      <xdr:col>4</xdr:col>
      <xdr:colOff>885825</xdr:colOff>
      <xdr:row>1</xdr:row>
      <xdr:rowOff>57150</xdr:rowOff>
    </xdr:from>
    <xdr:to>
      <xdr:col>6</xdr:col>
      <xdr:colOff>1047750</xdr:colOff>
      <xdr:row>1</xdr:row>
      <xdr:rowOff>209550</xdr:rowOff>
    </xdr:to>
    <xdr:pic>
      <xdr:nvPicPr>
        <xdr:cNvPr id="8" name="Picture 3" descr="MCC horizontal"/>
        <xdr:cNvPicPr preferRelativeResize="1">
          <a:picLocks noChangeAspect="1"/>
        </xdr:cNvPicPr>
      </xdr:nvPicPr>
      <xdr:blipFill>
        <a:blip r:embed="rId4"/>
        <a:stretch>
          <a:fillRect/>
        </a:stretch>
      </xdr:blipFill>
      <xdr:spPr>
        <a:xfrm>
          <a:off x="7829550" y="219075"/>
          <a:ext cx="21717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12</xdr:col>
      <xdr:colOff>295275</xdr:colOff>
      <xdr:row>0</xdr:row>
      <xdr:rowOff>0</xdr:rowOff>
    </xdr:from>
    <xdr:to>
      <xdr:col>16</xdr:col>
      <xdr:colOff>28575</xdr:colOff>
      <xdr:row>0</xdr:row>
      <xdr:rowOff>152400</xdr:rowOff>
    </xdr:to>
    <xdr:pic>
      <xdr:nvPicPr>
        <xdr:cNvPr id="6" name="Picture 1" descr="MCC horizontal"/>
        <xdr:cNvPicPr preferRelativeResize="1">
          <a:picLocks noChangeAspect="1"/>
        </xdr:cNvPicPr>
      </xdr:nvPicPr>
      <xdr:blipFill>
        <a:blip r:embed="rId2"/>
        <a:stretch>
          <a:fillRect/>
        </a:stretch>
      </xdr:blipFill>
      <xdr:spPr>
        <a:xfrm>
          <a:off x="8277225" y="0"/>
          <a:ext cx="2171700"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11.1.1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8</xdr:col>
      <xdr:colOff>676275</xdr:colOff>
      <xdr:row>1</xdr:row>
      <xdr:rowOff>19050</xdr:rowOff>
    </xdr:from>
    <xdr:to>
      <xdr:col>10</xdr:col>
      <xdr:colOff>809625</xdr:colOff>
      <xdr:row>1</xdr:row>
      <xdr:rowOff>171450</xdr:rowOff>
    </xdr:to>
    <xdr:pic>
      <xdr:nvPicPr>
        <xdr:cNvPr id="7" name="Picture 1" descr="MCC horizontal"/>
        <xdr:cNvPicPr preferRelativeResize="1">
          <a:picLocks noChangeAspect="1"/>
        </xdr:cNvPicPr>
      </xdr:nvPicPr>
      <xdr:blipFill>
        <a:blip r:embed="rId2"/>
        <a:stretch>
          <a:fillRect/>
        </a:stretch>
      </xdr:blipFill>
      <xdr:spPr>
        <a:xfrm>
          <a:off x="9915525" y="180975"/>
          <a:ext cx="21717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28575</xdr:rowOff>
    </xdr:from>
    <xdr:to>
      <xdr:col>4</xdr:col>
      <xdr:colOff>180975</xdr:colOff>
      <xdr:row>1</xdr:row>
      <xdr:rowOff>19050</xdr:rowOff>
    </xdr:to>
    <xdr:pic>
      <xdr:nvPicPr>
        <xdr:cNvPr id="1" name="Picture 1" descr="MCC horizontal"/>
        <xdr:cNvPicPr preferRelativeResize="1">
          <a:picLocks noChangeAspect="1"/>
        </xdr:cNvPicPr>
      </xdr:nvPicPr>
      <xdr:blipFill>
        <a:blip r:embed="rId1"/>
        <a:stretch>
          <a:fillRect/>
        </a:stretch>
      </xdr:blipFill>
      <xdr:spPr>
        <a:xfrm>
          <a:off x="4448175" y="28575"/>
          <a:ext cx="2171700"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5</xdr:col>
      <xdr:colOff>238125</xdr:colOff>
      <xdr:row>0</xdr:row>
      <xdr:rowOff>152400</xdr:rowOff>
    </xdr:to>
    <xdr:pic>
      <xdr:nvPicPr>
        <xdr:cNvPr id="1" name="Picture 1" descr="MCC horizontal"/>
        <xdr:cNvPicPr preferRelativeResize="1">
          <a:picLocks noChangeAspect="1"/>
        </xdr:cNvPicPr>
      </xdr:nvPicPr>
      <xdr:blipFill>
        <a:blip r:embed="rId1"/>
        <a:stretch>
          <a:fillRect/>
        </a:stretch>
      </xdr:blipFill>
      <xdr:spPr>
        <a:xfrm>
          <a:off x="4257675" y="0"/>
          <a:ext cx="2171700"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0</xdr:rowOff>
    </xdr:from>
    <xdr:to>
      <xdr:col>10</xdr:col>
      <xdr:colOff>342900</xdr:colOff>
      <xdr:row>1</xdr:row>
      <xdr:rowOff>152400</xdr:rowOff>
    </xdr:to>
    <xdr:pic>
      <xdr:nvPicPr>
        <xdr:cNvPr id="1" name="Picture 1" descr="MCC horizontal"/>
        <xdr:cNvPicPr preferRelativeResize="1">
          <a:picLocks noChangeAspect="1"/>
        </xdr:cNvPicPr>
      </xdr:nvPicPr>
      <xdr:blipFill>
        <a:blip r:embed="rId1"/>
        <a:stretch>
          <a:fillRect/>
        </a:stretch>
      </xdr:blipFill>
      <xdr:spPr>
        <a:xfrm>
          <a:off x="7134225" y="161925"/>
          <a:ext cx="217170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anzania\Roads-Transport%20ERR%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divisions\Economic%20Analysis\ERR%20Spreadsheets\Web%20Dissemination\Ongoing%20Work\Tanzania\Tanzania%20Water%20&amp;%20Sanitation%20-%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anzania\Economic%20Analysis\Roads\Roads-Transport%20ERR%20Tanga_Horohoro%20ED%20AR%20BND%20final%20report%20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Program%20Files%20(x86)\Oracle\Crystal%20Ball\CBDevKit.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1">
        <row r="9">
          <cell r="G9">
            <v>0.6831000000000002</v>
          </cell>
        </row>
        <row r="24">
          <cell r="G24">
            <v>365</v>
          </cell>
        </row>
        <row r="37">
          <cell r="G37">
            <v>0.5</v>
          </cell>
        </row>
        <row r="38">
          <cell r="G38">
            <v>0.0319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3">
        <row r="6">
          <cell r="A6" t="str">
            <v>AMAMA1</v>
          </cell>
          <cell r="B6" t="str">
            <v>Lits Lits - Norsup Road Sealing</v>
          </cell>
          <cell r="D6" t="str">
            <v>Malekula</v>
          </cell>
          <cell r="E6" t="str">
            <v>Malampa</v>
          </cell>
          <cell r="F6">
            <v>189.6048</v>
          </cell>
          <cell r="G6">
            <v>1.7556</v>
          </cell>
          <cell r="H6">
            <v>2.0555555555555527</v>
          </cell>
          <cell r="I6">
            <v>0.01903292181069956</v>
          </cell>
          <cell r="J6">
            <v>0.22462370197905585</v>
          </cell>
          <cell r="K6">
            <v>159.72431508259623</v>
          </cell>
          <cell r="L6">
            <v>2.0643322529748724</v>
          </cell>
          <cell r="M6">
            <v>0.18788677288242828</v>
          </cell>
          <cell r="N6">
            <v>0.1802928108096226</v>
          </cell>
          <cell r="O6">
            <v>0.271765946426847</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0.6025925925925926</v>
          </cell>
          <cell r="H7">
            <v>0</v>
          </cell>
          <cell r="I7">
            <v>0</v>
          </cell>
          <cell r="J7">
            <v>0.11364998061127222</v>
          </cell>
          <cell r="K7">
            <v>4.866971313671759</v>
          </cell>
          <cell r="L7">
            <v>1.0914032036645314</v>
          </cell>
          <cell r="M7">
            <v>0.08619992942037667</v>
          </cell>
          <cell r="N7">
            <v>0.08054563187386796</v>
          </cell>
          <cell r="O7">
            <v>0.1491719125848013</v>
          </cell>
          <cell r="P7">
            <v>0.04585583610297489</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0.03425925925925925</v>
          </cell>
          <cell r="J8">
            <v>0.15606943163381698</v>
          </cell>
          <cell r="K8">
            <v>79.08347162476201</v>
          </cell>
          <cell r="L8">
            <v>1.346935096185802</v>
          </cell>
          <cell r="M8">
            <v>0.12016075318448843</v>
          </cell>
          <cell r="N8">
            <v>0.11283654648106228</v>
          </cell>
          <cell r="O8">
            <v>0.016089379885231746</v>
          </cell>
          <cell r="P8">
            <v>0.06713663336847975</v>
          </cell>
          <cell r="Q8">
            <v>1</v>
          </cell>
          <cell r="R8">
            <v>1</v>
          </cell>
          <cell r="S8">
            <v>2007</v>
          </cell>
        </row>
        <row r="9">
          <cell r="A9" t="str">
            <v>ASASA1</v>
          </cell>
          <cell r="B9" t="str">
            <v>Port Olry Road Upgrading</v>
          </cell>
          <cell r="D9" t="str">
            <v>Santo</v>
          </cell>
          <cell r="E9" t="str">
            <v>Sanma</v>
          </cell>
          <cell r="F9">
            <v>1863.9288000000001</v>
          </cell>
          <cell r="G9">
            <v>17.2586</v>
          </cell>
          <cell r="H9">
            <v>40.94444444444445</v>
          </cell>
          <cell r="I9">
            <v>0.3791152263374486</v>
          </cell>
          <cell r="J9">
            <v>0.3378643130738296</v>
          </cell>
          <cell r="K9">
            <v>4425.839036860351</v>
          </cell>
          <cell r="L9">
            <v>3.661679665848366</v>
          </cell>
          <cell r="M9">
            <v>0.29106356187309074</v>
          </cell>
          <cell r="N9">
            <v>0.28150155877118105</v>
          </cell>
          <cell r="O9">
            <v>0.39892725896301917</v>
          </cell>
          <cell r="P9">
            <v>0.2037081426600791</v>
          </cell>
          <cell r="Q9">
            <v>1</v>
          </cell>
          <cell r="R9">
            <v>1</v>
          </cell>
          <cell r="S9">
            <v>2007</v>
          </cell>
        </row>
        <row r="10">
          <cell r="A10" t="str">
            <v>ASASA2</v>
          </cell>
          <cell r="B10" t="str">
            <v>South Coast Bridges and Culverts</v>
          </cell>
          <cell r="D10" t="str">
            <v>Santo</v>
          </cell>
          <cell r="E10" t="str">
            <v>Sanma</v>
          </cell>
          <cell r="F10">
            <v>202.82399999999998</v>
          </cell>
          <cell r="G10">
            <v>1.878</v>
          </cell>
          <cell r="H10">
            <v>0</v>
          </cell>
          <cell r="I10">
            <v>0</v>
          </cell>
          <cell r="J10">
            <v>0.24276840985467887</v>
          </cell>
          <cell r="K10">
            <v>174.0999826086306</v>
          </cell>
          <cell r="L10">
            <v>2.049130613895647</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v>
          </cell>
          <cell r="G11">
            <v>23.339000000000002</v>
          </cell>
          <cell r="H11">
            <v>52.5</v>
          </cell>
          <cell r="I11">
            <v>0.4861111111111111</v>
          </cell>
          <cell r="J11">
            <v>0.20550479502577151</v>
          </cell>
          <cell r="K11">
            <v>1885.729162103877</v>
          </cell>
          <cell r="L11">
            <v>1.8423788997682973</v>
          </cell>
          <cell r="M11">
            <v>0.16988037798308492</v>
          </cell>
          <cell r="N11">
            <v>0.16249056620484598</v>
          </cell>
          <cell r="O11">
            <v>0.2509892022389731</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v>
          </cell>
          <cell r="K12">
            <v>204.41274323363672</v>
          </cell>
          <cell r="L12">
            <v>1.619941829781381</v>
          </cell>
          <cell r="M12">
            <v>0.14456524340112237</v>
          </cell>
          <cell r="N12">
            <v>0.13797068071259416</v>
          </cell>
          <cell r="O12">
            <v>0.2177927682566017</v>
          </cell>
          <cell r="P12">
            <v>0.0939303405692848</v>
          </cell>
          <cell r="Q12">
            <v>1</v>
          </cell>
          <cell r="R12">
            <v>1</v>
          </cell>
          <cell r="S12">
            <v>2007</v>
          </cell>
        </row>
        <row r="13">
          <cell r="A13" t="str">
            <v>BPEAM1</v>
          </cell>
          <cell r="B13" t="str">
            <v>Ambae Creek Crossings Reinstatement</v>
          </cell>
          <cell r="D13" t="str">
            <v>Ambae</v>
          </cell>
          <cell r="E13" t="str">
            <v>Penama</v>
          </cell>
          <cell r="F13">
            <v>132.472</v>
          </cell>
          <cell r="G13">
            <v>1.2265925925925927</v>
          </cell>
          <cell r="H13">
            <v>0</v>
          </cell>
          <cell r="I13">
            <v>0</v>
          </cell>
          <cell r="J13">
            <v>0.12314963811312898</v>
          </cell>
          <cell r="K13">
            <v>16.066209299402473</v>
          </cell>
          <cell r="L13">
            <v>1.1482311585286173</v>
          </cell>
          <cell r="M13">
            <v>0.09315129877661123</v>
          </cell>
          <cell r="N13">
            <v>0.08701571493564024</v>
          </cell>
          <cell r="O13">
            <v>0.1624878441863667</v>
          </cell>
          <cell r="P13">
            <v>0.05031998681090321</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v>
          </cell>
          <cell r="L14">
            <v>1.005836224196495</v>
          </cell>
          <cell r="M14">
            <v>0.07414162579499352</v>
          </cell>
          <cell r="N14">
            <v>0.06861975740754238</v>
          </cell>
          <cell r="O14">
            <v>0.13547536346423877</v>
          </cell>
          <cell r="P14">
            <v>0.035685163178576916</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0.037037037037037035</v>
          </cell>
          <cell r="J15">
            <v>0.168387486955777</v>
          </cell>
          <cell r="K15">
            <v>45.99216170650264</v>
          </cell>
          <cell r="L15">
            <v>1.3776013836392784</v>
          </cell>
          <cell r="M15">
            <v>0.12734818413458404</v>
          </cell>
          <cell r="N15">
            <v>0.11897501062329664</v>
          </cell>
          <cell r="O15">
            <v>0.22286032753779406</v>
          </cell>
          <cell r="P15">
            <v>0.06655361522113327</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v>
          </cell>
          <cell r="M16">
            <v>0.1151492708742208</v>
          </cell>
          <cell r="N16">
            <v>0.10604506949655668</v>
          </cell>
          <cell r="O16">
            <v>0.22244484054528116</v>
          </cell>
          <cell r="P16">
            <v>0.05661199067741331</v>
          </cell>
          <cell r="Q16">
            <v>1</v>
          </cell>
          <cell r="R16">
            <v>1</v>
          </cell>
          <cell r="S16">
            <v>2007</v>
          </cell>
        </row>
      </sheetData>
      <sheetData sheetId="4">
        <row r="3">
          <cell r="A3" t="str">
            <v>AMAMA1</v>
          </cell>
          <cell r="B3" t="str">
            <v>Malampa</v>
          </cell>
          <cell r="C3" t="str">
            <v>Malekula</v>
          </cell>
          <cell r="D3" t="str">
            <v>Lits Lits - Norsup Road Sealing</v>
          </cell>
          <cell r="E3">
            <v>3127.71</v>
          </cell>
          <cell r="F3">
            <v>168</v>
          </cell>
          <cell r="R3">
            <v>189.6048</v>
          </cell>
          <cell r="S3">
            <v>2.3</v>
          </cell>
          <cell r="T3">
            <v>8.8</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25.2125</v>
          </cell>
          <cell r="P6">
            <v>290.487</v>
          </cell>
          <cell r="R6">
            <v>163.944</v>
          </cell>
          <cell r="S6">
            <v>1.5</v>
          </cell>
          <cell r="T6">
            <v>0</v>
          </cell>
        </row>
        <row r="8">
          <cell r="A8" t="str">
            <v>ASASA1</v>
          </cell>
          <cell r="B8" t="str">
            <v>Sanma</v>
          </cell>
          <cell r="C8" t="str">
            <v>Santo</v>
          </cell>
          <cell r="D8" t="str">
            <v>Port Olry Road Upgrading</v>
          </cell>
          <cell r="E8">
            <v>7403.759999999999</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v>
          </cell>
          <cell r="T9">
            <v>17.6</v>
          </cell>
        </row>
        <row r="10">
          <cell r="A10" t="str">
            <v>ASHEF1</v>
          </cell>
          <cell r="B10" t="str">
            <v>Shefa</v>
          </cell>
          <cell r="C10" t="str">
            <v>Efate</v>
          </cell>
          <cell r="D10" t="str">
            <v>Round-Island Road Upgrading</v>
          </cell>
          <cell r="E10">
            <v>13914.819999999998</v>
          </cell>
          <cell r="F10">
            <v>60</v>
          </cell>
          <cell r="R10">
            <v>2520.612</v>
          </cell>
          <cell r="S10">
            <v>22.5</v>
          </cell>
          <cell r="T10">
            <v>40</v>
          </cell>
          <cell r="U10">
            <v>7</v>
          </cell>
        </row>
        <row r="11">
          <cell r="A11" t="str">
            <v>ATATA1</v>
          </cell>
          <cell r="B11" t="str">
            <v>Tafea</v>
          </cell>
          <cell r="C11" t="str">
            <v>Tanna</v>
          </cell>
          <cell r="D11" t="str">
            <v>Whitesands Road Upgrading</v>
          </cell>
          <cell r="E11">
            <v>5675.910000000001</v>
          </cell>
          <cell r="F11">
            <v>100</v>
          </cell>
          <cell r="R11">
            <v>403.002</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2.925</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54513.51000000001</v>
          </cell>
          <cell r="I39">
            <v>1500</v>
          </cell>
          <cell r="J39">
            <v>16</v>
          </cell>
          <cell r="K39">
            <v>1</v>
          </cell>
          <cell r="L39">
            <v>1250</v>
          </cell>
          <cell r="M39">
            <v>420</v>
          </cell>
          <cell r="N39">
            <v>3187</v>
          </cell>
          <cell r="O39">
            <v>28.1375</v>
          </cell>
          <cell r="P39">
            <v>439.987</v>
          </cell>
          <cell r="Q39">
            <v>104</v>
          </cell>
          <cell r="R39">
            <v>7075.961600000001</v>
          </cell>
          <cell r="S39">
            <v>87.8</v>
          </cell>
          <cell r="T39">
            <v>117.6</v>
          </cell>
        </row>
        <row r="40">
          <cell r="R40" t="str">
            <v>= US$ 65.5 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Summary"/>
      <sheetName val="Assumptions"/>
      <sheetName val="Morogoro"/>
      <sheetName val="Dar NRW"/>
      <sheetName val="Dar Ruvu"/>
      <sheetName val="Annex III"/>
    </sheetNames>
    <sheetDataSet>
      <sheetData sheetId="4">
        <row r="5">
          <cell r="F5">
            <v>2008</v>
          </cell>
        </row>
        <row r="6">
          <cell r="F6">
            <v>20</v>
          </cell>
        </row>
        <row r="7">
          <cell r="F7">
            <v>1300</v>
          </cell>
        </row>
        <row r="8">
          <cell r="F8">
            <v>0.064</v>
          </cell>
        </row>
        <row r="9">
          <cell r="F9">
            <v>0.07</v>
          </cell>
        </row>
        <row r="14">
          <cell r="E14" t="str">
            <v>A</v>
          </cell>
        </row>
        <row r="15">
          <cell r="E15" t="str">
            <v>B</v>
          </cell>
        </row>
        <row r="16">
          <cell r="E16" t="str">
            <v>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
      <sheetName val="Key Assumptions"/>
      <sheetName val="TH Sum"/>
      <sheetName val="TH1"/>
      <sheetName val="TH2"/>
      <sheetName val="TH4"/>
      <sheetName val="TanIRI"/>
    </sheetNames>
    <sheetDataSet>
      <sheetData sheetId="1">
        <row r="41">
          <cell r="H41">
            <v>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P2:P2"/>
  <sheetViews>
    <sheetView zoomScalePageLayoutView="0" workbookViewId="0" topLeftCell="A1">
      <selection activeCell="A1" sqref="A1"/>
    </sheetView>
  </sheetViews>
  <sheetFormatPr defaultColWidth="9.140625" defaultRowHeight="12.75"/>
  <sheetData>
    <row r="2" ht="12.75">
      <c r="P2">
        <f>_XLL.CB.RECALCCOUNTERFN()</f>
        <v>0</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2:W60"/>
  <sheetViews>
    <sheetView zoomScalePageLayoutView="0" workbookViewId="0" topLeftCell="A1">
      <selection activeCell="A1" sqref="A1"/>
    </sheetView>
  </sheetViews>
  <sheetFormatPr defaultColWidth="9.140625" defaultRowHeight="12.75"/>
  <cols>
    <col min="1" max="1" width="33.28125" style="0" customWidth="1"/>
    <col min="3" max="3" width="14.140625" style="0" bestFit="1" customWidth="1"/>
    <col min="4" max="4" width="9.28125" style="0" bestFit="1" customWidth="1"/>
    <col min="5" max="5" width="11.28125" style="0" bestFit="1" customWidth="1"/>
    <col min="6" max="23" width="9.28125" style="0" bestFit="1" customWidth="1"/>
  </cols>
  <sheetData>
    <row r="2" ht="12.75">
      <c r="E2" s="356" t="s">
        <v>348</v>
      </c>
    </row>
    <row r="3" spans="1:23" ht="19.5" customHeight="1" thickBot="1">
      <c r="A3" s="242" t="s">
        <v>216</v>
      </c>
      <c r="B3" s="1" t="s">
        <v>9</v>
      </c>
      <c r="C3" s="64">
        <v>0</v>
      </c>
      <c r="D3" s="64">
        <v>1</v>
      </c>
      <c r="E3" s="64">
        <v>2</v>
      </c>
      <c r="F3" s="64">
        <v>3</v>
      </c>
      <c r="G3" s="64">
        <v>4</v>
      </c>
      <c r="H3" s="64">
        <v>5</v>
      </c>
      <c r="I3" s="64">
        <v>6</v>
      </c>
      <c r="J3" s="64">
        <v>7</v>
      </c>
      <c r="K3" s="64">
        <v>8</v>
      </c>
      <c r="L3" s="64">
        <v>9</v>
      </c>
      <c r="M3" s="64">
        <v>10</v>
      </c>
      <c r="N3" s="64">
        <v>11</v>
      </c>
      <c r="O3" s="64">
        <v>12</v>
      </c>
      <c r="P3" s="64">
        <v>13</v>
      </c>
      <c r="Q3" s="64">
        <v>14</v>
      </c>
      <c r="R3" s="64">
        <v>15</v>
      </c>
      <c r="S3" s="64">
        <v>16</v>
      </c>
      <c r="T3" s="64">
        <v>17</v>
      </c>
      <c r="U3" s="64">
        <v>18</v>
      </c>
      <c r="V3" s="64">
        <v>19</v>
      </c>
      <c r="W3" s="64">
        <v>20</v>
      </c>
    </row>
    <row r="4" spans="1:23" ht="18">
      <c r="A4" s="37" t="s">
        <v>51</v>
      </c>
      <c r="B4" s="39"/>
      <c r="C4" s="39"/>
      <c r="D4" s="39"/>
      <c r="E4" s="39"/>
      <c r="F4" s="39"/>
      <c r="G4" s="39"/>
      <c r="H4" s="39"/>
      <c r="I4" s="39"/>
      <c r="J4" s="39"/>
      <c r="K4" s="39"/>
      <c r="L4" s="39"/>
      <c r="M4" s="39"/>
      <c r="N4" s="39"/>
      <c r="O4" s="39"/>
      <c r="P4" s="39"/>
      <c r="Q4" s="39"/>
      <c r="R4" s="39"/>
      <c r="S4" s="39"/>
      <c r="T4" s="39"/>
      <c r="U4" s="39"/>
      <c r="V4" s="39"/>
      <c r="W4" s="40"/>
    </row>
    <row r="5" ht="12.75">
      <c r="C5" s="493"/>
    </row>
    <row r="6" spans="1:23" ht="12.75">
      <c r="A6" s="242" t="s">
        <v>217</v>
      </c>
      <c r="B6" s="242" t="s">
        <v>218</v>
      </c>
      <c r="C6" s="103">
        <v>920674</v>
      </c>
      <c r="D6">
        <f>C6*(1+Assumptions!$C$13)</f>
        <v>942678.1086</v>
      </c>
      <c r="E6">
        <f>D6*(1+Assumptions!$C$13)</f>
        <v>965208.11539554</v>
      </c>
      <c r="F6">
        <f>E6*(1+Assumptions!$C$13)</f>
        <v>988276.5893534934</v>
      </c>
      <c r="G6">
        <f>F6*(1+Assumptions!$C$13)</f>
        <v>1011896.399839042</v>
      </c>
      <c r="H6">
        <f>G6*(1+Assumptions!$C$13)</f>
        <v>1036080.7237951951</v>
      </c>
      <c r="I6">
        <f>H6*(1+Assumptions!$C$13)</f>
        <v>1060843.0530939002</v>
      </c>
      <c r="J6">
        <f>I6*(1+Assumptions!$C$13)</f>
        <v>1086197.2020628445</v>
      </c>
      <c r="K6">
        <f>J6*(1+Assumptions!$C$13)</f>
        <v>1112157.3151921465</v>
      </c>
      <c r="L6">
        <f>K6*(1+Assumptions!$C$13)</f>
        <v>1138737.8750252388</v>
      </c>
      <c r="M6">
        <f>L6*(1+Assumptions!$C$13)</f>
        <v>1165953.7102383422</v>
      </c>
      <c r="N6">
        <f>M6*(1+Assumptions!$C$13)</f>
        <v>1193820.0039130386</v>
      </c>
      <c r="O6">
        <f>N6*(1+Assumptions!$C$13)</f>
        <v>1222352.3020065604</v>
      </c>
      <c r="P6">
        <f>O6*(1+Assumptions!$C$13)</f>
        <v>1251566.5220245172</v>
      </c>
      <c r="Q6">
        <f>P6*(1+Assumptions!$C$13)</f>
        <v>1281478.9619009031</v>
      </c>
      <c r="R6">
        <f>Q6*(1+Assumptions!$C$13)</f>
        <v>1312106.3090903347</v>
      </c>
      <c r="S6">
        <f>R6*(1+Assumptions!$C$13)</f>
        <v>1343465.6498775936</v>
      </c>
      <c r="T6">
        <f>S6*(1+Assumptions!$C$13)</f>
        <v>1375574.478909668</v>
      </c>
      <c r="U6">
        <f>T6*(1+Assumptions!$C$13)</f>
        <v>1408450.7089556092</v>
      </c>
      <c r="V6">
        <f>U6*(1+Assumptions!$C$13)</f>
        <v>1442112.6808996485</v>
      </c>
      <c r="W6">
        <f>V6*(1+Assumptions!$C$13)</f>
        <v>1476579.17397315</v>
      </c>
    </row>
    <row r="7" spans="1:23" ht="12.75">
      <c r="A7" s="16" t="s">
        <v>220</v>
      </c>
      <c r="B7" s="242" t="s">
        <v>218</v>
      </c>
      <c r="C7">
        <f>C6*Assumptions!$C$80</f>
        <v>456654.304</v>
      </c>
      <c r="D7">
        <f>D6*Assumptions!$C$80</f>
        <v>467568.3418656</v>
      </c>
      <c r="E7">
        <f>E6*Assumptions!$C$80</f>
        <v>478743.22523618786</v>
      </c>
      <c r="F7">
        <f>F6*Assumptions!$C$80</f>
        <v>490185.1883193327</v>
      </c>
      <c r="G7">
        <f>G6*Assumptions!$C$80</f>
        <v>501900.61432016484</v>
      </c>
      <c r="H7">
        <f>H6*Assumptions!$C$80</f>
        <v>513896.0390024168</v>
      </c>
      <c r="I7">
        <f>I6*Assumptions!$C$80</f>
        <v>526178.1543345745</v>
      </c>
      <c r="J7">
        <f>J6*Assumptions!$C$80</f>
        <v>538753.8122231709</v>
      </c>
      <c r="K7">
        <f>K6*Assumptions!$C$80</f>
        <v>551630.0283353047</v>
      </c>
      <c r="L7">
        <f>L6*Assumptions!$C$80</f>
        <v>564813.9860125184</v>
      </c>
      <c r="M7">
        <f>M6*Assumptions!$C$80</f>
        <v>578313.0402782178</v>
      </c>
      <c r="N7">
        <f>N6*Assumptions!$C$80</f>
        <v>592134.7219408671</v>
      </c>
      <c r="O7">
        <f>O6*Assumptions!$C$80</f>
        <v>606286.7417952539</v>
      </c>
      <c r="P7">
        <f>P6*Assumptions!$C$80</f>
        <v>620776.9949241605</v>
      </c>
      <c r="Q7">
        <f>Q6*Assumptions!$C$80</f>
        <v>635613.565102848</v>
      </c>
      <c r="R7">
        <f>R6*Assumptions!$C$80</f>
        <v>650804.729308806</v>
      </c>
      <c r="S7">
        <f>S6*Assumptions!$C$80</f>
        <v>666358.9623392865</v>
      </c>
      <c r="T7">
        <f>T6*Assumptions!$C$80</f>
        <v>682284.9415391954</v>
      </c>
      <c r="U7">
        <f>U6*Assumptions!$C$80</f>
        <v>698591.5516419822</v>
      </c>
      <c r="V7">
        <f>V6*Assumptions!$C$80</f>
        <v>715287.8897262256</v>
      </c>
      <c r="W7">
        <f>W6*Assumptions!$C$80</f>
        <v>732383.2702906824</v>
      </c>
    </row>
    <row r="8" spans="1:23" ht="12.75">
      <c r="A8" s="16" t="s">
        <v>223</v>
      </c>
      <c r="B8" s="242" t="s">
        <v>218</v>
      </c>
      <c r="C8" s="103">
        <f>C6-C7</f>
        <v>464019.696</v>
      </c>
      <c r="D8" s="103">
        <f aca="true" t="shared" si="0" ref="D8:W8">D6-D7</f>
        <v>475109.7667344</v>
      </c>
      <c r="E8" s="103">
        <f t="shared" si="0"/>
        <v>486464.89015935216</v>
      </c>
      <c r="F8" s="103">
        <f t="shared" si="0"/>
        <v>498091.4010341607</v>
      </c>
      <c r="G8" s="103">
        <f t="shared" si="0"/>
        <v>509995.78551887715</v>
      </c>
      <c r="H8" s="103">
        <f t="shared" si="0"/>
        <v>522184.68479277834</v>
      </c>
      <c r="I8" s="103">
        <f t="shared" si="0"/>
        <v>534664.8987593257</v>
      </c>
      <c r="J8" s="103">
        <f t="shared" si="0"/>
        <v>547443.3898396736</v>
      </c>
      <c r="K8" s="103">
        <f t="shared" si="0"/>
        <v>560527.2868568418</v>
      </c>
      <c r="L8" s="103">
        <f t="shared" si="0"/>
        <v>573923.8890127204</v>
      </c>
      <c r="M8" s="103">
        <f t="shared" si="0"/>
        <v>587640.6699601244</v>
      </c>
      <c r="N8" s="103">
        <f t="shared" si="0"/>
        <v>601685.2819721715</v>
      </c>
      <c r="O8" s="103">
        <f t="shared" si="0"/>
        <v>616065.5602113064</v>
      </c>
      <c r="P8" s="103">
        <f t="shared" si="0"/>
        <v>630789.5271003566</v>
      </c>
      <c r="Q8" s="103">
        <f t="shared" si="0"/>
        <v>645865.3967980552</v>
      </c>
      <c r="R8" s="103">
        <f t="shared" si="0"/>
        <v>661301.5797815287</v>
      </c>
      <c r="S8" s="103">
        <f t="shared" si="0"/>
        <v>677106.6875383072</v>
      </c>
      <c r="T8" s="103">
        <f t="shared" si="0"/>
        <v>693289.5373704727</v>
      </c>
      <c r="U8" s="103">
        <f t="shared" si="0"/>
        <v>709859.1573136271</v>
      </c>
      <c r="V8" s="103">
        <f t="shared" si="0"/>
        <v>726824.7911734228</v>
      </c>
      <c r="W8" s="103">
        <f t="shared" si="0"/>
        <v>744195.9036824676</v>
      </c>
    </row>
    <row r="10" spans="1:23" ht="12.75">
      <c r="A10" s="242" t="s">
        <v>221</v>
      </c>
      <c r="B10" s="242" t="s">
        <v>222</v>
      </c>
      <c r="C10" s="338">
        <f>AVERAGE(Assumptions!$C$70:$C$71)*NRW!C7*12/1000</f>
        <v>5859.820483817879</v>
      </c>
      <c r="D10" s="338">
        <f>AVERAGE(Assumptions!$C$70:$C$71)*NRW!D7*12/1000</f>
        <v>5999.870193381127</v>
      </c>
      <c r="E10" s="338">
        <f>AVERAGE(Assumptions!$C$70:$C$71)*NRW!E7*12/1000</f>
        <v>6143.2670910029365</v>
      </c>
      <c r="F10" s="338">
        <f>AVERAGE(Assumptions!$C$70:$C$71)*NRW!F7*12/1000</f>
        <v>6290.091174477906</v>
      </c>
      <c r="G10" s="338">
        <f>AVERAGE(Assumptions!$C$70:$C$71)*NRW!G7*12/1000</f>
        <v>6440.424353547929</v>
      </c>
      <c r="H10" s="338">
        <f>AVERAGE(Assumptions!$C$70:$C$71)*NRW!H7*12/1000</f>
        <v>6594.350495597724</v>
      </c>
      <c r="I10" s="338">
        <f>AVERAGE(Assumptions!$C$70:$C$71)*NRW!I7*12/1000</f>
        <v>6751.955472442509</v>
      </c>
      <c r="J10" s="338">
        <f>AVERAGE(Assumptions!$C$70:$C$71)*NRW!J7*12/1000</f>
        <v>6913.327208233885</v>
      </c>
      <c r="K10" s="338">
        <f>AVERAGE(Assumptions!$C$70:$C$71)*NRW!K7*12/1000</f>
        <v>7078.555728510676</v>
      </c>
      <c r="L10" s="338">
        <f>AVERAGE(Assumptions!$C$70:$C$71)*NRW!L7*12/1000</f>
        <v>7247.73321042208</v>
      </c>
      <c r="M10" s="338">
        <f>AVERAGE(Assumptions!$C$70:$C$71)*NRW!M7*12/1000</f>
        <v>7420.954034151169</v>
      </c>
      <c r="N10" s="338">
        <f>AVERAGE(Assumptions!$C$70:$C$71)*NRW!N7*12/1000</f>
        <v>7598.314835567383</v>
      </c>
      <c r="O10" s="338">
        <f>AVERAGE(Assumptions!$C$70:$C$71)*NRW!O7*12/1000</f>
        <v>7779.914560137444</v>
      </c>
      <c r="P10" s="338">
        <f>AVERAGE(Assumptions!$C$70:$C$71)*NRW!P7*12/1000</f>
        <v>7965.854518124729</v>
      </c>
      <c r="Q10" s="338">
        <f>AVERAGE(Assumptions!$C$70:$C$71)*NRW!Q7*12/1000</f>
        <v>8156.238441107911</v>
      </c>
      <c r="R10" s="338">
        <f>AVERAGE(Assumptions!$C$70:$C$71)*NRW!R7*12/1000</f>
        <v>8351.17253985039</v>
      </c>
      <c r="S10" s="338">
        <f>AVERAGE(Assumptions!$C$70:$C$71)*NRW!S7*12/1000</f>
        <v>8550.765563552814</v>
      </c>
      <c r="T10" s="338">
        <f>AVERAGE(Assumptions!$C$70:$C$71)*NRW!T7*12/1000</f>
        <v>8755.128860521725</v>
      </c>
      <c r="U10" s="338">
        <f>AVERAGE(Assumptions!$C$70:$C$71)*NRW!U7*12/1000</f>
        <v>8964.376440288195</v>
      </c>
      <c r="V10" s="338">
        <f>AVERAGE(Assumptions!$C$70:$C$71)*NRW!V7*12/1000</f>
        <v>9178.625037211084</v>
      </c>
      <c r="W10" s="338">
        <f>AVERAGE(Assumptions!$C$70:$C$71)*NRW!W7*12/1000</f>
        <v>9397.994175600428</v>
      </c>
    </row>
    <row r="12" ht="13.5" thickBot="1"/>
    <row r="13" spans="1:23" ht="18">
      <c r="A13" s="41" t="s">
        <v>37</v>
      </c>
      <c r="B13" s="42"/>
      <c r="C13" s="42"/>
      <c r="D13" s="42"/>
      <c r="E13" s="42"/>
      <c r="F13" s="42"/>
      <c r="G13" s="42"/>
      <c r="H13" s="42"/>
      <c r="I13" s="42"/>
      <c r="J13" s="42"/>
      <c r="K13" s="42"/>
      <c r="L13" s="42"/>
      <c r="M13" s="42"/>
      <c r="N13" s="42"/>
      <c r="O13" s="42"/>
      <c r="P13" s="42"/>
      <c r="Q13" s="42"/>
      <c r="R13" s="42"/>
      <c r="S13" s="42"/>
      <c r="T13" s="42"/>
      <c r="U13" s="42"/>
      <c r="V13" s="42"/>
      <c r="W13" s="43"/>
    </row>
    <row r="15" spans="1:23" ht="12.75">
      <c r="A15" s="242" t="s">
        <v>217</v>
      </c>
      <c r="B15" s="242" t="s">
        <v>218</v>
      </c>
      <c r="C15" s="103">
        <f>C6</f>
        <v>920674</v>
      </c>
      <c r="D15" s="103">
        <f aca="true" t="shared" si="1" ref="D15:W15">D6</f>
        <v>942678.1086</v>
      </c>
      <c r="E15" s="103">
        <f t="shared" si="1"/>
        <v>965208.11539554</v>
      </c>
      <c r="F15" s="103">
        <f t="shared" si="1"/>
        <v>988276.5893534934</v>
      </c>
      <c r="G15" s="103">
        <f t="shared" si="1"/>
        <v>1011896.399839042</v>
      </c>
      <c r="H15" s="103">
        <f t="shared" si="1"/>
        <v>1036080.7237951951</v>
      </c>
      <c r="I15" s="103">
        <f t="shared" si="1"/>
        <v>1060843.0530939002</v>
      </c>
      <c r="J15" s="103">
        <f t="shared" si="1"/>
        <v>1086197.2020628445</v>
      </c>
      <c r="K15" s="103">
        <f t="shared" si="1"/>
        <v>1112157.3151921465</v>
      </c>
      <c r="L15" s="103">
        <f t="shared" si="1"/>
        <v>1138737.8750252388</v>
      </c>
      <c r="M15" s="103">
        <f t="shared" si="1"/>
        <v>1165953.7102383422</v>
      </c>
      <c r="N15" s="103">
        <f t="shared" si="1"/>
        <v>1193820.0039130386</v>
      </c>
      <c r="O15" s="103">
        <f t="shared" si="1"/>
        <v>1222352.3020065604</v>
      </c>
      <c r="P15" s="103">
        <f t="shared" si="1"/>
        <v>1251566.5220245172</v>
      </c>
      <c r="Q15" s="103">
        <f t="shared" si="1"/>
        <v>1281478.9619009031</v>
      </c>
      <c r="R15" s="103">
        <f t="shared" si="1"/>
        <v>1312106.3090903347</v>
      </c>
      <c r="S15" s="103">
        <f t="shared" si="1"/>
        <v>1343465.6498775936</v>
      </c>
      <c r="T15" s="103">
        <f t="shared" si="1"/>
        <v>1375574.478909668</v>
      </c>
      <c r="U15" s="103">
        <f t="shared" si="1"/>
        <v>1408450.7089556092</v>
      </c>
      <c r="V15" s="103">
        <f t="shared" si="1"/>
        <v>1442112.6808996485</v>
      </c>
      <c r="W15" s="103">
        <f t="shared" si="1"/>
        <v>1476579.17397315</v>
      </c>
    </row>
    <row r="16" spans="1:23" ht="12.75">
      <c r="A16" s="242" t="s">
        <v>219</v>
      </c>
      <c r="B16" s="242" t="s">
        <v>218</v>
      </c>
      <c r="C16">
        <f>IF(C3&gt;=$B$24,IF(C3&lt;=$B$25,(Assumptions!$C$80-(Assumptions!$C$80-Assumptions!$C$81)/NRW!$B$26*(NRW!C3-NRW!$B$26))*C15,C15*Assumptions!$C$81),NRW!C7)</f>
        <v>456654.304</v>
      </c>
      <c r="D16">
        <f>IF(D3&gt;=$B$24,IF(D3&lt;=$B$25,(Assumptions!$C$80-(Assumptions!$C$80-Assumptions!$C$81)/NRW!$B$26*(NRW!D3-NRW!$B$26))*D15,D15*Assumptions!$C$81),NRW!D7)</f>
        <v>467568.3418656</v>
      </c>
      <c r="E16">
        <f>IF(E3&gt;=$B$24,IF(E3&lt;=$B$25,(Assumptions!$C$80-(Assumptions!$C$80-Assumptions!$C$81)/NRW!$B$26*(NRW!E3-NRW!$B$26))*E15,E15*Assumptions!$C$81),NRW!E7)</f>
        <v>478743.22523618786</v>
      </c>
      <c r="F16">
        <f>IF(F3&gt;=$B$24,IF(F3&lt;=$B$25,(Assumptions!$C$80-(Assumptions!$C$80-Assumptions!$C$81)/NRW!$B$26*(NRW!F3-NRW!$B$26))*F15,F15*Assumptions!$C$81),NRW!F7)</f>
        <v>490185.1883193327</v>
      </c>
      <c r="G16">
        <f>IF(G3&gt;=$B$24,IF(G3&lt;=$B$25,(Assumptions!$C$80-(Assumptions!$C$80-Assumptions!$C$81)/NRW!$B$26*(NRW!G3-NRW!$B$26))*G15,G15*Assumptions!$C$81),NRW!G7)</f>
        <v>501900.61432016484</v>
      </c>
      <c r="H16">
        <f>IF(H3&gt;=$B$24,IF(H3&lt;=$B$25,(Assumptions!$C$80-(Assumptions!$C$80-Assumptions!$C$81)/NRW!$B$26*(NRW!H3-NRW!$B$26))*H15,H15*Assumptions!$C$81),NRW!H7)</f>
        <v>513896.0390024168</v>
      </c>
      <c r="I16">
        <f>IF(I3&gt;=$B$24,IF(I3&lt;=$B$25,(Assumptions!$C$80-(Assumptions!$C$80-Assumptions!$C$81)/NRW!$B$26*(NRW!I3-NRW!$B$26))*I15,I15*Assumptions!$C$81),NRW!I7)</f>
        <v>526178.1543345745</v>
      </c>
      <c r="J16">
        <f>IF(J3&gt;=$B$24,IF(J3&lt;=$B$25,(Assumptions!$C$80-(Assumptions!$C$80-Assumptions!$C$81)/NRW!$B$26*(NRW!J3-NRW!$B$26))*J15,J15*Assumptions!$C$81),NRW!J7)</f>
        <v>538753.8122231709</v>
      </c>
      <c r="K16">
        <f>IF(K3&gt;=$B$24,IF(K3&lt;=$B$25,(Assumptions!$C$80-(Assumptions!$C$80-Assumptions!$C$81)/NRW!$B$26*(NRW!K3-NRW!$B$26))*K15,K15*Assumptions!$C$81),NRW!K7)</f>
        <v>551630.0283353047</v>
      </c>
      <c r="L16">
        <f>IF(L3&gt;=$B$24,IF(L3&lt;=$B$25,(Assumptions!$C$80-(Assumptions!$C$80-Assumptions!$C$81)/NRW!$B$26*(NRW!L3-NRW!$B$26))*L15,L15*Assumptions!$C$81),NRW!L7)</f>
        <v>564813.9860125184</v>
      </c>
      <c r="M16">
        <f>IF(M3&gt;=$B$24,IF(M3&lt;=$B$25,(Assumptions!$C$80-(Assumptions!$C$80-Assumptions!$C$81)/NRW!$B$26*(NRW!M3-NRW!$B$26))*M15,M15*Assumptions!$C$81),NRW!M7)</f>
        <v>578313.0402782178</v>
      </c>
      <c r="N16">
        <f>IF(N3&gt;=$B$24,IF(N3&lt;=$B$25,(Assumptions!$C$80-(Assumptions!$C$80-Assumptions!$C$81)/NRW!$B$26*(NRW!N3-NRW!$B$26))*N15,N15*Assumptions!$C$81),NRW!N7)</f>
        <v>592134.7219408671</v>
      </c>
      <c r="O16">
        <f>IF(O3&gt;=$B$24,IF(O3&lt;=$B$25,(Assumptions!$C$80-(Assumptions!$C$80-Assumptions!$C$81)/NRW!$B$26*(NRW!O3-NRW!$B$26))*O15,O15*Assumptions!$C$81),NRW!O7)</f>
        <v>606286.7417952539</v>
      </c>
      <c r="P16">
        <f>IF(P3&gt;=$B$24,IF(P3&lt;=$B$25,(Assumptions!$C$80-(Assumptions!$C$80-Assumptions!$C$81)/NRW!$B$26*(NRW!P3-NRW!$B$26))*P15,P15*Assumptions!$C$81),NRW!P7)</f>
        <v>620776.9949241605</v>
      </c>
      <c r="Q16">
        <f>IF(Q3&gt;=$B$24,IF(Q3&lt;=$B$25,(Assumptions!$C$80-(Assumptions!$C$80-Assumptions!$C$81)/NRW!$B$26*(NRW!Q3-NRW!$B$26))*Q15,Q15*Assumptions!$C$81),NRW!Q7)</f>
        <v>635613.565102848</v>
      </c>
      <c r="R16">
        <f>IF(R3&gt;=$B$24,IF(R3&lt;=$B$25,(Assumptions!$C$80-(Assumptions!$C$80-Assumptions!$C$81)/NRW!$B$26*(NRW!R3-NRW!$B$26))*R15,R15*Assumptions!$C$81),NRW!R7)</f>
        <v>650804.729308806</v>
      </c>
      <c r="S16">
        <f>IF(S3&gt;=$B$24,IF(S3&lt;=$B$25,(Assumptions!$C$80-(Assumptions!$C$80-Assumptions!$C$81)/NRW!$B$26*(NRW!S3-NRW!$B$26))*S15,S15*Assumptions!$C$81),NRW!S7)</f>
        <v>666358.9623392865</v>
      </c>
      <c r="T16">
        <f>IF(T3&gt;=$B$24,IF(T3&lt;=$B$25,(Assumptions!$C$80-(Assumptions!$C$80-Assumptions!$C$81)/NRW!$B$26*(NRW!T3-NRW!$B$26))*T15,T15*Assumptions!$C$81),NRW!T7)</f>
        <v>682284.9415391954</v>
      </c>
      <c r="U16">
        <f>IF(U3&gt;=$B$24,IF(U3&lt;=$B$25,(Assumptions!$C$80-(Assumptions!$C$80-Assumptions!$C$81)/NRW!$B$26*(NRW!U3-NRW!$B$26))*U15,U15*Assumptions!$C$81),NRW!U7)</f>
        <v>698591.5516419822</v>
      </c>
      <c r="V16">
        <f>IF(V3&gt;=$B$24,IF(V3&lt;=$B$25,(Assumptions!$C$80-(Assumptions!$C$80-Assumptions!$C$81)/NRW!$B$26*(NRW!V3-NRW!$B$26))*V15,V15*Assumptions!$C$81),NRW!V7)</f>
        <v>715287.8897262256</v>
      </c>
      <c r="W16">
        <f>IF(W3&gt;=$B$24,IF(W3&lt;=$B$25,(Assumptions!$C$80-(Assumptions!$C$80-Assumptions!$C$81)/NRW!$B$26*(NRW!W3-NRW!$B$26))*W15,W15*Assumptions!$C$81),NRW!W7)</f>
        <v>732383.2702906824</v>
      </c>
    </row>
    <row r="17" spans="1:23" ht="12.75">
      <c r="A17" s="16" t="s">
        <v>223</v>
      </c>
      <c r="B17" s="242" t="s">
        <v>218</v>
      </c>
      <c r="C17" s="103">
        <f>C15-C16</f>
        <v>464019.696</v>
      </c>
      <c r="D17" s="103">
        <f aca="true" t="shared" si="2" ref="D17:W17">D15-D16</f>
        <v>475109.7667344</v>
      </c>
      <c r="E17" s="103">
        <f t="shared" si="2"/>
        <v>486464.89015935216</v>
      </c>
      <c r="F17" s="103">
        <f t="shared" si="2"/>
        <v>498091.4010341607</v>
      </c>
      <c r="G17" s="103">
        <f t="shared" si="2"/>
        <v>509995.78551887715</v>
      </c>
      <c r="H17" s="103">
        <f t="shared" si="2"/>
        <v>522184.68479277834</v>
      </c>
      <c r="I17" s="103">
        <f t="shared" si="2"/>
        <v>534664.8987593257</v>
      </c>
      <c r="J17" s="103">
        <f t="shared" si="2"/>
        <v>547443.3898396736</v>
      </c>
      <c r="K17" s="103">
        <f t="shared" si="2"/>
        <v>560527.2868568418</v>
      </c>
      <c r="L17" s="103">
        <f t="shared" si="2"/>
        <v>573923.8890127204</v>
      </c>
      <c r="M17" s="103">
        <f t="shared" si="2"/>
        <v>587640.6699601244</v>
      </c>
      <c r="N17" s="103">
        <f t="shared" si="2"/>
        <v>601685.2819721715</v>
      </c>
      <c r="O17" s="103">
        <f t="shared" si="2"/>
        <v>616065.5602113064</v>
      </c>
      <c r="P17" s="103">
        <f t="shared" si="2"/>
        <v>630789.5271003566</v>
      </c>
      <c r="Q17" s="103">
        <f t="shared" si="2"/>
        <v>645865.3967980552</v>
      </c>
      <c r="R17" s="103">
        <f t="shared" si="2"/>
        <v>661301.5797815287</v>
      </c>
      <c r="S17" s="103">
        <f t="shared" si="2"/>
        <v>677106.6875383072</v>
      </c>
      <c r="T17" s="103">
        <f t="shared" si="2"/>
        <v>693289.5373704727</v>
      </c>
      <c r="U17" s="103">
        <f t="shared" si="2"/>
        <v>709859.1573136271</v>
      </c>
      <c r="V17" s="103">
        <f t="shared" si="2"/>
        <v>726824.7911734228</v>
      </c>
      <c r="W17" s="103">
        <f t="shared" si="2"/>
        <v>744195.9036824676</v>
      </c>
    </row>
    <row r="19" spans="1:23" ht="12.75">
      <c r="A19" s="242" t="s">
        <v>221</v>
      </c>
      <c r="B19" s="242" t="s">
        <v>222</v>
      </c>
      <c r="C19" s="338">
        <f>C16*AVERAGE(Assumptions!$C$70:$C$71)*12/1000</f>
        <v>5859.820483817879</v>
      </c>
      <c r="D19" s="338">
        <f>D16*AVERAGE(Assumptions!$C$70:$C$71)*12/1000</f>
        <v>5999.870193381127</v>
      </c>
      <c r="E19" s="338">
        <f>E16*AVERAGE(Assumptions!$C$70:$C$71)*12/1000</f>
        <v>6143.2670910029365</v>
      </c>
      <c r="F19" s="338">
        <f>F16*AVERAGE(Assumptions!$C$70:$C$71)*12/1000</f>
        <v>6290.091174477906</v>
      </c>
      <c r="G19" s="338">
        <f>G16*AVERAGE(Assumptions!$C$70:$C$71)*12/1000</f>
        <v>6440.424353547929</v>
      </c>
      <c r="H19" s="338">
        <f>H16*AVERAGE(Assumptions!$C$70:$C$71)*12/1000</f>
        <v>6594.350495597724</v>
      </c>
      <c r="I19" s="338">
        <f>I16*AVERAGE(Assumptions!$C$70:$C$71)*12/1000</f>
        <v>6751.955472442509</v>
      </c>
      <c r="J19" s="338">
        <f>J16*AVERAGE(Assumptions!$C$70:$C$71)*12/1000</f>
        <v>6913.327208233885</v>
      </c>
      <c r="K19" s="338">
        <f>K16*AVERAGE(Assumptions!$C$70:$C$71)*12/1000</f>
        <v>7078.555728510676</v>
      </c>
      <c r="L19" s="338">
        <f>L16*AVERAGE(Assumptions!$C$70:$C$71)*12/1000</f>
        <v>7247.73321042208</v>
      </c>
      <c r="M19" s="338">
        <f>M16*AVERAGE(Assumptions!$C$70:$C$71)*12/1000</f>
        <v>7420.954034151169</v>
      </c>
      <c r="N19" s="338">
        <f>N16*AVERAGE(Assumptions!$C$70:$C$71)*12/1000</f>
        <v>7598.314835567383</v>
      </c>
      <c r="O19" s="338">
        <f>O16*AVERAGE(Assumptions!$C$70:$C$71)*12/1000</f>
        <v>7779.914560137444</v>
      </c>
      <c r="P19" s="338">
        <f>P16*AVERAGE(Assumptions!$C$70:$C$71)*12/1000</f>
        <v>7965.854518124729</v>
      </c>
      <c r="Q19" s="338">
        <f>Q16*AVERAGE(Assumptions!$C$70:$C$71)*12/1000</f>
        <v>8156.238441107911</v>
      </c>
      <c r="R19" s="338">
        <f>R16*AVERAGE(Assumptions!$C$70:$C$71)*12/1000</f>
        <v>8351.17253985039</v>
      </c>
      <c r="S19" s="338">
        <f>S16*AVERAGE(Assumptions!$C$70:$C$71)*12/1000</f>
        <v>8550.765563552814</v>
      </c>
      <c r="T19" s="338">
        <f>T16*AVERAGE(Assumptions!$C$70:$C$71)*12/1000</f>
        <v>8755.128860521725</v>
      </c>
      <c r="U19" s="338">
        <f>U16*AVERAGE(Assumptions!$C$70:$C$71)*12/1000</f>
        <v>8964.376440288195</v>
      </c>
      <c r="V19" s="338">
        <f>V16*AVERAGE(Assumptions!$C$70:$C$71)*12/1000</f>
        <v>9178.625037211084</v>
      </c>
      <c r="W19" s="338">
        <f>W16*AVERAGE(Assumptions!$C$70:$C$71)*12/1000</f>
        <v>9397.994175600428</v>
      </c>
    </row>
    <row r="21" spans="1:23" ht="12.75">
      <c r="A21" s="242" t="s">
        <v>227</v>
      </c>
      <c r="B21" s="242" t="s">
        <v>222</v>
      </c>
      <c r="C21" s="338">
        <f>C10-C19</f>
        <v>0</v>
      </c>
      <c r="D21" s="338">
        <f aca="true" t="shared" si="3" ref="D21:W21">D10-D19</f>
        <v>0</v>
      </c>
      <c r="E21" s="338">
        <f t="shared" si="3"/>
        <v>0</v>
      </c>
      <c r="F21" s="338">
        <f t="shared" si="3"/>
        <v>0</v>
      </c>
      <c r="G21" s="338">
        <f t="shared" si="3"/>
        <v>0</v>
      </c>
      <c r="H21" s="338">
        <f t="shared" si="3"/>
        <v>0</v>
      </c>
      <c r="I21" s="338">
        <f t="shared" si="3"/>
        <v>0</v>
      </c>
      <c r="J21" s="338">
        <f t="shared" si="3"/>
        <v>0</v>
      </c>
      <c r="K21" s="338">
        <f t="shared" si="3"/>
        <v>0</v>
      </c>
      <c r="L21" s="338">
        <f t="shared" si="3"/>
        <v>0</v>
      </c>
      <c r="M21" s="338">
        <f t="shared" si="3"/>
        <v>0</v>
      </c>
      <c r="N21" s="338">
        <f t="shared" si="3"/>
        <v>0</v>
      </c>
      <c r="O21" s="338">
        <f t="shared" si="3"/>
        <v>0</v>
      </c>
      <c r="P21" s="338">
        <f t="shared" si="3"/>
        <v>0</v>
      </c>
      <c r="Q21" s="338">
        <f t="shared" si="3"/>
        <v>0</v>
      </c>
      <c r="R21" s="338">
        <f t="shared" si="3"/>
        <v>0</v>
      </c>
      <c r="S21" s="338">
        <f t="shared" si="3"/>
        <v>0</v>
      </c>
      <c r="T21" s="338">
        <f t="shared" si="3"/>
        <v>0</v>
      </c>
      <c r="U21" s="338">
        <f t="shared" si="3"/>
        <v>0</v>
      </c>
      <c r="V21" s="338">
        <f t="shared" si="3"/>
        <v>0</v>
      </c>
      <c r="W21" s="338">
        <f t="shared" si="3"/>
        <v>0</v>
      </c>
    </row>
    <row r="22" ht="12.75">
      <c r="O22" s="337"/>
    </row>
    <row r="23" ht="12.75">
      <c r="A23" s="80" t="s">
        <v>70</v>
      </c>
    </row>
    <row r="24" spans="1:2" ht="12.75">
      <c r="A24" s="12" t="s">
        <v>59</v>
      </c>
      <c r="B24">
        <f>Assumptions!C40</f>
        <v>5</v>
      </c>
    </row>
    <row r="25" spans="1:2" ht="12.75">
      <c r="A25" s="12" t="s">
        <v>60</v>
      </c>
      <c r="B25">
        <f>Assumptions!C41</f>
        <v>10</v>
      </c>
    </row>
    <row r="26" spans="1:2" ht="12.75">
      <c r="A26" s="12" t="s">
        <v>68</v>
      </c>
      <c r="B26">
        <f>B25-B24</f>
        <v>5</v>
      </c>
    </row>
    <row r="30" spans="3:23" ht="12.75">
      <c r="C30">
        <f>C7*1.13</f>
        <v>516019.36351999996</v>
      </c>
      <c r="D30">
        <f aca="true" t="shared" si="4" ref="D30:W30">D7*1.13</f>
        <v>528352.226308128</v>
      </c>
      <c r="E30">
        <f t="shared" si="4"/>
        <v>540979.8445168922</v>
      </c>
      <c r="F30">
        <f t="shared" si="4"/>
        <v>553909.2628008459</v>
      </c>
      <c r="G30">
        <f t="shared" si="4"/>
        <v>567147.6941817863</v>
      </c>
      <c r="H30">
        <f t="shared" si="4"/>
        <v>580702.5240727309</v>
      </c>
      <c r="I30">
        <f t="shared" si="4"/>
        <v>594581.314398069</v>
      </c>
      <c r="J30">
        <f t="shared" si="4"/>
        <v>608791.807812183</v>
      </c>
      <c r="K30">
        <f t="shared" si="4"/>
        <v>623341.9320188942</v>
      </c>
      <c r="L30">
        <f t="shared" si="4"/>
        <v>638239.8041941457</v>
      </c>
      <c r="M30">
        <f t="shared" si="4"/>
        <v>653493.735514386</v>
      </c>
      <c r="N30">
        <f t="shared" si="4"/>
        <v>669112.2357931798</v>
      </c>
      <c r="O30">
        <f t="shared" si="4"/>
        <v>685104.0182286369</v>
      </c>
      <c r="P30">
        <f t="shared" si="4"/>
        <v>701478.0042643014</v>
      </c>
      <c r="Q30">
        <f t="shared" si="4"/>
        <v>718243.3285662181</v>
      </c>
      <c r="R30">
        <f t="shared" si="4"/>
        <v>735409.3441189508</v>
      </c>
      <c r="S30">
        <f t="shared" si="4"/>
        <v>752985.6274433936</v>
      </c>
      <c r="T30">
        <f t="shared" si="4"/>
        <v>770981.9839392907</v>
      </c>
      <c r="U30">
        <f t="shared" si="4"/>
        <v>789408.4533554398</v>
      </c>
      <c r="V30">
        <f t="shared" si="4"/>
        <v>808275.3153906349</v>
      </c>
      <c r="W30">
        <f t="shared" si="4"/>
        <v>827593.0954284711</v>
      </c>
    </row>
    <row r="31" spans="3:23" ht="12.75">
      <c r="C31">
        <f>C30/C6</f>
        <v>0.56048</v>
      </c>
      <c r="D31">
        <f aca="true" t="shared" si="5" ref="D31:W31">D30/D6</f>
        <v>0.56048</v>
      </c>
      <c r="E31">
        <f t="shared" si="5"/>
        <v>0.56048</v>
      </c>
      <c r="F31">
        <f t="shared" si="5"/>
        <v>0.5604799999999999</v>
      </c>
      <c r="G31">
        <f t="shared" si="5"/>
        <v>0.56048</v>
      </c>
      <c r="H31">
        <f t="shared" si="5"/>
        <v>0.56048</v>
      </c>
      <c r="I31">
        <f t="shared" si="5"/>
        <v>0.5604799999999999</v>
      </c>
      <c r="J31">
        <f t="shared" si="5"/>
        <v>0.56048</v>
      </c>
      <c r="K31">
        <f t="shared" si="5"/>
        <v>0.56048</v>
      </c>
      <c r="L31">
        <f t="shared" si="5"/>
        <v>0.5604799999999999</v>
      </c>
      <c r="M31">
        <f t="shared" si="5"/>
        <v>0.56048</v>
      </c>
      <c r="N31">
        <f t="shared" si="5"/>
        <v>0.56048</v>
      </c>
      <c r="O31">
        <f t="shared" si="5"/>
        <v>0.56048</v>
      </c>
      <c r="P31">
        <f t="shared" si="5"/>
        <v>0.56048</v>
      </c>
      <c r="Q31">
        <f t="shared" si="5"/>
        <v>0.56048</v>
      </c>
      <c r="R31">
        <f t="shared" si="5"/>
        <v>0.56048</v>
      </c>
      <c r="S31">
        <f t="shared" si="5"/>
        <v>0.56048</v>
      </c>
      <c r="T31">
        <f t="shared" si="5"/>
        <v>0.56048</v>
      </c>
      <c r="U31">
        <f t="shared" si="5"/>
        <v>0.56048</v>
      </c>
      <c r="V31">
        <f t="shared" si="5"/>
        <v>0.56048</v>
      </c>
      <c r="W31">
        <f t="shared" si="5"/>
        <v>0.56048</v>
      </c>
    </row>
    <row r="32" spans="3:23" ht="12.75">
      <c r="C32">
        <v>0.56048</v>
      </c>
      <c r="D32">
        <v>0.56048</v>
      </c>
      <c r="E32">
        <v>0.5604799999999999</v>
      </c>
      <c r="F32">
        <v>0.5604799999999999</v>
      </c>
      <c r="G32">
        <v>0.56048</v>
      </c>
      <c r="H32">
        <v>0.56048</v>
      </c>
      <c r="I32">
        <v>0.56048</v>
      </c>
      <c r="J32">
        <v>0.56048</v>
      </c>
      <c r="K32">
        <v>0.56048</v>
      </c>
      <c r="L32">
        <v>0.56048</v>
      </c>
      <c r="M32">
        <v>0.56048</v>
      </c>
      <c r="N32">
        <v>0.5604799999999999</v>
      </c>
      <c r="O32">
        <v>0.56048</v>
      </c>
      <c r="P32">
        <v>0.56048</v>
      </c>
      <c r="Q32">
        <v>0.5604799999999999</v>
      </c>
      <c r="R32">
        <v>0.56048</v>
      </c>
      <c r="S32">
        <v>0.56048</v>
      </c>
      <c r="T32">
        <v>0.56048</v>
      </c>
      <c r="U32">
        <v>0.56048</v>
      </c>
      <c r="V32">
        <v>0.5604799999999999</v>
      </c>
      <c r="W32">
        <v>0.56048</v>
      </c>
    </row>
    <row r="37" ht="15">
      <c r="E37" s="399"/>
    </row>
    <row r="38" ht="15">
      <c r="E38" s="399"/>
    </row>
    <row r="39" ht="15">
      <c r="E39" s="399"/>
    </row>
    <row r="40" ht="15">
      <c r="E40" s="399"/>
    </row>
    <row r="41" ht="15">
      <c r="E41" s="399"/>
    </row>
    <row r="42" ht="15">
      <c r="E42" s="399"/>
    </row>
    <row r="43" ht="15">
      <c r="E43" s="399"/>
    </row>
    <row r="44" ht="15">
      <c r="E44" s="399"/>
    </row>
    <row r="45" ht="15">
      <c r="E45" s="399"/>
    </row>
    <row r="46" ht="15">
      <c r="E46" s="399"/>
    </row>
    <row r="47" ht="15">
      <c r="E47" s="399"/>
    </row>
    <row r="48" ht="15">
      <c r="E48" s="399"/>
    </row>
    <row r="49" ht="15">
      <c r="E49" s="399"/>
    </row>
    <row r="50" ht="15">
      <c r="E50" s="399"/>
    </row>
    <row r="51" ht="15">
      <c r="E51" s="399"/>
    </row>
    <row r="52" ht="15">
      <c r="E52" s="399"/>
    </row>
    <row r="53" ht="15">
      <c r="E53" s="399"/>
    </row>
    <row r="54" ht="15">
      <c r="E54" s="399"/>
    </row>
    <row r="55" ht="15">
      <c r="E55" s="399"/>
    </row>
    <row r="56" ht="15">
      <c r="E56" s="399"/>
    </row>
    <row r="57" ht="15">
      <c r="E57" s="399"/>
    </row>
    <row r="58" ht="15">
      <c r="E58" s="399"/>
    </row>
    <row r="59" ht="15">
      <c r="E59" s="399"/>
    </row>
    <row r="60" ht="15">
      <c r="E60" s="399"/>
    </row>
  </sheetData>
  <sheetProtection/>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2:N29"/>
  <sheetViews>
    <sheetView zoomScalePageLayoutView="0" workbookViewId="0" topLeftCell="A1">
      <selection activeCell="A1" sqref="A1"/>
    </sheetView>
  </sheetViews>
  <sheetFormatPr defaultColWidth="9.140625" defaultRowHeight="12.75"/>
  <cols>
    <col min="1" max="1" width="4.28125" style="0" customWidth="1"/>
  </cols>
  <sheetData>
    <row r="2" spans="1:2" ht="12.75">
      <c r="A2">
        <v>1</v>
      </c>
      <c r="B2" s="242" t="s">
        <v>213</v>
      </c>
    </row>
    <row r="3" spans="1:14" ht="12.75">
      <c r="A3">
        <v>2</v>
      </c>
      <c r="B3" s="242" t="s">
        <v>125</v>
      </c>
      <c r="N3" s="356" t="s">
        <v>348</v>
      </c>
    </row>
    <row r="4" spans="1:2" ht="12.75">
      <c r="A4">
        <v>3</v>
      </c>
      <c r="B4" s="242" t="s">
        <v>214</v>
      </c>
    </row>
    <row r="5" spans="1:2" ht="12.75">
      <c r="A5">
        <v>4</v>
      </c>
      <c r="B5" s="242" t="s">
        <v>133</v>
      </c>
    </row>
    <row r="6" spans="1:2" ht="12.75">
      <c r="A6">
        <v>5</v>
      </c>
      <c r="B6" s="242" t="s">
        <v>134</v>
      </c>
    </row>
    <row r="7" spans="1:2" ht="12.75">
      <c r="A7">
        <v>6</v>
      </c>
      <c r="B7" s="242" t="s">
        <v>242</v>
      </c>
    </row>
    <row r="8" spans="1:2" ht="12.75">
      <c r="A8">
        <v>7</v>
      </c>
      <c r="B8" s="242" t="s">
        <v>232</v>
      </c>
    </row>
    <row r="9" spans="1:2" ht="12.75">
      <c r="A9">
        <v>8</v>
      </c>
      <c r="B9" s="242" t="s">
        <v>205</v>
      </c>
    </row>
    <row r="10" spans="1:2" ht="12.75">
      <c r="A10" s="342">
        <v>9</v>
      </c>
      <c r="B10" s="343" t="s">
        <v>175</v>
      </c>
    </row>
    <row r="11" spans="1:2" ht="12.75">
      <c r="A11">
        <v>10</v>
      </c>
      <c r="B11" s="242" t="s">
        <v>215</v>
      </c>
    </row>
    <row r="12" spans="1:2" ht="12.75">
      <c r="A12">
        <v>11</v>
      </c>
      <c r="B12" s="242" t="s">
        <v>243</v>
      </c>
    </row>
    <row r="13" spans="1:2" ht="12.75">
      <c r="A13">
        <v>12</v>
      </c>
      <c r="B13" s="242" t="s">
        <v>241</v>
      </c>
    </row>
    <row r="14" spans="1:2" ht="12.75">
      <c r="A14">
        <v>13</v>
      </c>
      <c r="B14" s="242" t="s">
        <v>176</v>
      </c>
    </row>
    <row r="15" spans="1:2" ht="12.75">
      <c r="A15">
        <v>14</v>
      </c>
      <c r="B15" s="242" t="s">
        <v>177</v>
      </c>
    </row>
    <row r="16" spans="1:2" ht="12.75">
      <c r="A16">
        <v>15</v>
      </c>
      <c r="B16" s="242" t="s">
        <v>212</v>
      </c>
    </row>
    <row r="17" spans="1:2" ht="12.75">
      <c r="A17" s="342">
        <v>16</v>
      </c>
      <c r="B17" s="342" t="s">
        <v>137</v>
      </c>
    </row>
    <row r="18" spans="1:2" ht="12.75">
      <c r="A18">
        <v>17</v>
      </c>
      <c r="B18" s="242" t="s">
        <v>143</v>
      </c>
    </row>
    <row r="19" spans="1:2" ht="12.75">
      <c r="A19">
        <v>18</v>
      </c>
      <c r="B19" t="s">
        <v>328</v>
      </c>
    </row>
    <row r="20" spans="1:2" ht="12.75">
      <c r="A20">
        <v>19</v>
      </c>
      <c r="B20" t="s">
        <v>329</v>
      </c>
    </row>
    <row r="29" ht="12.75">
      <c r="E29" s="242" t="s">
        <v>99</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F49"/>
  <sheetViews>
    <sheetView showGridLines="0" tabSelected="1" zoomScalePageLayoutView="0" workbookViewId="0" topLeftCell="A1">
      <selection activeCell="A1" sqref="A1"/>
    </sheetView>
  </sheetViews>
  <sheetFormatPr defaultColWidth="9.140625" defaultRowHeight="12.75"/>
  <cols>
    <col min="1" max="1" width="7.7109375" style="354" customWidth="1"/>
    <col min="2" max="2" width="36.57421875" style="354" customWidth="1"/>
    <col min="3" max="3" width="54.7109375" style="354" customWidth="1"/>
    <col min="4" max="4" width="55.57421875" style="354" customWidth="1"/>
    <col min="5" max="5" width="36.7109375" style="354" customWidth="1"/>
    <col min="6" max="16384" width="9.140625" style="354" customWidth="1"/>
  </cols>
  <sheetData>
    <row r="1" ht="12.75">
      <c r="D1" s="472" t="s">
        <v>348</v>
      </c>
    </row>
    <row r="2" spans="3:5" ht="20.25">
      <c r="C2" s="497" t="s">
        <v>334</v>
      </c>
      <c r="D2" s="498"/>
      <c r="E2" s="449"/>
    </row>
    <row r="3" spans="3:5" ht="12.75" customHeight="1">
      <c r="C3" s="498"/>
      <c r="D3" s="498"/>
      <c r="E3" s="449"/>
    </row>
    <row r="4" spans="3:5" ht="20.25">
      <c r="C4" s="498"/>
      <c r="D4" s="498"/>
      <c r="E4" s="449"/>
    </row>
    <row r="5" spans="3:5" ht="20.25">
      <c r="C5" s="498"/>
      <c r="D5" s="498"/>
      <c r="E5" s="449"/>
    </row>
    <row r="6" spans="3:5" ht="20.25">
      <c r="C6" s="449"/>
      <c r="D6" s="449"/>
      <c r="E6" s="449"/>
    </row>
    <row r="7" spans="3:5" ht="25.5" customHeight="1">
      <c r="C7" s="499" t="s">
        <v>335</v>
      </c>
      <c r="D7" s="500"/>
      <c r="E7" s="450"/>
    </row>
    <row r="8" ht="13.5" thickBot="1"/>
    <row r="9" spans="2:6" s="410" customFormat="1" ht="18" customHeight="1" thickTop="1">
      <c r="B9" s="411" t="s">
        <v>287</v>
      </c>
      <c r="C9" s="412" t="s">
        <v>336</v>
      </c>
      <c r="D9" s="413" t="s">
        <v>337</v>
      </c>
      <c r="F9" s="414"/>
    </row>
    <row r="10" spans="2:4" s="410" customFormat="1" ht="18" customHeight="1">
      <c r="B10" s="415" t="s">
        <v>288</v>
      </c>
      <c r="C10" s="473">
        <v>38890</v>
      </c>
      <c r="D10" s="416">
        <v>41503</v>
      </c>
    </row>
    <row r="11" spans="2:4" s="410" customFormat="1" ht="32.25" customHeight="1">
      <c r="B11" s="415" t="s">
        <v>289</v>
      </c>
      <c r="C11" s="471" t="s">
        <v>324</v>
      </c>
      <c r="D11" s="417" t="s">
        <v>302</v>
      </c>
    </row>
    <row r="12" spans="2:4" ht="76.5" customHeight="1">
      <c r="B12" s="418" t="s">
        <v>290</v>
      </c>
      <c r="C12" s="474" t="s">
        <v>338</v>
      </c>
      <c r="D12" s="419" t="s">
        <v>339</v>
      </c>
    </row>
    <row r="13" spans="2:4" ht="66" customHeight="1">
      <c r="B13" s="420" t="s">
        <v>291</v>
      </c>
      <c r="C13" s="475" t="s">
        <v>340</v>
      </c>
      <c r="D13" s="419" t="s">
        <v>341</v>
      </c>
    </row>
    <row r="14" spans="2:4" ht="38.25" customHeight="1">
      <c r="B14" s="415" t="s">
        <v>292</v>
      </c>
      <c r="C14" s="476" t="s">
        <v>325</v>
      </c>
      <c r="D14" s="421" t="s">
        <v>314</v>
      </c>
    </row>
    <row r="15" spans="2:4" ht="18" customHeight="1" thickBot="1">
      <c r="B15" s="422" t="s">
        <v>293</v>
      </c>
      <c r="C15" s="477" t="s">
        <v>326</v>
      </c>
      <c r="D15" s="423" t="s">
        <v>303</v>
      </c>
    </row>
    <row r="16" spans="2:4" ht="18" customHeight="1" thickTop="1">
      <c r="B16" s="424"/>
      <c r="C16" s="425"/>
      <c r="D16" s="424"/>
    </row>
    <row r="17" spans="2:4" ht="12.75">
      <c r="B17" s="426" t="s">
        <v>294</v>
      </c>
      <c r="C17" s="427"/>
      <c r="D17" s="427"/>
    </row>
    <row r="18" spans="2:5" ht="15">
      <c r="B18" s="428" t="s">
        <v>295</v>
      </c>
      <c r="C18" s="429"/>
      <c r="D18" s="430"/>
      <c r="E18" s="431"/>
    </row>
    <row r="19" spans="2:5" ht="12.75">
      <c r="B19" s="494" t="s">
        <v>296</v>
      </c>
      <c r="C19" s="494"/>
      <c r="D19" s="494"/>
      <c r="E19" s="494"/>
    </row>
    <row r="20" spans="2:5" ht="12.75">
      <c r="B20" s="427"/>
      <c r="C20" s="427"/>
      <c r="D20" s="430"/>
      <c r="E20" s="431"/>
    </row>
    <row r="21" spans="2:5" s="432" customFormat="1" ht="15">
      <c r="B21" s="433" t="s">
        <v>297</v>
      </c>
      <c r="C21" s="434"/>
      <c r="D21" s="435"/>
      <c r="E21" s="436"/>
    </row>
    <row r="22" spans="2:5" s="432" customFormat="1" ht="12.75">
      <c r="B22" s="495" t="s">
        <v>298</v>
      </c>
      <c r="C22" s="495"/>
      <c r="D22" s="495"/>
      <c r="E22" s="495"/>
    </row>
    <row r="23" spans="2:5" s="432" customFormat="1" ht="12.75">
      <c r="B23" s="437"/>
      <c r="C23" s="437"/>
      <c r="D23" s="435"/>
      <c r="E23" s="436"/>
    </row>
    <row r="24" spans="2:5" s="432" customFormat="1" ht="12.75">
      <c r="B24" s="447" t="s">
        <v>299</v>
      </c>
      <c r="C24" s="438"/>
      <c r="D24" s="435"/>
      <c r="E24" s="436"/>
    </row>
    <row r="25" spans="2:5" s="432" customFormat="1" ht="12.75">
      <c r="B25" s="496" t="s">
        <v>300</v>
      </c>
      <c r="C25" s="496"/>
      <c r="D25" s="496"/>
      <c r="E25" s="496"/>
    </row>
    <row r="26" s="432" customFormat="1" ht="12.75"/>
    <row r="27" spans="2:5" s="432" customFormat="1" ht="12.75">
      <c r="B27" s="447" t="s">
        <v>14</v>
      </c>
      <c r="C27" s="439"/>
      <c r="D27" s="435"/>
      <c r="E27" s="436"/>
    </row>
    <row r="28" spans="2:5" s="432" customFormat="1" ht="12.75">
      <c r="B28" s="496" t="s">
        <v>313</v>
      </c>
      <c r="C28" s="496"/>
      <c r="D28" s="496"/>
      <c r="E28" s="496"/>
    </row>
    <row r="29" spans="2:5" s="432" customFormat="1" ht="12.75">
      <c r="B29" s="437"/>
      <c r="C29" s="437"/>
      <c r="D29" s="435"/>
      <c r="E29" s="436"/>
    </row>
    <row r="30" spans="2:5" s="432" customFormat="1" ht="12.75">
      <c r="B30" s="447" t="s">
        <v>304</v>
      </c>
      <c r="C30" s="438"/>
      <c r="D30" s="435"/>
      <c r="E30" s="436"/>
    </row>
    <row r="31" spans="2:5" s="432" customFormat="1" ht="12.75">
      <c r="B31" s="501" t="s">
        <v>312</v>
      </c>
      <c r="C31" s="501"/>
      <c r="D31" s="501"/>
      <c r="E31" s="501"/>
    </row>
    <row r="32" spans="2:5" s="432" customFormat="1" ht="12.75">
      <c r="B32" s="440"/>
      <c r="C32" s="440"/>
      <c r="D32" s="440"/>
      <c r="E32" s="440"/>
    </row>
    <row r="33" spans="2:5" s="432" customFormat="1" ht="12.75">
      <c r="B33" s="502" t="s">
        <v>301</v>
      </c>
      <c r="C33" s="502"/>
      <c r="D33" s="502"/>
      <c r="E33" s="502"/>
    </row>
    <row r="34" spans="2:5" s="432" customFormat="1" ht="12.75" customHeight="1">
      <c r="B34" s="501" t="s">
        <v>311</v>
      </c>
      <c r="C34" s="501"/>
      <c r="D34" s="501"/>
      <c r="E34" s="501"/>
    </row>
    <row r="35" spans="2:5" s="432" customFormat="1" ht="12.75">
      <c r="B35" s="440"/>
      <c r="C35" s="440"/>
      <c r="D35" s="440"/>
      <c r="E35" s="440"/>
    </row>
    <row r="36" spans="2:5" s="432" customFormat="1" ht="12.75">
      <c r="B36" s="447" t="s">
        <v>305</v>
      </c>
      <c r="C36" s="440"/>
      <c r="D36" s="440"/>
      <c r="E36" s="440"/>
    </row>
    <row r="37" spans="2:5" s="432" customFormat="1" ht="14.25" customHeight="1">
      <c r="B37" s="501" t="s">
        <v>310</v>
      </c>
      <c r="C37" s="501"/>
      <c r="D37" s="501"/>
      <c r="E37" s="501"/>
    </row>
    <row r="38" spans="2:5" s="432" customFormat="1" ht="12.75">
      <c r="B38" s="440"/>
      <c r="C38" s="440"/>
      <c r="D38" s="440"/>
      <c r="E38" s="440"/>
    </row>
    <row r="39" spans="2:5" s="432" customFormat="1" ht="12.75">
      <c r="B39" s="503" t="s">
        <v>306</v>
      </c>
      <c r="C39" s="503"/>
      <c r="D39" s="503"/>
      <c r="E39" s="503"/>
    </row>
    <row r="40" spans="2:5" s="432" customFormat="1" ht="12.75">
      <c r="B40" s="501" t="s">
        <v>309</v>
      </c>
      <c r="C40" s="501"/>
      <c r="D40" s="501"/>
      <c r="E40" s="501"/>
    </row>
    <row r="41" spans="2:5" s="432" customFormat="1" ht="12.75">
      <c r="B41" s="440"/>
      <c r="C41" s="440"/>
      <c r="D41" s="440"/>
      <c r="E41" s="440"/>
    </row>
    <row r="42" spans="2:5" s="432" customFormat="1" ht="12.75">
      <c r="B42" s="448" t="s">
        <v>307</v>
      </c>
      <c r="C42" s="438"/>
      <c r="D42" s="435"/>
      <c r="E42" s="436"/>
    </row>
    <row r="43" spans="2:5" s="432" customFormat="1" ht="15" customHeight="1">
      <c r="B43" s="501" t="s">
        <v>308</v>
      </c>
      <c r="C43" s="501"/>
      <c r="D43" s="501"/>
      <c r="E43" s="501"/>
    </row>
    <row r="44" s="432" customFormat="1" ht="12.75"/>
    <row r="45" spans="2:5" s="432" customFormat="1" ht="12.75">
      <c r="B45" s="441"/>
      <c r="C45" s="438"/>
      <c r="D45" s="435"/>
      <c r="E45" s="436"/>
    </row>
    <row r="46" spans="2:5" s="432" customFormat="1" ht="12.75">
      <c r="B46" s="440"/>
      <c r="C46" s="440"/>
      <c r="D46" s="440"/>
      <c r="E46" s="440"/>
    </row>
    <row r="47" spans="2:5" s="432" customFormat="1" ht="12.75">
      <c r="B47" s="442"/>
      <c r="C47" s="443"/>
      <c r="D47" s="443"/>
      <c r="E47" s="444"/>
    </row>
    <row r="48" spans="2:5" ht="12.75">
      <c r="B48" s="438"/>
      <c r="C48" s="438"/>
      <c r="D48" s="435"/>
      <c r="E48" s="436"/>
    </row>
    <row r="49" spans="2:5" ht="12.75">
      <c r="B49" s="501"/>
      <c r="C49" s="501"/>
      <c r="D49" s="501"/>
      <c r="E49" s="501"/>
    </row>
  </sheetData>
  <sheetProtection/>
  <mergeCells count="14">
    <mergeCell ref="B49:E49"/>
    <mergeCell ref="B43:E43"/>
    <mergeCell ref="B31:E31"/>
    <mergeCell ref="B33:E33"/>
    <mergeCell ref="B34:E34"/>
    <mergeCell ref="B37:E37"/>
    <mergeCell ref="B39:E39"/>
    <mergeCell ref="B40:E40"/>
    <mergeCell ref="B19:E19"/>
    <mergeCell ref="B22:E22"/>
    <mergeCell ref="B25:E25"/>
    <mergeCell ref="B28:E28"/>
    <mergeCell ref="C2:D5"/>
    <mergeCell ref="C7:D7"/>
  </mergeCells>
  <hyperlinks>
    <hyperlink ref="B21" location="'ERR &amp; Sensitivity Analysis'!A1" display="ERR &amp; Sensitivity Analysis"/>
    <hyperlink ref="B18" location="'Activity Description'!A1" display="Activity Description"/>
    <hyperlink ref="B24" location="'Cost-Benefit Summary'!A1" display="Cost-Benefit Summary"/>
    <hyperlink ref="B27" location="Assumptions!A1" display="Assumptions"/>
    <hyperlink ref="B30" location="'User costs'!A1" display="User Costs"/>
    <hyperlink ref="B33:E33" location="'Disease reduction'!A1" display="Disease Reduction"/>
    <hyperlink ref="B36" location="'Community Statistics'!A1" display="Community Statistics"/>
    <hyperlink ref="B39:E39" location="NRW!A1" display="NRW"/>
    <hyperlink ref="B42" location="Notes!A1" display="Notes"/>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B34"/>
  <sheetViews>
    <sheetView zoomScalePageLayoutView="0" workbookViewId="0" topLeftCell="A1">
      <selection activeCell="A1" sqref="A1"/>
    </sheetView>
  </sheetViews>
  <sheetFormatPr defaultColWidth="9.140625" defaultRowHeight="12.75"/>
  <cols>
    <col min="1" max="1" width="6.421875" style="404" customWidth="1"/>
    <col min="2" max="2" width="121.57421875" style="404" customWidth="1"/>
    <col min="3" max="16384" width="9.140625" style="404" customWidth="1"/>
  </cols>
  <sheetData>
    <row r="2" ht="20.25">
      <c r="B2" s="403" t="s">
        <v>343</v>
      </c>
    </row>
    <row r="4" ht="12.75">
      <c r="B4" s="405" t="s">
        <v>255</v>
      </c>
    </row>
    <row r="5" ht="6.75" customHeight="1"/>
    <row r="6" ht="13.5" customHeight="1"/>
    <row r="7" ht="89.25">
      <c r="B7" s="406" t="s">
        <v>342</v>
      </c>
    </row>
    <row r="9" ht="12.75">
      <c r="B9" s="409" t="s">
        <v>286</v>
      </c>
    </row>
    <row r="10" ht="12.75">
      <c r="B10" s="409"/>
    </row>
    <row r="11" ht="38.25">
      <c r="B11" s="406" t="s">
        <v>344</v>
      </c>
    </row>
    <row r="13" ht="12.75">
      <c r="B13" s="405" t="s">
        <v>274</v>
      </c>
    </row>
    <row r="14" ht="6.75" customHeight="1"/>
    <row r="15" ht="51">
      <c r="B15" s="404" t="s">
        <v>345</v>
      </c>
    </row>
    <row r="17" ht="25.5">
      <c r="B17" s="407" t="s">
        <v>275</v>
      </c>
    </row>
    <row r="18" ht="12.75">
      <c r="B18" s="407" t="s">
        <v>276</v>
      </c>
    </row>
    <row r="19" ht="25.5">
      <c r="B19" s="407" t="s">
        <v>277</v>
      </c>
    </row>
    <row r="20" ht="12.75">
      <c r="B20" s="407" t="s">
        <v>278</v>
      </c>
    </row>
    <row r="21" ht="12.75">
      <c r="B21" s="407" t="s">
        <v>279</v>
      </c>
    </row>
    <row r="22" ht="12.75">
      <c r="B22" s="407" t="s">
        <v>280</v>
      </c>
    </row>
    <row r="24" ht="12.75">
      <c r="B24" s="405" t="s">
        <v>281</v>
      </c>
    </row>
    <row r="25" ht="6.75" customHeight="1"/>
    <row r="26" ht="69" customHeight="1">
      <c r="B26" s="404" t="s">
        <v>284</v>
      </c>
    </row>
    <row r="27" ht="49.5" customHeight="1">
      <c r="B27" s="404" t="s">
        <v>285</v>
      </c>
    </row>
    <row r="28" ht="77.25" customHeight="1">
      <c r="B28" s="404" t="s">
        <v>282</v>
      </c>
    </row>
    <row r="31" ht="19.5" customHeight="1">
      <c r="B31" s="408" t="s">
        <v>283</v>
      </c>
    </row>
    <row r="32" ht="63.75" customHeight="1">
      <c r="B32" s="404" t="s">
        <v>346</v>
      </c>
    </row>
    <row r="34" ht="12.75">
      <c r="B34" s="531" t="s">
        <v>349</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74"/>
  <sheetViews>
    <sheetView zoomScalePageLayoutView="0" workbookViewId="0" topLeftCell="A1">
      <selection activeCell="A1" sqref="A1"/>
    </sheetView>
  </sheetViews>
  <sheetFormatPr defaultColWidth="9.140625" defaultRowHeight="12.75"/>
  <cols>
    <col min="1" max="1" width="5.7109375" style="360" customWidth="1"/>
    <col min="2" max="2" width="16.28125" style="360" customWidth="1"/>
    <col min="3" max="3" width="67.00390625" style="360" customWidth="1"/>
    <col min="4" max="4" width="15.140625" style="360" customWidth="1"/>
    <col min="5" max="5" width="15.00390625" style="360" customWidth="1"/>
    <col min="6" max="6" width="15.140625" style="360" customWidth="1"/>
    <col min="7" max="7" width="18.28125" style="360" customWidth="1"/>
    <col min="8" max="8" width="5.7109375" style="360" customWidth="1"/>
    <col min="9" max="9" width="20.7109375" style="360" customWidth="1"/>
    <col min="10" max="16384" width="9.140625" style="360" customWidth="1"/>
  </cols>
  <sheetData>
    <row r="1" spans="3:6" s="354" customFormat="1" ht="12.75">
      <c r="C1" s="355"/>
      <c r="F1" s="356" t="s">
        <v>348</v>
      </c>
    </row>
    <row r="2" spans="1:7" ht="20.25">
      <c r="A2" s="357"/>
      <c r="B2" s="358" t="s">
        <v>264</v>
      </c>
      <c r="C2" s="357"/>
      <c r="D2" s="357"/>
      <c r="E2" s="357"/>
      <c r="F2" s="357"/>
      <c r="G2" s="359"/>
    </row>
    <row r="3" spans="1:7" ht="30.75" customHeight="1">
      <c r="A3" s="357"/>
      <c r="B3" s="361" t="s">
        <v>347</v>
      </c>
      <c r="C3" s="357"/>
      <c r="D3" s="357"/>
      <c r="E3" s="357"/>
      <c r="F3" s="357"/>
      <c r="G3" s="357"/>
    </row>
    <row r="4" spans="1:7" ht="27.75" customHeight="1">
      <c r="A4" s="357"/>
      <c r="B4" s="362" t="s">
        <v>245</v>
      </c>
      <c r="C4" s="357"/>
      <c r="D4" s="357"/>
      <c r="E4" s="357"/>
      <c r="F4" s="357"/>
      <c r="G4" s="363"/>
    </row>
    <row r="5" ht="12.75" customHeight="1">
      <c r="C5" s="364"/>
    </row>
    <row r="6" spans="2:7" ht="39.75" customHeight="1">
      <c r="B6" s="506" t="s">
        <v>246</v>
      </c>
      <c r="C6" s="507"/>
      <c r="D6" s="507"/>
      <c r="E6" s="507"/>
      <c r="F6" s="507"/>
      <c r="G6" s="507"/>
    </row>
    <row r="8" spans="2:7" s="364" customFormat="1" ht="15.75">
      <c r="B8" s="508" t="s">
        <v>247</v>
      </c>
      <c r="C8" s="510" t="s">
        <v>248</v>
      </c>
      <c r="D8" s="512" t="s">
        <v>249</v>
      </c>
      <c r="E8" s="513"/>
      <c r="F8" s="513"/>
      <c r="G8" s="514"/>
    </row>
    <row r="9" spans="2:10" s="364" customFormat="1" ht="39" thickBot="1">
      <c r="B9" s="509"/>
      <c r="C9" s="511"/>
      <c r="D9" s="365" t="s">
        <v>250</v>
      </c>
      <c r="E9" s="366" t="s">
        <v>251</v>
      </c>
      <c r="F9" s="367" t="s">
        <v>252</v>
      </c>
      <c r="G9" s="366" t="s">
        <v>253</v>
      </c>
      <c r="I9" s="368" t="s">
        <v>254</v>
      </c>
      <c r="J9" s="369"/>
    </row>
    <row r="10" spans="2:9" ht="38.25" customHeight="1">
      <c r="B10" s="370" t="s">
        <v>255</v>
      </c>
      <c r="C10" s="371" t="s">
        <v>29</v>
      </c>
      <c r="D10" s="395">
        <v>1</v>
      </c>
      <c r="E10" s="372">
        <v>1</v>
      </c>
      <c r="F10" s="373" t="s">
        <v>256</v>
      </c>
      <c r="G10" s="374">
        <f>D10</f>
        <v>1</v>
      </c>
      <c r="I10" s="375" t="str">
        <f>IF(D10=E10,IF(D11=E11,"Y","N"),"N")</f>
        <v>Y</v>
      </c>
    </row>
    <row r="11" spans="2:7" ht="38.25" customHeight="1">
      <c r="B11" s="370" t="s">
        <v>255</v>
      </c>
      <c r="C11" s="371" t="s">
        <v>257</v>
      </c>
      <c r="D11" s="395">
        <v>1</v>
      </c>
      <c r="E11" s="372">
        <v>1</v>
      </c>
      <c r="F11" s="373" t="s">
        <v>256</v>
      </c>
      <c r="G11" s="374">
        <f>D11</f>
        <v>1</v>
      </c>
    </row>
    <row r="12" spans="2:7" ht="14.25" customHeight="1">
      <c r="B12" s="453"/>
      <c r="C12" s="454"/>
      <c r="D12" s="455"/>
      <c r="E12" s="456"/>
      <c r="F12" s="457"/>
      <c r="G12" s="458"/>
    </row>
    <row r="13" spans="2:7" ht="38.25" customHeight="1">
      <c r="B13" s="376" t="s">
        <v>315</v>
      </c>
      <c r="C13" s="377" t="s">
        <v>316</v>
      </c>
      <c r="D13" s="460">
        <v>0.1365</v>
      </c>
      <c r="E13" s="378">
        <v>1</v>
      </c>
      <c r="F13" s="470" t="s">
        <v>321</v>
      </c>
      <c r="G13" s="459">
        <f>D13</f>
        <v>0.1365</v>
      </c>
    </row>
    <row r="14" spans="2:7" ht="38.25" customHeight="1">
      <c r="B14" s="376" t="s">
        <v>315</v>
      </c>
      <c r="C14" s="377" t="s">
        <v>319</v>
      </c>
      <c r="D14" s="465">
        <v>1.16</v>
      </c>
      <c r="E14" s="466">
        <v>1.16</v>
      </c>
      <c r="F14" s="468" t="s">
        <v>320</v>
      </c>
      <c r="G14" s="467">
        <f>D14</f>
        <v>1.16</v>
      </c>
    </row>
    <row r="15" spans="2:7" ht="38.25" customHeight="1">
      <c r="B15" s="376" t="s">
        <v>315</v>
      </c>
      <c r="C15" s="377" t="s">
        <v>322</v>
      </c>
      <c r="D15" s="461">
        <v>31.67</v>
      </c>
      <c r="E15" s="464">
        <v>31.67</v>
      </c>
      <c r="F15" s="469" t="s">
        <v>323</v>
      </c>
      <c r="G15" s="462">
        <f>D15</f>
        <v>31.67</v>
      </c>
    </row>
    <row r="16" spans="2:7" ht="38.25" customHeight="1">
      <c r="B16" s="376" t="s">
        <v>315</v>
      </c>
      <c r="C16" s="377" t="s">
        <v>317</v>
      </c>
      <c r="D16" s="461">
        <v>3.41</v>
      </c>
      <c r="E16" s="464">
        <v>3.41</v>
      </c>
      <c r="F16" s="463" t="s">
        <v>318</v>
      </c>
      <c r="G16" s="462">
        <f>D16</f>
        <v>3.41</v>
      </c>
    </row>
    <row r="17" spans="2:7" ht="14.25" customHeight="1">
      <c r="B17" s="452"/>
      <c r="C17" s="452"/>
      <c r="D17" s="452"/>
      <c r="E17" s="452"/>
      <c r="F17" s="452"/>
      <c r="G17" s="452"/>
    </row>
    <row r="18" spans="3:8" ht="12" customHeight="1">
      <c r="C18" s="379" t="s">
        <v>258</v>
      </c>
      <c r="D18" s="396">
        <f>'Cost-Benefit Summary'!F29</f>
        <v>0.1405745204868678</v>
      </c>
      <c r="E18" s="380"/>
      <c r="H18" s="504"/>
    </row>
    <row r="19" spans="3:8" ht="12" customHeight="1">
      <c r="C19" s="379"/>
      <c r="D19" s="380"/>
      <c r="E19" s="380"/>
      <c r="H19" s="504"/>
    </row>
    <row r="20" spans="3:8" ht="12" customHeight="1">
      <c r="C20" s="390" t="s">
        <v>273</v>
      </c>
      <c r="D20" s="398">
        <f>'Cost-Benefit Summary'!F27</f>
        <v>1507.1824124801992</v>
      </c>
      <c r="E20" s="380"/>
      <c r="H20" s="504"/>
    </row>
    <row r="21" ht="31.5" customHeight="1"/>
    <row r="22" ht="12" customHeight="1"/>
    <row r="23" spans="3:4" ht="12.75">
      <c r="C23" s="390" t="s">
        <v>272</v>
      </c>
      <c r="D23" s="402">
        <v>1623</v>
      </c>
    </row>
    <row r="24" spans="3:4" ht="12.75">
      <c r="C24" s="391"/>
      <c r="D24" s="391"/>
    </row>
    <row r="25" spans="3:7" ht="12.75">
      <c r="C25" s="379" t="s">
        <v>259</v>
      </c>
      <c r="D25" s="381"/>
      <c r="E25" s="382" t="s">
        <v>260</v>
      </c>
      <c r="F25" s="383" t="s">
        <v>261</v>
      </c>
      <c r="G25" s="384" t="s">
        <v>262</v>
      </c>
    </row>
    <row r="26" spans="3:7" ht="12.75">
      <c r="C26" s="379"/>
      <c r="D26" s="385" t="s">
        <v>13</v>
      </c>
      <c r="E26" s="386" t="s">
        <v>265</v>
      </c>
      <c r="F26" s="386" t="s">
        <v>265</v>
      </c>
      <c r="G26" s="397">
        <v>0.141</v>
      </c>
    </row>
    <row r="27" spans="4:7" ht="12.75">
      <c r="D27" s="385" t="s">
        <v>263</v>
      </c>
      <c r="E27" s="387">
        <v>38890</v>
      </c>
      <c r="F27" s="388">
        <v>39854</v>
      </c>
      <c r="G27" s="389">
        <v>40969</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7" ht="12.75"/>
    <row r="58" ht="12.75"/>
    <row r="59" ht="12.75"/>
    <row r="60" ht="12.75"/>
    <row r="61" ht="12.75"/>
    <row r="62" ht="12.75"/>
    <row r="63" ht="12.75"/>
    <row r="64" ht="12.75"/>
    <row r="65" ht="12.75"/>
    <row r="66" ht="12.75"/>
    <row r="67" ht="12.75" customHeight="1"/>
    <row r="68" ht="12.75" customHeight="1"/>
    <row r="69" ht="12.75" customHeight="1"/>
    <row r="70" ht="12.75" customHeight="1"/>
    <row r="71" ht="12.75" customHeight="1"/>
    <row r="72" spans="3:6" ht="12.75" customHeight="1">
      <c r="C72" s="505"/>
      <c r="D72" s="505"/>
      <c r="E72" s="505"/>
      <c r="F72" s="505"/>
    </row>
    <row r="73" spans="3:6" ht="12.75" customHeight="1">
      <c r="C73" s="505"/>
      <c r="D73" s="505"/>
      <c r="E73" s="505"/>
      <c r="F73" s="505"/>
    </row>
    <row r="74" spans="3:6" ht="12.75" customHeight="1">
      <c r="C74" s="392"/>
      <c r="D74" s="392"/>
      <c r="E74" s="392"/>
      <c r="F74" s="392"/>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sheetProtection/>
  <mergeCells count="7">
    <mergeCell ref="H18:H20"/>
    <mergeCell ref="C72:F72"/>
    <mergeCell ref="C73:F73"/>
    <mergeCell ref="B6:G6"/>
    <mergeCell ref="B8:B9"/>
    <mergeCell ref="C8:C9"/>
    <mergeCell ref="D8:G8"/>
  </mergeCells>
  <conditionalFormatting sqref="B17">
    <cfRule type="cellIs" priority="1" dxfId="1" operator="equal" stopIfTrue="1">
      <formula>0</formula>
    </cfRule>
    <cfRule type="cellIs" priority="2" dxfId="0" operator="notEqual" stopIfTrue="1">
      <formula>0</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A40"/>
  <sheetViews>
    <sheetView zoomScalePageLayoutView="0" workbookViewId="0" topLeftCell="A1">
      <selection activeCell="A1" sqref="A1"/>
    </sheetView>
  </sheetViews>
  <sheetFormatPr defaultColWidth="9.140625" defaultRowHeight="12.75"/>
  <cols>
    <col min="1" max="2" width="3.57421875" style="0" customWidth="1"/>
    <col min="3" max="3" width="2.7109375" style="0" customWidth="1"/>
    <col min="4" max="4" width="3.00390625" style="0" customWidth="1"/>
    <col min="5" max="5" width="35.421875" style="0" customWidth="1"/>
    <col min="6" max="6" width="14.421875" style="0" customWidth="1"/>
    <col min="7" max="7" width="11.28125" style="0" bestFit="1" customWidth="1"/>
    <col min="26" max="26" width="10.00390625" style="0" customWidth="1"/>
    <col min="27" max="27" width="2.8515625" style="0" customWidth="1"/>
  </cols>
  <sheetData>
    <row r="1" ht="13.5" thickBot="1">
      <c r="R1" s="356" t="s">
        <v>348</v>
      </c>
    </row>
    <row r="2" spans="2:27" ht="15" customHeight="1">
      <c r="B2" s="76"/>
      <c r="C2" s="68"/>
      <c r="D2" s="68"/>
      <c r="E2" s="77" t="s">
        <v>31</v>
      </c>
      <c r="F2" s="68"/>
      <c r="G2" s="68"/>
      <c r="H2" s="68"/>
      <c r="I2" s="68"/>
      <c r="J2" s="68"/>
      <c r="K2" s="68"/>
      <c r="L2" s="68"/>
      <c r="M2" s="68"/>
      <c r="N2" s="68"/>
      <c r="O2" s="68"/>
      <c r="P2" s="68"/>
      <c r="Q2" s="68"/>
      <c r="R2" s="68"/>
      <c r="S2" s="68"/>
      <c r="T2" s="68"/>
      <c r="U2" s="68"/>
      <c r="V2" s="68"/>
      <c r="W2" s="68"/>
      <c r="X2" s="68"/>
      <c r="Y2" s="68"/>
      <c r="Z2" s="68"/>
      <c r="AA2" s="69"/>
    </row>
    <row r="3" spans="2:27" s="1" customFormat="1" ht="12.75">
      <c r="B3" s="184"/>
      <c r="C3" s="2"/>
      <c r="D3" s="2"/>
      <c r="E3" s="2" t="s">
        <v>9</v>
      </c>
      <c r="F3" s="178">
        <v>0</v>
      </c>
      <c r="G3" s="2">
        <v>1</v>
      </c>
      <c r="H3" s="2">
        <v>2</v>
      </c>
      <c r="I3" s="2">
        <v>3</v>
      </c>
      <c r="J3" s="2">
        <v>4</v>
      </c>
      <c r="K3" s="2">
        <v>5</v>
      </c>
      <c r="L3" s="179">
        <v>6</v>
      </c>
      <c r="M3" s="2">
        <v>7</v>
      </c>
      <c r="N3" s="2">
        <v>8</v>
      </c>
      <c r="O3" s="2">
        <v>9</v>
      </c>
      <c r="P3" s="2">
        <v>10</v>
      </c>
      <c r="Q3" s="179">
        <v>11</v>
      </c>
      <c r="R3" s="2">
        <v>12</v>
      </c>
      <c r="S3" s="2">
        <v>13</v>
      </c>
      <c r="T3" s="2">
        <v>14</v>
      </c>
      <c r="U3" s="2">
        <v>15</v>
      </c>
      <c r="V3" s="179">
        <v>16</v>
      </c>
      <c r="W3" s="2">
        <v>17</v>
      </c>
      <c r="X3" s="2">
        <v>18</v>
      </c>
      <c r="Y3" s="2">
        <v>19</v>
      </c>
      <c r="Z3" s="2">
        <v>20</v>
      </c>
      <c r="AA3" s="185"/>
    </row>
    <row r="4" spans="2:27" s="174" customFormat="1" ht="18">
      <c r="B4" s="186"/>
      <c r="C4" s="187" t="s">
        <v>0</v>
      </c>
      <c r="D4" s="187"/>
      <c r="E4" s="187"/>
      <c r="F4" s="188"/>
      <c r="G4" s="188"/>
      <c r="H4" s="188"/>
      <c r="I4" s="188"/>
      <c r="J4" s="188"/>
      <c r="K4" s="188"/>
      <c r="L4" s="188"/>
      <c r="M4" s="188"/>
      <c r="N4" s="188"/>
      <c r="O4" s="188"/>
      <c r="P4" s="188"/>
      <c r="Q4" s="188"/>
      <c r="R4" s="188"/>
      <c r="S4" s="188"/>
      <c r="T4" s="188"/>
      <c r="U4" s="188"/>
      <c r="V4" s="188"/>
      <c r="W4" s="188"/>
      <c r="X4" s="188"/>
      <c r="Y4" s="188"/>
      <c r="Z4" s="187"/>
      <c r="AA4" s="189"/>
    </row>
    <row r="5" spans="2:27" ht="12.75">
      <c r="B5" s="12"/>
      <c r="C5" s="19"/>
      <c r="D5" s="11"/>
      <c r="E5" s="11"/>
      <c r="F5" s="57"/>
      <c r="G5" s="14"/>
      <c r="H5" s="14"/>
      <c r="I5" s="14"/>
      <c r="J5" s="14"/>
      <c r="K5" s="14"/>
      <c r="L5" s="47"/>
      <c r="M5" s="14"/>
      <c r="N5" s="14"/>
      <c r="O5" s="14"/>
      <c r="P5" s="14"/>
      <c r="Q5" s="47"/>
      <c r="R5" s="14"/>
      <c r="S5" s="14"/>
      <c r="T5" s="14"/>
      <c r="U5" s="14"/>
      <c r="V5" s="47"/>
      <c r="W5" s="14"/>
      <c r="X5" s="14"/>
      <c r="Y5" s="14"/>
      <c r="Z5" s="11"/>
      <c r="AA5" s="7"/>
    </row>
    <row r="6" spans="2:27" ht="12.75">
      <c r="B6" s="6"/>
      <c r="C6" s="4" t="s">
        <v>2</v>
      </c>
      <c r="D6" s="4"/>
      <c r="E6" s="4"/>
      <c r="F6" s="75">
        <f>F7+F10</f>
        <v>0</v>
      </c>
      <c r="G6" s="5">
        <f aca="true" t="shared" si="0" ref="G6:Y6">G7+G10</f>
        <v>0</v>
      </c>
      <c r="H6" s="5">
        <f t="shared" si="0"/>
        <v>0</v>
      </c>
      <c r="I6" s="5">
        <f t="shared" si="0"/>
        <v>0</v>
      </c>
      <c r="J6" s="5">
        <f t="shared" si="0"/>
        <v>0</v>
      </c>
      <c r="K6" s="5">
        <f t="shared" si="0"/>
        <v>-31.614937764706724</v>
      </c>
      <c r="L6" s="78">
        <f t="shared" si="0"/>
        <v>187.25392494939837</v>
      </c>
      <c r="M6" s="5">
        <f t="shared" si="0"/>
        <v>416.60277806983754</v>
      </c>
      <c r="N6" s="5">
        <f t="shared" si="0"/>
        <v>656.8075450549641</v>
      </c>
      <c r="O6" s="5">
        <f t="shared" si="0"/>
        <v>908.2561322291174</v>
      </c>
      <c r="P6" s="5">
        <f t="shared" si="0"/>
        <v>1206.926665214959</v>
      </c>
      <c r="Q6" s="78">
        <f t="shared" si="0"/>
        <v>1235.7722125135963</v>
      </c>
      <c r="R6" s="5">
        <f t="shared" si="0"/>
        <v>1265.307168392671</v>
      </c>
      <c r="S6" s="5">
        <f t="shared" si="0"/>
        <v>1295.5480097172558</v>
      </c>
      <c r="T6" s="5">
        <f t="shared" si="0"/>
        <v>1326.5116071494986</v>
      </c>
      <c r="U6" s="5">
        <f t="shared" si="0"/>
        <v>1358.2152345603713</v>
      </c>
      <c r="V6" s="78">
        <f t="shared" si="0"/>
        <v>1390.676578666364</v>
      </c>
      <c r="W6" s="5">
        <f t="shared" si="0"/>
        <v>1423.9137488964902</v>
      </c>
      <c r="X6" s="5">
        <f t="shared" si="0"/>
        <v>1457.9452874951164</v>
      </c>
      <c r="Y6" s="5">
        <f t="shared" si="0"/>
        <v>1492.79017986625</v>
      </c>
      <c r="Z6" s="5">
        <f>Z7+Z10</f>
        <v>1528.4678651650527</v>
      </c>
      <c r="AA6" s="7"/>
    </row>
    <row r="7" spans="2:27" ht="12.75">
      <c r="B7" s="6"/>
      <c r="C7" s="4"/>
      <c r="D7" s="4" t="s">
        <v>3</v>
      </c>
      <c r="E7" s="4"/>
      <c r="F7" s="75">
        <f>F8+F9</f>
        <v>0</v>
      </c>
      <c r="G7" s="5">
        <f aca="true" t="shared" si="1" ref="G7:Y7">G8+G9</f>
        <v>0</v>
      </c>
      <c r="H7" s="5">
        <f t="shared" si="1"/>
        <v>0</v>
      </c>
      <c r="I7" s="5">
        <f t="shared" si="1"/>
        <v>0</v>
      </c>
      <c r="J7" s="5">
        <f t="shared" si="1"/>
        <v>0</v>
      </c>
      <c r="K7" s="5">
        <f t="shared" si="1"/>
        <v>-31.614937764706724</v>
      </c>
      <c r="L7" s="78">
        <f t="shared" si="1"/>
        <v>187.25392494939837</v>
      </c>
      <c r="M7" s="5">
        <f t="shared" si="1"/>
        <v>416.60277806983754</v>
      </c>
      <c r="N7" s="5">
        <f t="shared" si="1"/>
        <v>656.8075450549641</v>
      </c>
      <c r="O7" s="5">
        <f t="shared" si="1"/>
        <v>908.2561322291174</v>
      </c>
      <c r="P7" s="5">
        <f t="shared" si="1"/>
        <v>1206.926665214959</v>
      </c>
      <c r="Q7" s="78">
        <f t="shared" si="1"/>
        <v>1235.7722125135963</v>
      </c>
      <c r="R7" s="5">
        <f t="shared" si="1"/>
        <v>1265.307168392671</v>
      </c>
      <c r="S7" s="5">
        <f t="shared" si="1"/>
        <v>1295.5480097172558</v>
      </c>
      <c r="T7" s="5">
        <f t="shared" si="1"/>
        <v>1326.5116071494986</v>
      </c>
      <c r="U7" s="5">
        <f t="shared" si="1"/>
        <v>1358.2152345603713</v>
      </c>
      <c r="V7" s="78">
        <f t="shared" si="1"/>
        <v>1390.676578666364</v>
      </c>
      <c r="W7" s="5">
        <f t="shared" si="1"/>
        <v>1423.9137488964902</v>
      </c>
      <c r="X7" s="5">
        <f t="shared" si="1"/>
        <v>1457.9452874951164</v>
      </c>
      <c r="Y7" s="5">
        <f t="shared" si="1"/>
        <v>1492.79017986625</v>
      </c>
      <c r="Z7" s="5">
        <f>Z8+Z9</f>
        <v>1528.4678651650527</v>
      </c>
      <c r="AA7" s="7"/>
    </row>
    <row r="8" spans="2:27" ht="12.75">
      <c r="B8" s="6"/>
      <c r="C8" s="4"/>
      <c r="D8" s="4"/>
      <c r="E8" s="4" t="s">
        <v>124</v>
      </c>
      <c r="F8" s="75">
        <f>'User costs'!C137</f>
        <v>0</v>
      </c>
      <c r="G8" s="78">
        <f>'User costs'!D137</f>
        <v>0</v>
      </c>
      <c r="H8" s="5">
        <f>'User costs'!E137</f>
        <v>0</v>
      </c>
      <c r="I8" s="5">
        <f>'User costs'!F137</f>
        <v>0</v>
      </c>
      <c r="J8" s="5">
        <f>'User costs'!G137</f>
        <v>0</v>
      </c>
      <c r="K8" s="84">
        <f>'User costs'!H137</f>
        <v>-31.614937764706724</v>
      </c>
      <c r="L8" s="78">
        <f>'User costs'!I137</f>
        <v>-64.74106955456642</v>
      </c>
      <c r="M8" s="5">
        <f>'User costs'!J137</f>
        <v>-99.43257167538083</v>
      </c>
      <c r="N8" s="5">
        <f>'User costs'!K137</f>
        <v>-135.7453468512299</v>
      </c>
      <c r="O8" s="5">
        <f>'User costs'!L137</f>
        <v>-173.73707580121777</v>
      </c>
      <c r="P8" s="84">
        <f>'User costs'!M137</f>
        <v>-177.88939191286693</v>
      </c>
      <c r="Q8" s="78">
        <f>'User costs'!N137</f>
        <v>-182.14094837958442</v>
      </c>
      <c r="R8" s="5">
        <f>'User costs'!O137</f>
        <v>-186.4941170458565</v>
      </c>
      <c r="S8" s="5">
        <f>'User costs'!P137</f>
        <v>-190.95132644325247</v>
      </c>
      <c r="T8" s="5">
        <f>'User costs'!Q137</f>
        <v>-195.51506314524624</v>
      </c>
      <c r="U8" s="84">
        <f>'User costs'!R137</f>
        <v>-200.18787315441762</v>
      </c>
      <c r="V8" s="78">
        <f>'User costs'!S137</f>
        <v>-204.97236332280823</v>
      </c>
      <c r="W8" s="5">
        <f>'User costs'!T137</f>
        <v>-209.8712028062232</v>
      </c>
      <c r="X8" s="5">
        <f>'User costs'!U137</f>
        <v>-214.88712455329193</v>
      </c>
      <c r="Y8" s="5">
        <f>'User costs'!V137</f>
        <v>-220.0229268301156</v>
      </c>
      <c r="Z8" s="5">
        <f>'User costs'!W137</f>
        <v>-225.28147478135534</v>
      </c>
      <c r="AA8" s="7"/>
    </row>
    <row r="9" spans="2:27" ht="12.75">
      <c r="B9" s="6"/>
      <c r="C9" s="4"/>
      <c r="D9" s="4"/>
      <c r="E9" s="4" t="s">
        <v>62</v>
      </c>
      <c r="F9" s="75">
        <f>'User costs'!C138</f>
        <v>0</v>
      </c>
      <c r="G9" s="5">
        <f>'User costs'!D138</f>
        <v>0</v>
      </c>
      <c r="H9" s="5">
        <f>'User costs'!E138</f>
        <v>0</v>
      </c>
      <c r="I9" s="5">
        <f>'User costs'!F138</f>
        <v>0</v>
      </c>
      <c r="J9" s="5">
        <f>'User costs'!G138</f>
        <v>0</v>
      </c>
      <c r="K9" s="5">
        <f>'User costs'!H138</f>
        <v>0</v>
      </c>
      <c r="L9" s="78">
        <f>'User costs'!I138</f>
        <v>251.9949945039648</v>
      </c>
      <c r="M9" s="5">
        <f>'User costs'!J138</f>
        <v>516.0353497452184</v>
      </c>
      <c r="N9" s="5">
        <f>'User costs'!K138</f>
        <v>792.552891906194</v>
      </c>
      <c r="O9" s="5">
        <f>'User costs'!L138</f>
        <v>1081.9932080303352</v>
      </c>
      <c r="P9" s="5">
        <f>'User costs'!M138</f>
        <v>1384.8160571278258</v>
      </c>
      <c r="Q9" s="78">
        <f>'User costs'!N138</f>
        <v>1417.9131608931807</v>
      </c>
      <c r="R9" s="5">
        <f>'User costs'!O138</f>
        <v>1451.8012854385274</v>
      </c>
      <c r="S9" s="5">
        <f>'User costs'!P138</f>
        <v>1486.4993361605084</v>
      </c>
      <c r="T9" s="5">
        <f>'User costs'!Q138</f>
        <v>1522.026670294745</v>
      </c>
      <c r="U9" s="5">
        <f>'User costs'!R138</f>
        <v>1558.403107714789</v>
      </c>
      <c r="V9" s="78">
        <f>'User costs'!S138</f>
        <v>1595.6489419891723</v>
      </c>
      <c r="W9" s="5">
        <f>'User costs'!T138</f>
        <v>1633.7849517027134</v>
      </c>
      <c r="X9" s="5">
        <f>'User costs'!U138</f>
        <v>1672.8324120484083</v>
      </c>
      <c r="Y9" s="5">
        <f>'User costs'!V138</f>
        <v>1712.8131066963656</v>
      </c>
      <c r="Z9" s="5">
        <f>'User costs'!W138</f>
        <v>1753.749339946408</v>
      </c>
      <c r="AA9" s="7"/>
    </row>
    <row r="10" spans="2:27" ht="12.75">
      <c r="B10" s="6"/>
      <c r="C10" s="4"/>
      <c r="D10" s="4" t="s">
        <v>117</v>
      </c>
      <c r="E10" s="4"/>
      <c r="F10" s="75">
        <v>0</v>
      </c>
      <c r="G10" s="5">
        <f>Assumptions!$C$21*Assumptions!$H$21*0.3</f>
        <v>0</v>
      </c>
      <c r="H10" s="5">
        <f>Assumptions!$C$21*Assumptions!$H$21*0.3</f>
        <v>0</v>
      </c>
      <c r="I10" s="5">
        <f>Assumptions!$C$21*Assumptions!$H$21*0.3</f>
        <v>0</v>
      </c>
      <c r="J10" s="5">
        <f>Assumptions!$C$21*Assumptions!$H$21*0.3</f>
        <v>0</v>
      </c>
      <c r="K10" s="84">
        <f>Assumptions!$C$21*Assumptions!$H$21*0.3</f>
        <v>0</v>
      </c>
      <c r="L10" s="5">
        <f>Assumptions!$C$21*Assumptions!$H$21*0.3</f>
        <v>0</v>
      </c>
      <c r="M10" s="5">
        <f>Assumptions!$C$21*Assumptions!$H$21*0.3</f>
        <v>0</v>
      </c>
      <c r="N10" s="5">
        <f>Assumptions!$C$21*Assumptions!$H$21*0.3</f>
        <v>0</v>
      </c>
      <c r="O10" s="5">
        <f>Assumptions!$C$21*Assumptions!$H$21*0.3</f>
        <v>0</v>
      </c>
      <c r="P10" s="5">
        <f>Assumptions!$C$21*Assumptions!$H$21*0.3</f>
        <v>0</v>
      </c>
      <c r="Q10" s="78">
        <f>Assumptions!$C$21*Assumptions!$H$21*0.3</f>
        <v>0</v>
      </c>
      <c r="R10" s="5">
        <f>Assumptions!$C$21*Assumptions!$H$21*0.3</f>
        <v>0</v>
      </c>
      <c r="S10" s="5">
        <f>Assumptions!$C$21*Assumptions!$H$21*0.3</f>
        <v>0</v>
      </c>
      <c r="T10" s="5">
        <f>Assumptions!$C$21*Assumptions!$H$21*0.3</f>
        <v>0</v>
      </c>
      <c r="U10" s="84">
        <f>Assumptions!$C$21*Assumptions!$H$21*0.3</f>
        <v>0</v>
      </c>
      <c r="V10" s="5">
        <f>Assumptions!$C$21*Assumptions!$H$21*0.3</f>
        <v>0</v>
      </c>
      <c r="W10" s="5">
        <f>Assumptions!$C$21*Assumptions!$H$21*0.3</f>
        <v>0</v>
      </c>
      <c r="X10" s="5">
        <f>Assumptions!$C$21*Assumptions!$H$21*0.3</f>
        <v>0</v>
      </c>
      <c r="Y10" s="5">
        <f>Assumptions!$C$21*Assumptions!$H$21*0.3</f>
        <v>0</v>
      </c>
      <c r="Z10" s="5">
        <f>Assumptions!$C$21*Assumptions!$H$21*0.3</f>
        <v>0</v>
      </c>
      <c r="AA10" s="7"/>
    </row>
    <row r="11" spans="2:27" ht="12.75">
      <c r="B11" s="6"/>
      <c r="C11" s="4"/>
      <c r="D11" s="4"/>
      <c r="E11" s="4"/>
      <c r="F11" s="75"/>
      <c r="G11" s="5"/>
      <c r="H11" s="5"/>
      <c r="I11" s="5"/>
      <c r="J11" s="5"/>
      <c r="K11" s="5"/>
      <c r="L11" s="78"/>
      <c r="M11" s="5"/>
      <c r="N11" s="5"/>
      <c r="O11" s="5"/>
      <c r="P11" s="5"/>
      <c r="Q11" s="78"/>
      <c r="R11" s="5"/>
      <c r="S11" s="5"/>
      <c r="T11" s="5"/>
      <c r="U11" s="5"/>
      <c r="V11" s="78"/>
      <c r="W11" s="5"/>
      <c r="X11" s="5"/>
      <c r="Y11" s="5"/>
      <c r="Z11" s="5"/>
      <c r="AA11" s="7"/>
    </row>
    <row r="12" spans="2:27" ht="12.75">
      <c r="B12" s="6"/>
      <c r="C12" s="4" t="s">
        <v>1</v>
      </c>
      <c r="D12" s="4"/>
      <c r="E12" s="4"/>
      <c r="F12" s="75">
        <f>F14-F13</f>
        <v>0</v>
      </c>
      <c r="G12" s="5">
        <f aca="true" t="shared" si="2" ref="G12:Z12">G13-G14</f>
        <v>0</v>
      </c>
      <c r="H12" s="5">
        <f t="shared" si="2"/>
        <v>0</v>
      </c>
      <c r="I12" s="5">
        <f t="shared" si="2"/>
        <v>0</v>
      </c>
      <c r="J12" s="5">
        <f t="shared" si="2"/>
        <v>0</v>
      </c>
      <c r="K12" s="84">
        <f t="shared" si="2"/>
        <v>29.39516517141203</v>
      </c>
      <c r="L12" s="5">
        <f t="shared" si="2"/>
        <v>60.195419238017394</v>
      </c>
      <c r="M12" s="5">
        <f t="shared" si="2"/>
        <v>92.45113463670918</v>
      </c>
      <c r="N12" s="5">
        <f t="shared" si="2"/>
        <v>126.21428900603519</v>
      </c>
      <c r="O12" s="5">
        <f t="shared" si="2"/>
        <v>161.53851314159925</v>
      </c>
      <c r="P12" s="84">
        <f t="shared" si="2"/>
        <v>165.39928360568354</v>
      </c>
      <c r="Q12" s="5">
        <f t="shared" si="2"/>
        <v>169.35232648385931</v>
      </c>
      <c r="R12" s="5">
        <f t="shared" si="2"/>
        <v>173.39984708682357</v>
      </c>
      <c r="S12" s="5">
        <f t="shared" si="2"/>
        <v>177.54410343219865</v>
      </c>
      <c r="T12" s="5">
        <f t="shared" si="2"/>
        <v>181.7874075042282</v>
      </c>
      <c r="U12" s="5">
        <f t="shared" si="2"/>
        <v>186.13212654357915</v>
      </c>
      <c r="V12" s="5">
        <f t="shared" si="2"/>
        <v>190.580684367971</v>
      </c>
      <c r="W12" s="5">
        <f t="shared" si="2"/>
        <v>195.1355627243653</v>
      </c>
      <c r="X12" s="5">
        <f t="shared" si="2"/>
        <v>199.79930267347754</v>
      </c>
      <c r="Y12" s="5">
        <f t="shared" si="2"/>
        <v>204.57450600737377</v>
      </c>
      <c r="Z12" s="5">
        <f t="shared" si="2"/>
        <v>209.4638367009502</v>
      </c>
      <c r="AA12" s="7"/>
    </row>
    <row r="13" spans="2:27" ht="12.75">
      <c r="B13" s="6"/>
      <c r="C13" s="4"/>
      <c r="D13" s="4"/>
      <c r="E13" s="291" t="s">
        <v>209</v>
      </c>
      <c r="F13" s="75">
        <f>'Disease reduction'!C14</f>
        <v>544.1854834416</v>
      </c>
      <c r="G13" s="5">
        <f>'Disease reduction'!D14</f>
        <v>557.1915164958542</v>
      </c>
      <c r="H13" s="5">
        <f>'Disease reduction'!E14</f>
        <v>570.5083937401052</v>
      </c>
      <c r="I13" s="5">
        <f>'Disease reduction'!F14</f>
        <v>584.1435443504938</v>
      </c>
      <c r="J13" s="5">
        <f>'Disease reduction'!G14</f>
        <v>598.1045750604707</v>
      </c>
      <c r="K13" s="5">
        <f>'Disease reduction'!H14</f>
        <v>612.3992744044159</v>
      </c>
      <c r="L13" s="78">
        <f>'Disease reduction'!I14</f>
        <v>627.0356170626815</v>
      </c>
      <c r="M13" s="5">
        <f>'Disease reduction'!J14</f>
        <v>642.0217683104795</v>
      </c>
      <c r="N13" s="5">
        <f>'Disease reduction'!K14</f>
        <v>657.3660885730999</v>
      </c>
      <c r="O13" s="5">
        <f>'Disease reduction'!L14</f>
        <v>673.077138089997</v>
      </c>
      <c r="P13" s="5">
        <f>'Disease reduction'!M14</f>
        <v>689.163681690348</v>
      </c>
      <c r="Q13" s="78">
        <f>'Disease reduction'!N14</f>
        <v>705.6346936827473</v>
      </c>
      <c r="R13" s="5">
        <f>'Disease reduction'!O14</f>
        <v>722.499362861765</v>
      </c>
      <c r="S13" s="5">
        <f>'Disease reduction'!P14</f>
        <v>739.7670976341611</v>
      </c>
      <c r="T13" s="5">
        <f>'Disease reduction'!Q14</f>
        <v>757.4475312676176</v>
      </c>
      <c r="U13" s="5">
        <f>'Disease reduction'!R14</f>
        <v>775.5505272649136</v>
      </c>
      <c r="V13" s="78">
        <f>'Disease reduction'!S14</f>
        <v>794.0861848665453</v>
      </c>
      <c r="W13" s="5">
        <f>'Disease reduction'!T14</f>
        <v>813.0648446848555</v>
      </c>
      <c r="X13" s="5">
        <f>'Disease reduction'!U14</f>
        <v>832.4970944728235</v>
      </c>
      <c r="Y13" s="5">
        <f>'Disease reduction'!V14</f>
        <v>852.3937750307241</v>
      </c>
      <c r="Z13" s="5">
        <f>'Disease reduction'!W14</f>
        <v>872.7659862539584</v>
      </c>
      <c r="AA13" s="7"/>
    </row>
    <row r="14" spans="2:27" ht="12.75">
      <c r="B14" s="6"/>
      <c r="C14" s="4"/>
      <c r="D14" s="4"/>
      <c r="E14" s="291" t="s">
        <v>210</v>
      </c>
      <c r="F14" s="75">
        <f>'Disease reduction'!C26</f>
        <v>544.1854834416</v>
      </c>
      <c r="G14" s="5">
        <f>'Disease reduction'!D26</f>
        <v>557.1915164958542</v>
      </c>
      <c r="H14" s="5">
        <f>'Disease reduction'!E26</f>
        <v>570.5083937401052</v>
      </c>
      <c r="I14" s="5">
        <f>'Disease reduction'!F26</f>
        <v>584.1435443504938</v>
      </c>
      <c r="J14" s="5">
        <f>'Disease reduction'!G26</f>
        <v>598.1045750604707</v>
      </c>
      <c r="K14" s="5">
        <f>'Disease reduction'!H26</f>
        <v>583.0041092330039</v>
      </c>
      <c r="L14" s="78">
        <f>'Disease reduction'!I26</f>
        <v>566.8401978246641</v>
      </c>
      <c r="M14" s="5">
        <f>'Disease reduction'!J26</f>
        <v>549.5706336737703</v>
      </c>
      <c r="N14" s="5">
        <f>'Disease reduction'!K26</f>
        <v>531.1517995670647</v>
      </c>
      <c r="O14" s="5">
        <f>'Disease reduction'!L26</f>
        <v>511.53862494839774</v>
      </c>
      <c r="P14" s="5">
        <f>'Disease reduction'!M26</f>
        <v>523.7643980846644</v>
      </c>
      <c r="Q14" s="78">
        <f>'Disease reduction'!N26</f>
        <v>536.282367198888</v>
      </c>
      <c r="R14" s="5">
        <f>'Disease reduction'!O26</f>
        <v>549.0995157749414</v>
      </c>
      <c r="S14" s="5">
        <f>'Disease reduction'!P26</f>
        <v>562.2229942019625</v>
      </c>
      <c r="T14" s="5">
        <f>'Disease reduction'!Q26</f>
        <v>575.6601237633894</v>
      </c>
      <c r="U14" s="5">
        <f>'Disease reduction'!R26</f>
        <v>589.4184007213345</v>
      </c>
      <c r="V14" s="78">
        <f>'Disease reduction'!S26</f>
        <v>603.5055004985743</v>
      </c>
      <c r="W14" s="5">
        <f>'Disease reduction'!T26</f>
        <v>617.9292819604902</v>
      </c>
      <c r="X14" s="5">
        <f>'Disease reduction'!U26</f>
        <v>632.697791799346</v>
      </c>
      <c r="Y14" s="5">
        <f>'Disease reduction'!V26</f>
        <v>647.8192690233503</v>
      </c>
      <c r="Z14" s="5">
        <f>'Disease reduction'!W26</f>
        <v>663.3021495530082</v>
      </c>
      <c r="AA14" s="7"/>
    </row>
    <row r="15" spans="2:27" ht="12.75">
      <c r="B15" s="6"/>
      <c r="C15" s="4"/>
      <c r="D15" s="4"/>
      <c r="E15" s="4"/>
      <c r="F15" s="75"/>
      <c r="G15" s="5"/>
      <c r="H15" s="5"/>
      <c r="I15" s="5"/>
      <c r="J15" s="5"/>
      <c r="K15" s="5"/>
      <c r="L15" s="78"/>
      <c r="M15" s="5"/>
      <c r="N15" s="5"/>
      <c r="O15" s="5"/>
      <c r="P15" s="5"/>
      <c r="Q15" s="78"/>
      <c r="R15" s="5"/>
      <c r="S15" s="5"/>
      <c r="T15" s="5"/>
      <c r="U15" s="5"/>
      <c r="V15" s="78"/>
      <c r="W15" s="5"/>
      <c r="X15" s="5"/>
      <c r="Y15" s="5"/>
      <c r="Z15" s="5"/>
      <c r="AA15" s="7"/>
    </row>
    <row r="16" spans="2:27" ht="12.75">
      <c r="B16" s="6"/>
      <c r="C16" s="4" t="s">
        <v>10</v>
      </c>
      <c r="D16" s="4"/>
      <c r="E16" s="4"/>
      <c r="F16" s="75">
        <f>(F6+F12)*Assumptions!C39</f>
        <v>0</v>
      </c>
      <c r="G16" s="78">
        <f>(G6+G12)*Assumptions!$C$39</f>
        <v>0</v>
      </c>
      <c r="H16" s="5">
        <f>(H6+H12)*Assumptions!$C$39</f>
        <v>0</v>
      </c>
      <c r="I16" s="5">
        <f>(I6+I12)*Assumptions!$C$39</f>
        <v>0</v>
      </c>
      <c r="J16" s="5">
        <f>(J6+J12)*Assumptions!$C$39</f>
        <v>0</v>
      </c>
      <c r="K16" s="5">
        <f>(K6+K12)*Assumptions!$C$39</f>
        <v>-2.2197725932946923</v>
      </c>
      <c r="L16" s="78">
        <f>(L6+L12)*Assumptions!$C$39</f>
        <v>247.44934418741576</v>
      </c>
      <c r="M16" s="5">
        <f>(M6+M12)*Assumptions!$C$39</f>
        <v>509.0539127065467</v>
      </c>
      <c r="N16" s="5">
        <f>(N6+N12)*Assumptions!$C$39</f>
        <v>783.0218340609993</v>
      </c>
      <c r="O16" s="5">
        <f>(O6+O12)*Assumptions!$C$39</f>
        <v>1069.7946453707166</v>
      </c>
      <c r="P16" s="5">
        <f>(P6+P12)*Assumptions!$C$39</f>
        <v>1372.3259488206427</v>
      </c>
      <c r="Q16" s="78">
        <f>(Q6+Q12)*Assumptions!$C$39</f>
        <v>1405.1245389974556</v>
      </c>
      <c r="R16" s="5">
        <f>(R6+R12)*Assumptions!$C$39</f>
        <v>1438.7070154794947</v>
      </c>
      <c r="S16" s="5">
        <f>(S6+S12)*Assumptions!$C$39</f>
        <v>1473.0921131494545</v>
      </c>
      <c r="T16" s="5">
        <f>(T6+T12)*Assumptions!$C$39</f>
        <v>1508.2990146537268</v>
      </c>
      <c r="U16" s="5">
        <f>(U6+U12)*Assumptions!$C$39</f>
        <v>1544.3473611039503</v>
      </c>
      <c r="V16" s="78">
        <f>(V6+V12)*Assumptions!$C$39</f>
        <v>1581.2572630343352</v>
      </c>
      <c r="W16" s="5">
        <f>(W6+W12)*Assumptions!$C$39</f>
        <v>1619.0493116208554</v>
      </c>
      <c r="X16" s="5">
        <f>(X6+X12)*Assumptions!$C$39</f>
        <v>1657.744590168594</v>
      </c>
      <c r="Y16" s="5">
        <f>(Y6+Y12)*Assumptions!$C$39</f>
        <v>1697.3646858736238</v>
      </c>
      <c r="Z16" s="5">
        <f>(Z6+Z12)*Assumptions!$C$39</f>
        <v>1737.9317018660029</v>
      </c>
      <c r="AA16" s="7"/>
    </row>
    <row r="17" spans="2:27" ht="12.75">
      <c r="B17" s="6"/>
      <c r="C17" s="4"/>
      <c r="D17" s="4"/>
      <c r="E17" s="4"/>
      <c r="F17" s="75"/>
      <c r="G17" s="5"/>
      <c r="H17" s="5"/>
      <c r="I17" s="5"/>
      <c r="J17" s="5"/>
      <c r="K17" s="5"/>
      <c r="L17" s="78"/>
      <c r="M17" s="5"/>
      <c r="N17" s="5"/>
      <c r="O17" s="5"/>
      <c r="P17" s="5"/>
      <c r="Q17" s="78"/>
      <c r="R17" s="5"/>
      <c r="S17" s="5"/>
      <c r="T17" s="5"/>
      <c r="U17" s="5"/>
      <c r="V17" s="78"/>
      <c r="W17" s="5"/>
      <c r="X17" s="5"/>
      <c r="Y17" s="5"/>
      <c r="Z17" s="4"/>
      <c r="AA17" s="7"/>
    </row>
    <row r="18" spans="2:27" s="174" customFormat="1" ht="18">
      <c r="B18" s="180"/>
      <c r="C18" s="181" t="s">
        <v>6</v>
      </c>
      <c r="D18" s="181"/>
      <c r="E18" s="181"/>
      <c r="F18" s="182"/>
      <c r="G18" s="182"/>
      <c r="H18" s="182"/>
      <c r="I18" s="182"/>
      <c r="J18" s="182"/>
      <c r="K18" s="182"/>
      <c r="L18" s="182"/>
      <c r="M18" s="182"/>
      <c r="N18" s="182"/>
      <c r="O18" s="182"/>
      <c r="P18" s="182"/>
      <c r="Q18" s="182"/>
      <c r="R18" s="182"/>
      <c r="S18" s="182"/>
      <c r="T18" s="182"/>
      <c r="U18" s="182"/>
      <c r="V18" s="182"/>
      <c r="W18" s="182"/>
      <c r="X18" s="182"/>
      <c r="Y18" s="182"/>
      <c r="Z18" s="181"/>
      <c r="AA18" s="183"/>
    </row>
    <row r="19" spans="2:27" ht="12.75">
      <c r="B19" s="6"/>
      <c r="C19" s="4" t="s">
        <v>7</v>
      </c>
      <c r="D19" s="4"/>
      <c r="E19" s="4"/>
      <c r="F19" s="75">
        <v>0</v>
      </c>
      <c r="G19" s="5">
        <v>0</v>
      </c>
      <c r="H19" s="5">
        <v>0</v>
      </c>
      <c r="I19" s="5">
        <f>'User costs'!$C$146*0.5</f>
        <v>2602.3783783783783</v>
      </c>
      <c r="J19" s="5">
        <f>'User costs'!$C$146*0.5</f>
        <v>2602.3783783783783</v>
      </c>
      <c r="K19" s="5">
        <v>0</v>
      </c>
      <c r="L19" s="78">
        <v>0</v>
      </c>
      <c r="M19" s="5">
        <v>0</v>
      </c>
      <c r="N19" s="5">
        <v>0</v>
      </c>
      <c r="O19" s="5">
        <v>0</v>
      </c>
      <c r="P19" s="5">
        <v>0</v>
      </c>
      <c r="Q19" s="78">
        <v>0</v>
      </c>
      <c r="R19" s="5">
        <v>0</v>
      </c>
      <c r="S19" s="5">
        <v>0</v>
      </c>
      <c r="T19" s="5">
        <v>0</v>
      </c>
      <c r="U19" s="5">
        <v>0</v>
      </c>
      <c r="V19" s="78">
        <v>0</v>
      </c>
      <c r="W19" s="5">
        <v>0</v>
      </c>
      <c r="X19" s="5">
        <v>0</v>
      </c>
      <c r="Y19" s="5">
        <v>0</v>
      </c>
      <c r="Z19" s="5">
        <v>0</v>
      </c>
      <c r="AA19" s="7"/>
    </row>
    <row r="20" spans="2:27" ht="12.75">
      <c r="B20" s="6"/>
      <c r="C20" s="4" t="s">
        <v>8</v>
      </c>
      <c r="D20" s="4"/>
      <c r="E20" s="4"/>
      <c r="F20" s="75">
        <v>0</v>
      </c>
      <c r="G20" s="5">
        <v>0</v>
      </c>
      <c r="H20" s="5">
        <v>0</v>
      </c>
      <c r="I20" s="5">
        <v>0</v>
      </c>
      <c r="J20" s="5">
        <v>0</v>
      </c>
      <c r="K20" s="5">
        <f>'User costs'!$C$148</f>
        <v>0</v>
      </c>
      <c r="L20" s="78">
        <f>'User costs'!$C$148</f>
        <v>0</v>
      </c>
      <c r="M20" s="5">
        <f>'User costs'!$C$148</f>
        <v>0</v>
      </c>
      <c r="N20" s="5">
        <f>'User costs'!$C$148</f>
        <v>0</v>
      </c>
      <c r="O20" s="5">
        <f>'User costs'!$C$148</f>
        <v>0</v>
      </c>
      <c r="P20" s="5">
        <f>'User costs'!$C$148</f>
        <v>0</v>
      </c>
      <c r="Q20" s="78">
        <f>'User costs'!$C$148</f>
        <v>0</v>
      </c>
      <c r="R20" s="5">
        <f>'User costs'!$C$148</f>
        <v>0</v>
      </c>
      <c r="S20" s="5">
        <f>'User costs'!$C$148</f>
        <v>0</v>
      </c>
      <c r="T20" s="5">
        <f>'User costs'!$C$148</f>
        <v>0</v>
      </c>
      <c r="U20" s="5">
        <f>'User costs'!$C$148</f>
        <v>0</v>
      </c>
      <c r="V20" s="78">
        <f>'User costs'!$C$148</f>
        <v>0</v>
      </c>
      <c r="W20" s="5">
        <f>'User costs'!$C$148</f>
        <v>0</v>
      </c>
      <c r="X20" s="5">
        <f>'User costs'!$C$148</f>
        <v>0</v>
      </c>
      <c r="Y20" s="5">
        <f>'User costs'!$C$148</f>
        <v>0</v>
      </c>
      <c r="Z20" s="5">
        <f>'User costs'!$C$148</f>
        <v>0</v>
      </c>
      <c r="AA20" s="7"/>
    </row>
    <row r="21" spans="2:27" ht="12.75">
      <c r="B21" s="6"/>
      <c r="C21" s="4" t="s">
        <v>11</v>
      </c>
      <c r="D21" s="4"/>
      <c r="E21" s="4"/>
      <c r="F21" s="75">
        <f>(F19+F20)*'User costs'!$C$149</f>
        <v>0</v>
      </c>
      <c r="G21" s="5">
        <f>(G19+G20)*'User costs'!$C$149</f>
        <v>0</v>
      </c>
      <c r="H21" s="5">
        <f>(H19+H20)*'User costs'!$C$149</f>
        <v>0</v>
      </c>
      <c r="I21" s="5">
        <f>(I19+I20)*'User costs'!$C$149</f>
        <v>2602.3783783783783</v>
      </c>
      <c r="J21" s="5">
        <f>(J19+J20)*'User costs'!$C$149</f>
        <v>2602.3783783783783</v>
      </c>
      <c r="K21" s="5">
        <f>(K19+K20)*'User costs'!$C$149</f>
        <v>0</v>
      </c>
      <c r="L21" s="78">
        <f>(L19+L20)*'User costs'!$C$149</f>
        <v>0</v>
      </c>
      <c r="M21" s="5">
        <f>(M19+M20)*'User costs'!$C$149</f>
        <v>0</v>
      </c>
      <c r="N21" s="5">
        <f>(N19+N20)*'User costs'!$C$149</f>
        <v>0</v>
      </c>
      <c r="O21" s="5">
        <f>(O19+O20)*'User costs'!$C$149</f>
        <v>0</v>
      </c>
      <c r="P21" s="5">
        <f>(P19+P20)*'User costs'!$C$149</f>
        <v>0</v>
      </c>
      <c r="Q21" s="78">
        <f>(Q19+Q20)*'User costs'!$C$149</f>
        <v>0</v>
      </c>
      <c r="R21" s="5">
        <f>(R19+R20)*'User costs'!$C$149</f>
        <v>0</v>
      </c>
      <c r="S21" s="5">
        <f>(S19+S20)*'User costs'!$C$149</f>
        <v>0</v>
      </c>
      <c r="T21" s="5">
        <f>(T19+T20)*'User costs'!$C$149</f>
        <v>0</v>
      </c>
      <c r="U21" s="5">
        <f>(U19+U20)*'User costs'!$C$149</f>
        <v>0</v>
      </c>
      <c r="V21" s="78">
        <f>(V19+V20)*'User costs'!$C$149</f>
        <v>0</v>
      </c>
      <c r="W21" s="5">
        <f>(W19+W20)*'User costs'!$C$149</f>
        <v>0</v>
      </c>
      <c r="X21" s="5">
        <f>(X19+X20)*'User costs'!$C$149</f>
        <v>0</v>
      </c>
      <c r="Y21" s="5">
        <f>(Y19+Y20)*'User costs'!$C$149</f>
        <v>0</v>
      </c>
      <c r="Z21" s="5">
        <f>(Z19+Z20)*'User costs'!$C$149</f>
        <v>0</v>
      </c>
      <c r="AA21" s="7"/>
    </row>
    <row r="22" spans="2:27" ht="12.75">
      <c r="B22" s="6"/>
      <c r="C22" s="4"/>
      <c r="D22" s="4"/>
      <c r="E22" s="4"/>
      <c r="F22" s="75"/>
      <c r="G22" s="5"/>
      <c r="H22" s="5"/>
      <c r="I22" s="5"/>
      <c r="J22" s="5"/>
      <c r="K22" s="5"/>
      <c r="L22" s="78"/>
      <c r="M22" s="5"/>
      <c r="N22" s="5"/>
      <c r="O22" s="5"/>
      <c r="P22" s="5"/>
      <c r="Q22" s="78"/>
      <c r="R22" s="5"/>
      <c r="S22" s="5"/>
      <c r="T22" s="5"/>
      <c r="U22" s="5"/>
      <c r="V22" s="78"/>
      <c r="W22" s="5"/>
      <c r="X22" s="5"/>
      <c r="Y22" s="5"/>
      <c r="Z22" s="5"/>
      <c r="AA22" s="7"/>
    </row>
    <row r="23" spans="2:27" s="64" customFormat="1" ht="18">
      <c r="B23" s="98"/>
      <c r="C23" s="175" t="s">
        <v>12</v>
      </c>
      <c r="D23" s="175"/>
      <c r="E23" s="175"/>
      <c r="F23" s="99">
        <f>F16-F21</f>
        <v>0</v>
      </c>
      <c r="G23" s="100">
        <f aca="true" t="shared" si="3" ref="G23:Y23">G16-G21</f>
        <v>0</v>
      </c>
      <c r="H23" s="100">
        <f t="shared" si="3"/>
        <v>0</v>
      </c>
      <c r="I23" s="100">
        <f t="shared" si="3"/>
        <v>-2602.3783783783783</v>
      </c>
      <c r="J23" s="100">
        <f t="shared" si="3"/>
        <v>-2602.3783783783783</v>
      </c>
      <c r="K23" s="100">
        <f t="shared" si="3"/>
        <v>-2.2197725932946923</v>
      </c>
      <c r="L23" s="101">
        <f t="shared" si="3"/>
        <v>247.44934418741576</v>
      </c>
      <c r="M23" s="100">
        <f t="shared" si="3"/>
        <v>509.0539127065467</v>
      </c>
      <c r="N23" s="100">
        <f t="shared" si="3"/>
        <v>783.0218340609993</v>
      </c>
      <c r="O23" s="100">
        <f t="shared" si="3"/>
        <v>1069.7946453707166</v>
      </c>
      <c r="P23" s="100">
        <f t="shared" si="3"/>
        <v>1372.3259488206427</v>
      </c>
      <c r="Q23" s="101">
        <f t="shared" si="3"/>
        <v>1405.1245389974556</v>
      </c>
      <c r="R23" s="100">
        <f t="shared" si="3"/>
        <v>1438.7070154794947</v>
      </c>
      <c r="S23" s="100">
        <f t="shared" si="3"/>
        <v>1473.0921131494545</v>
      </c>
      <c r="T23" s="100">
        <f t="shared" si="3"/>
        <v>1508.2990146537268</v>
      </c>
      <c r="U23" s="100">
        <f t="shared" si="3"/>
        <v>1544.3473611039503</v>
      </c>
      <c r="V23" s="101">
        <f t="shared" si="3"/>
        <v>1581.2572630343352</v>
      </c>
      <c r="W23" s="100">
        <f t="shared" si="3"/>
        <v>1619.0493116208554</v>
      </c>
      <c r="X23" s="100">
        <f t="shared" si="3"/>
        <v>1657.744590168594</v>
      </c>
      <c r="Y23" s="100">
        <f t="shared" si="3"/>
        <v>1697.3646858736238</v>
      </c>
      <c r="Z23" s="100">
        <f>Z16-Z21</f>
        <v>1737.9317018660029</v>
      </c>
      <c r="AA23" s="102"/>
    </row>
    <row r="24" spans="2:27" ht="12.75">
      <c r="B24" s="6"/>
      <c r="C24" s="4"/>
      <c r="D24" s="4"/>
      <c r="E24" s="4"/>
      <c r="F24" s="4"/>
      <c r="G24" s="4"/>
      <c r="H24" s="4"/>
      <c r="I24" s="4"/>
      <c r="J24" s="4"/>
      <c r="K24" s="4"/>
      <c r="L24" s="4"/>
      <c r="M24" s="4"/>
      <c r="N24" s="4"/>
      <c r="O24" s="4"/>
      <c r="P24" s="4"/>
      <c r="Q24" s="4"/>
      <c r="R24" s="4"/>
      <c r="S24" s="4"/>
      <c r="T24" s="4"/>
      <c r="U24" s="4"/>
      <c r="V24" s="4"/>
      <c r="W24" s="4"/>
      <c r="X24" s="4"/>
      <c r="Y24" s="4"/>
      <c r="Z24" s="4"/>
      <c r="AA24" s="7"/>
    </row>
    <row r="25" spans="2:27" ht="12.75">
      <c r="B25" s="6"/>
      <c r="C25" s="393" t="s">
        <v>266</v>
      </c>
      <c r="D25" s="4"/>
      <c r="E25" s="4"/>
      <c r="F25" s="394">
        <f>NPV(0.1,F16:Z16)</f>
        <v>4900.514086667005</v>
      </c>
      <c r="G25" s="4"/>
      <c r="H25" s="4"/>
      <c r="I25" s="4"/>
      <c r="J25" s="4"/>
      <c r="K25" s="4"/>
      <c r="L25" s="4"/>
      <c r="M25" s="4"/>
      <c r="N25" s="4"/>
      <c r="O25" s="4"/>
      <c r="P25" s="4"/>
      <c r="Q25" s="4"/>
      <c r="R25" s="4"/>
      <c r="S25" s="4"/>
      <c r="T25" s="4"/>
      <c r="U25" s="4"/>
      <c r="V25" s="4"/>
      <c r="W25" s="4"/>
      <c r="X25" s="4"/>
      <c r="Y25" s="4"/>
      <c r="Z25" s="4"/>
      <c r="AA25" s="7"/>
    </row>
    <row r="26" spans="2:27" ht="12.75">
      <c r="B26" s="6"/>
      <c r="C26" s="393" t="s">
        <v>267</v>
      </c>
      <c r="D26" s="4"/>
      <c r="E26" s="4"/>
      <c r="F26" s="394">
        <f>NPV(0.1,F21:Z21)</f>
        <v>3393.3316741868057</v>
      </c>
      <c r="G26" s="4"/>
      <c r="H26" s="4"/>
      <c r="I26" s="4"/>
      <c r="J26" s="4"/>
      <c r="K26" s="4"/>
      <c r="L26" s="4"/>
      <c r="M26" s="4"/>
      <c r="N26" s="4"/>
      <c r="O26" s="4"/>
      <c r="P26" s="4"/>
      <c r="Q26" s="4"/>
      <c r="R26" s="4"/>
      <c r="S26" s="4"/>
      <c r="T26" s="4"/>
      <c r="U26" s="4"/>
      <c r="V26" s="4"/>
      <c r="W26" s="4"/>
      <c r="X26" s="4"/>
      <c r="Y26" s="4"/>
      <c r="Z26" s="4"/>
      <c r="AA26" s="7"/>
    </row>
    <row r="27" spans="2:27" ht="12.75">
      <c r="B27" s="6"/>
      <c r="C27" s="393" t="s">
        <v>268</v>
      </c>
      <c r="D27" s="4"/>
      <c r="E27" s="4"/>
      <c r="F27" s="352">
        <f>NPV(0.1,F23:Z23)</f>
        <v>1507.1824124801992</v>
      </c>
      <c r="G27" s="4"/>
      <c r="H27" s="4"/>
      <c r="I27" s="4"/>
      <c r="J27" s="4"/>
      <c r="K27" s="4"/>
      <c r="L27" s="4"/>
      <c r="M27" s="4"/>
      <c r="N27" s="4"/>
      <c r="O27" s="4"/>
      <c r="P27" s="4"/>
      <c r="Q27" s="4"/>
      <c r="R27" s="4"/>
      <c r="S27" s="4"/>
      <c r="T27" s="4"/>
      <c r="U27" s="4"/>
      <c r="V27" s="4"/>
      <c r="W27" s="4"/>
      <c r="X27" s="4"/>
      <c r="Y27" s="4"/>
      <c r="Z27" s="4"/>
      <c r="AA27" s="7"/>
    </row>
    <row r="28" spans="2:27" ht="12.75">
      <c r="B28" s="6"/>
      <c r="C28" s="393"/>
      <c r="D28" s="4"/>
      <c r="E28" s="4"/>
      <c r="F28" s="4"/>
      <c r="G28" s="4"/>
      <c r="H28" s="4"/>
      <c r="I28" s="4"/>
      <c r="J28" s="4"/>
      <c r="K28" s="4"/>
      <c r="L28" s="4"/>
      <c r="M28" s="4"/>
      <c r="N28" s="4"/>
      <c r="O28" s="4"/>
      <c r="P28" s="4"/>
      <c r="Q28" s="4"/>
      <c r="R28" s="4"/>
      <c r="S28" s="4"/>
      <c r="T28" s="4"/>
      <c r="U28" s="4"/>
      <c r="V28" s="4"/>
      <c r="W28" s="4"/>
      <c r="X28" s="4"/>
      <c r="Y28" s="4"/>
      <c r="Z28" s="4"/>
      <c r="AA28" s="7"/>
    </row>
    <row r="29" spans="2:27" ht="18">
      <c r="B29" s="6"/>
      <c r="C29" s="4"/>
      <c r="D29" s="4"/>
      <c r="E29" s="176" t="s">
        <v>13</v>
      </c>
      <c r="F29" s="344">
        <f>IRR(F23:Y23)</f>
        <v>0.1405745204868678</v>
      </c>
      <c r="G29" s="4"/>
      <c r="H29" s="4"/>
      <c r="I29" s="4"/>
      <c r="J29" s="4"/>
      <c r="K29" s="4"/>
      <c r="L29" s="4"/>
      <c r="M29" s="4"/>
      <c r="N29" s="4"/>
      <c r="O29" s="4"/>
      <c r="P29" s="4"/>
      <c r="Q29" s="4"/>
      <c r="R29" s="4"/>
      <c r="S29" s="4"/>
      <c r="T29" s="4"/>
      <c r="U29" s="4"/>
      <c r="V29" s="4"/>
      <c r="W29" s="4"/>
      <c r="X29" s="4"/>
      <c r="Y29" s="4"/>
      <c r="Z29" s="4"/>
      <c r="AA29" s="7"/>
    </row>
    <row r="30" spans="2:27" ht="13.5" thickBot="1">
      <c r="B30" s="8"/>
      <c r="C30" s="9"/>
      <c r="D30" s="9"/>
      <c r="E30" s="9"/>
      <c r="F30" s="9"/>
      <c r="G30" s="9"/>
      <c r="H30" s="9"/>
      <c r="I30" s="9"/>
      <c r="J30" s="9"/>
      <c r="K30" s="9"/>
      <c r="L30" s="9"/>
      <c r="M30" s="9"/>
      <c r="N30" s="9"/>
      <c r="O30" s="9"/>
      <c r="P30" s="9"/>
      <c r="Q30" s="9"/>
      <c r="R30" s="9"/>
      <c r="S30" s="9"/>
      <c r="T30" s="9"/>
      <c r="U30" s="9"/>
      <c r="V30" s="9"/>
      <c r="W30" s="9"/>
      <c r="X30" s="9"/>
      <c r="Y30" s="9"/>
      <c r="Z30" s="9"/>
      <c r="AA30" s="10"/>
    </row>
    <row r="32" ht="12.75">
      <c r="E32" s="242"/>
    </row>
    <row r="33" ht="12.75">
      <c r="H33" s="103" t="s">
        <v>99</v>
      </c>
    </row>
    <row r="37" ht="12.75">
      <c r="I37" t="s">
        <v>99</v>
      </c>
    </row>
    <row r="40" ht="12.75">
      <c r="H40" t="s">
        <v>99</v>
      </c>
    </row>
  </sheetData>
  <sheetProtection/>
  <printOptions/>
  <pageMargins left="0.36" right="0.38" top="1" bottom="1" header="0.5" footer="0.5"/>
  <pageSetup fitToHeight="1" fitToWidth="1" horizontalDpi="600" verticalDpi="600" orientation="landscape" scale="5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AI111"/>
  <sheetViews>
    <sheetView zoomScale="85" zoomScaleNormal="85" zoomScalePageLayoutView="0" workbookViewId="0" topLeftCell="A1">
      <selection activeCell="A1" sqref="A1"/>
    </sheetView>
  </sheetViews>
  <sheetFormatPr defaultColWidth="9.140625" defaultRowHeight="12.75"/>
  <cols>
    <col min="1" max="1" width="3.7109375" style="191" customWidth="1"/>
    <col min="2" max="2" width="48.57421875" style="191" customWidth="1"/>
    <col min="3" max="3" width="11.7109375" style="191" customWidth="1"/>
    <col min="4" max="4" width="19.7109375" style="191" customWidth="1"/>
    <col min="5" max="6" width="4.00390625" style="191" customWidth="1"/>
    <col min="7" max="7" width="32.7109375" style="191" customWidth="1"/>
    <col min="8" max="8" width="14.140625" style="191" customWidth="1"/>
    <col min="9" max="9" width="20.57421875" style="191" bestFit="1" customWidth="1"/>
    <col min="10" max="10" width="10.00390625" style="191" customWidth="1"/>
    <col min="11" max="11" width="13.8515625" style="191" customWidth="1"/>
    <col min="12" max="12" width="3.28125" style="191" customWidth="1"/>
    <col min="13" max="18" width="9.140625" style="191" customWidth="1"/>
    <col min="19" max="19" width="27.8515625" style="191" customWidth="1"/>
    <col min="20" max="16384" width="9.140625" style="191" customWidth="1"/>
  </cols>
  <sheetData>
    <row r="1" ht="12.75"/>
    <row r="2" ht="20.25">
      <c r="B2" s="190" t="s">
        <v>119</v>
      </c>
    </row>
    <row r="3" ht="12.75">
      <c r="J3" s="356" t="s">
        <v>348</v>
      </c>
    </row>
    <row r="4" spans="2:8" ht="18">
      <c r="B4" s="192" t="s">
        <v>14</v>
      </c>
      <c r="G4" s="193" t="s">
        <v>98</v>
      </c>
      <c r="H4" s="177">
        <f>'Cost-Benefit Summary'!F29</f>
        <v>0.1405745204868678</v>
      </c>
    </row>
    <row r="5" spans="2:8" ht="12.75">
      <c r="B5" s="194"/>
      <c r="G5" s="193"/>
      <c r="H5" s="195"/>
    </row>
    <row r="6" spans="2:9" ht="12.75">
      <c r="B6" s="517" t="s">
        <v>113</v>
      </c>
      <c r="C6" s="517"/>
      <c r="D6" s="517"/>
      <c r="E6" s="517"/>
      <c r="F6" s="517"/>
      <c r="G6" s="517"/>
      <c r="H6" s="517"/>
      <c r="I6" s="517"/>
    </row>
    <row r="7" spans="2:9" ht="12.75">
      <c r="B7" s="451"/>
      <c r="C7" s="451"/>
      <c r="D7" s="451"/>
      <c r="E7" s="451"/>
      <c r="F7" s="451"/>
      <c r="G7" s="451"/>
      <c r="H7" s="451"/>
      <c r="I7" s="451"/>
    </row>
    <row r="8" spans="5:35" ht="12.75">
      <c r="E8" s="481" t="s">
        <v>327</v>
      </c>
      <c r="F8" s="481"/>
      <c r="L8" s="481" t="s">
        <v>327</v>
      </c>
      <c r="N8" s="212"/>
      <c r="O8" s="212"/>
      <c r="Q8" s="401"/>
      <c r="R8" s="401"/>
      <c r="S8" s="401"/>
      <c r="T8" s="401"/>
      <c r="U8" s="401"/>
      <c r="V8" s="401"/>
      <c r="W8" s="401"/>
      <c r="X8" s="401"/>
      <c r="Y8" s="401"/>
      <c r="Z8" s="401"/>
      <c r="AA8" s="401"/>
      <c r="AB8" s="401"/>
      <c r="AC8" s="401"/>
      <c r="AD8" s="401"/>
      <c r="AE8" s="401"/>
      <c r="AF8" s="401"/>
      <c r="AG8" s="401"/>
      <c r="AH8" s="401"/>
      <c r="AI8" s="401"/>
    </row>
    <row r="9" spans="2:19" ht="15">
      <c r="B9" s="196" t="s">
        <v>83</v>
      </c>
      <c r="C9" s="197"/>
      <c r="D9" s="198"/>
      <c r="E9" s="483"/>
      <c r="F9" s="480"/>
      <c r="G9" s="273" t="s">
        <v>91</v>
      </c>
      <c r="H9" s="274"/>
      <c r="I9" s="274"/>
      <c r="J9" s="274"/>
      <c r="K9" s="275"/>
      <c r="L9" s="484"/>
      <c r="O9" s="353"/>
      <c r="S9" s="490" t="s">
        <v>271</v>
      </c>
    </row>
    <row r="10" spans="2:19" ht="12.75">
      <c r="B10" s="199"/>
      <c r="C10" s="200"/>
      <c r="D10" s="201"/>
      <c r="E10" s="483"/>
      <c r="F10" s="480"/>
      <c r="G10" s="276"/>
      <c r="H10" s="277"/>
      <c r="I10" s="277"/>
      <c r="J10" s="277"/>
      <c r="K10" s="278"/>
      <c r="L10" s="484"/>
      <c r="O10" s="353"/>
      <c r="Q10" s="401"/>
      <c r="S10" s="488">
        <v>0.028316495306452198</v>
      </c>
    </row>
    <row r="11" spans="2:19" ht="12.75">
      <c r="B11" s="202" t="s">
        <v>74</v>
      </c>
      <c r="C11" s="200"/>
      <c r="D11" s="201"/>
      <c r="E11" s="483"/>
      <c r="F11" s="480"/>
      <c r="G11" s="276"/>
      <c r="H11" s="277"/>
      <c r="I11" s="277"/>
      <c r="J11" s="277"/>
      <c r="K11" s="278"/>
      <c r="L11" s="484"/>
      <c r="O11" s="353"/>
      <c r="Q11" s="401"/>
      <c r="S11" s="488">
        <v>0.0275184595363392</v>
      </c>
    </row>
    <row r="12" spans="2:19" ht="12.75">
      <c r="B12" s="203" t="s">
        <v>64</v>
      </c>
      <c r="C12" s="204">
        <f>3369+270+496+972+1110+653+5514+1100+133+781+386+2000+1477+892+229</f>
        <v>19382</v>
      </c>
      <c r="D12" s="201" t="s">
        <v>19</v>
      </c>
      <c r="E12" s="483">
        <v>1</v>
      </c>
      <c r="F12" s="480"/>
      <c r="G12" s="276"/>
      <c r="H12" s="277"/>
      <c r="I12" s="277"/>
      <c r="J12" s="277"/>
      <c r="K12" s="278"/>
      <c r="L12" s="484"/>
      <c r="O12" s="353"/>
      <c r="Q12" s="401"/>
      <c r="S12" s="488">
        <v>0.026351621043302197</v>
      </c>
    </row>
    <row r="13" spans="2:19" ht="12.75">
      <c r="B13" s="199" t="s">
        <v>27</v>
      </c>
      <c r="C13" s="400">
        <v>0.0239</v>
      </c>
      <c r="D13" s="201" t="s">
        <v>85</v>
      </c>
      <c r="E13" s="483">
        <v>2</v>
      </c>
      <c r="F13" s="480"/>
      <c r="G13" s="276"/>
      <c r="H13" s="277"/>
      <c r="I13" s="277"/>
      <c r="J13" s="277"/>
      <c r="K13" s="278"/>
      <c r="L13" s="484"/>
      <c r="O13" s="353"/>
      <c r="Q13" s="401"/>
      <c r="S13" s="488">
        <v>0.0251164436550757</v>
      </c>
    </row>
    <row r="14" spans="2:19" ht="12.75">
      <c r="B14" s="199" t="s">
        <v>18</v>
      </c>
      <c r="C14" s="204">
        <v>13.75</v>
      </c>
      <c r="D14" s="201" t="s">
        <v>19</v>
      </c>
      <c r="E14" s="483">
        <v>3</v>
      </c>
      <c r="F14" s="480"/>
      <c r="G14" s="276"/>
      <c r="H14" s="277"/>
      <c r="I14" s="277"/>
      <c r="J14" s="277"/>
      <c r="K14" s="278"/>
      <c r="L14" s="484"/>
      <c r="O14" s="353"/>
      <c r="Q14" s="401"/>
      <c r="S14" s="488">
        <v>0.0241501056525384</v>
      </c>
    </row>
    <row r="15" spans="2:19" ht="12.75">
      <c r="B15" s="199" t="s">
        <v>118</v>
      </c>
      <c r="C15" s="216">
        <f>C12/C14</f>
        <v>1409.6</v>
      </c>
      <c r="D15" s="201" t="s">
        <v>17</v>
      </c>
      <c r="E15" s="483"/>
      <c r="F15" s="480"/>
      <c r="G15" s="276"/>
      <c r="H15" s="277"/>
      <c r="I15" s="277"/>
      <c r="J15" s="277"/>
      <c r="K15" s="278"/>
      <c r="L15" s="484"/>
      <c r="O15" s="353"/>
      <c r="Q15" s="401"/>
      <c r="S15" s="488">
        <v>0.0235708677583649</v>
      </c>
    </row>
    <row r="16" spans="2:19" ht="12.75">
      <c r="B16" s="199"/>
      <c r="C16" s="216"/>
      <c r="D16" s="201"/>
      <c r="E16" s="483"/>
      <c r="F16" s="480"/>
      <c r="G16" s="276"/>
      <c r="H16" s="277"/>
      <c r="I16" s="277"/>
      <c r="J16" s="277"/>
      <c r="K16" s="278"/>
      <c r="L16" s="484"/>
      <c r="O16" s="353"/>
      <c r="Q16" s="401"/>
      <c r="S16" s="488">
        <v>0.0234930110758474</v>
      </c>
    </row>
    <row r="17" spans="2:19" ht="12.75">
      <c r="B17" s="202" t="s">
        <v>79</v>
      </c>
      <c r="C17" s="200"/>
      <c r="D17" s="201"/>
      <c r="E17" s="483"/>
      <c r="F17" s="480"/>
      <c r="G17" s="279" t="s">
        <v>79</v>
      </c>
      <c r="H17" s="277"/>
      <c r="I17" s="277"/>
      <c r="J17" s="277"/>
      <c r="K17" s="278"/>
      <c r="L17" s="484"/>
      <c r="O17" s="353"/>
      <c r="Q17" s="401"/>
      <c r="S17" s="488">
        <v>0.023749804483521</v>
      </c>
    </row>
    <row r="18" spans="2:19" ht="12.75">
      <c r="B18" s="199" t="s">
        <v>26</v>
      </c>
      <c r="C18" s="70">
        <v>0.02</v>
      </c>
      <c r="D18" s="201" t="s">
        <v>85</v>
      </c>
      <c r="E18" s="483"/>
      <c r="F18" s="480"/>
      <c r="G18" s="276"/>
      <c r="H18" s="277"/>
      <c r="I18" s="277"/>
      <c r="J18" s="277"/>
      <c r="K18" s="278"/>
      <c r="L18" s="484"/>
      <c r="O18" s="353"/>
      <c r="Q18" s="401"/>
      <c r="S18" s="488">
        <v>0.0240631203011375</v>
      </c>
    </row>
    <row r="19" spans="2:19" ht="12.75">
      <c r="B19" s="199" t="s">
        <v>122</v>
      </c>
      <c r="C19" s="345">
        <f>'ERR &amp; Sensitivity Analysis'!G14</f>
        <v>1.16</v>
      </c>
      <c r="D19" s="245" t="s">
        <v>236</v>
      </c>
      <c r="E19" s="483">
        <v>4</v>
      </c>
      <c r="F19" s="480"/>
      <c r="G19" s="276"/>
      <c r="H19" s="277"/>
      <c r="I19" s="277"/>
      <c r="J19" s="277"/>
      <c r="K19" s="278"/>
      <c r="L19" s="484"/>
      <c r="O19" s="353"/>
      <c r="Q19" s="401"/>
      <c r="S19" s="488">
        <v>0.0242596513118898</v>
      </c>
    </row>
    <row r="20" spans="2:19" ht="12.75">
      <c r="B20" s="199" t="s">
        <v>123</v>
      </c>
      <c r="C20" s="207">
        <f>C19/8</f>
        <v>0.145</v>
      </c>
      <c r="D20" s="245" t="s">
        <v>237</v>
      </c>
      <c r="E20" s="483"/>
      <c r="F20" s="480"/>
      <c r="G20" s="276"/>
      <c r="H20" s="277"/>
      <c r="I20" s="277"/>
      <c r="J20" s="277"/>
      <c r="K20" s="278"/>
      <c r="L20" s="484"/>
      <c r="O20" s="353"/>
      <c r="Q20" s="401"/>
      <c r="S20" s="488">
        <v>0.0243858789578003</v>
      </c>
    </row>
    <row r="21" spans="2:19" ht="12.75">
      <c r="B21" s="199" t="s">
        <v>114</v>
      </c>
      <c r="C21" s="205">
        <v>1000</v>
      </c>
      <c r="D21" s="201" t="s">
        <v>86</v>
      </c>
      <c r="E21" s="483"/>
      <c r="F21" s="480"/>
      <c r="G21" s="276" t="s">
        <v>115</v>
      </c>
      <c r="H21" s="280">
        <f>Assumptions!C38</f>
        <v>0</v>
      </c>
      <c r="I21" s="277" t="s">
        <v>116</v>
      </c>
      <c r="J21" s="277"/>
      <c r="K21" s="278"/>
      <c r="L21" s="484"/>
      <c r="O21" s="353"/>
      <c r="Q21" s="401"/>
      <c r="S21" s="488">
        <v>0.0243963282968785</v>
      </c>
    </row>
    <row r="22" spans="2:19" ht="12.75">
      <c r="B22" s="203" t="s">
        <v>233</v>
      </c>
      <c r="C22" s="244">
        <v>0.52</v>
      </c>
      <c r="D22" s="245" t="s">
        <v>238</v>
      </c>
      <c r="E22" s="483">
        <v>5</v>
      </c>
      <c r="F22" s="480"/>
      <c r="G22" s="276"/>
      <c r="H22" s="277"/>
      <c r="I22" s="277"/>
      <c r="J22" s="277"/>
      <c r="K22" s="278"/>
      <c r="L22" s="484"/>
      <c r="O22" s="353"/>
      <c r="Q22" s="401"/>
      <c r="S22" s="488">
        <v>0.0243182442442136</v>
      </c>
    </row>
    <row r="23" spans="2:19" ht="12.75">
      <c r="B23" s="203" t="s">
        <v>234</v>
      </c>
      <c r="C23" s="244">
        <f>1/1.4</f>
        <v>0.7142857142857143</v>
      </c>
      <c r="D23" s="245" t="s">
        <v>238</v>
      </c>
      <c r="E23" s="483"/>
      <c r="F23" s="480"/>
      <c r="G23" s="276"/>
      <c r="H23" s="277"/>
      <c r="I23" s="277"/>
      <c r="J23" s="277"/>
      <c r="K23" s="278"/>
      <c r="L23" s="484"/>
      <c r="Q23" s="401"/>
      <c r="S23" s="488">
        <v>0.024230613191003298</v>
      </c>
    </row>
    <row r="24" spans="2:19" ht="12.75">
      <c r="B24" s="203"/>
      <c r="C24" s="244"/>
      <c r="D24" s="201"/>
      <c r="E24" s="483"/>
      <c r="F24" s="480"/>
      <c r="G24" s="276"/>
      <c r="H24" s="277"/>
      <c r="I24" s="277"/>
      <c r="J24" s="277"/>
      <c r="K24" s="278"/>
      <c r="L24" s="484"/>
      <c r="Q24" s="401"/>
      <c r="S24" s="488">
        <v>0.024146060687917997</v>
      </c>
    </row>
    <row r="25" spans="2:19" ht="12.75">
      <c r="B25" s="203"/>
      <c r="C25" s="244"/>
      <c r="D25" s="201"/>
      <c r="E25" s="483"/>
      <c r="F25" s="480"/>
      <c r="G25" s="279" t="s">
        <v>95</v>
      </c>
      <c r="H25" s="277"/>
      <c r="I25" s="277"/>
      <c r="J25" s="277"/>
      <c r="K25" s="278"/>
      <c r="L25" s="484"/>
      <c r="Q25" s="401"/>
      <c r="S25" s="488">
        <v>0.024003503722327898</v>
      </c>
    </row>
    <row r="26" spans="2:19" ht="25.5">
      <c r="B26" s="202" t="s">
        <v>95</v>
      </c>
      <c r="C26" s="205"/>
      <c r="D26" s="201"/>
      <c r="E26" s="483"/>
      <c r="F26" s="480"/>
      <c r="G26" s="310" t="s">
        <v>120</v>
      </c>
      <c r="H26" s="346">
        <v>0.24</v>
      </c>
      <c r="I26" s="479" t="s">
        <v>121</v>
      </c>
      <c r="J26" s="277"/>
      <c r="K26" s="278"/>
      <c r="L26" s="485">
        <v>18</v>
      </c>
      <c r="Q26" s="401"/>
      <c r="S26" s="488">
        <v>0.023795682880565598</v>
      </c>
    </row>
    <row r="27" spans="2:19" ht="15" customHeight="1">
      <c r="B27" s="203" t="s">
        <v>244</v>
      </c>
      <c r="C27" s="351">
        <f>'ERR &amp; Sensitivity Analysis'!G13</f>
        <v>0.1365</v>
      </c>
      <c r="D27" s="245" t="s">
        <v>180</v>
      </c>
      <c r="E27" s="483">
        <v>6</v>
      </c>
      <c r="F27" s="480"/>
      <c r="G27" s="310"/>
      <c r="H27" s="284"/>
      <c r="I27" s="311"/>
      <c r="J27" s="277"/>
      <c r="K27" s="278"/>
      <c r="L27" s="484"/>
      <c r="Q27" s="401"/>
      <c r="S27" s="488">
        <v>0.0235376036420329</v>
      </c>
    </row>
    <row r="28" spans="2:19" ht="15" customHeight="1">
      <c r="B28" s="203" t="s">
        <v>181</v>
      </c>
      <c r="C28" s="347">
        <f>'ERR &amp; Sensitivity Analysis'!G16</f>
        <v>3.41</v>
      </c>
      <c r="D28" s="245" t="s">
        <v>188</v>
      </c>
      <c r="E28" s="483"/>
      <c r="F28" s="480"/>
      <c r="G28" s="310"/>
      <c r="H28" s="284"/>
      <c r="I28" s="311"/>
      <c r="J28" s="277"/>
      <c r="K28" s="278"/>
      <c r="L28" s="484"/>
      <c r="Q28" s="401"/>
      <c r="S28" s="489">
        <v>0.0232595759963772</v>
      </c>
    </row>
    <row r="29" spans="2:12" ht="15" customHeight="1">
      <c r="B29" s="203" t="s">
        <v>182</v>
      </c>
      <c r="C29" s="312">
        <v>0.6563</v>
      </c>
      <c r="D29" s="245" t="s">
        <v>180</v>
      </c>
      <c r="E29" s="483"/>
      <c r="F29" s="480"/>
      <c r="G29" s="310"/>
      <c r="H29" s="284"/>
      <c r="I29" s="311"/>
      <c r="J29" s="277"/>
      <c r="K29" s="278"/>
      <c r="L29" s="484"/>
    </row>
    <row r="30" spans="2:12" ht="15" customHeight="1">
      <c r="B30" s="203" t="s">
        <v>185</v>
      </c>
      <c r="C30" s="313">
        <f>0.3275/C29*1.92*C22</f>
        <v>0.4982111839097974</v>
      </c>
      <c r="D30" s="245" t="s">
        <v>239</v>
      </c>
      <c r="E30" s="483"/>
      <c r="F30" s="480"/>
      <c r="G30" s="310"/>
      <c r="H30" s="284"/>
      <c r="I30" s="311"/>
      <c r="J30" s="277"/>
      <c r="K30" s="278"/>
      <c r="L30" s="484"/>
    </row>
    <row r="31" spans="2:12" ht="15" customHeight="1">
      <c r="B31" s="203" t="s">
        <v>183</v>
      </c>
      <c r="C31" s="312">
        <f>583/1568</f>
        <v>0.3718112244897959</v>
      </c>
      <c r="D31" s="245" t="s">
        <v>180</v>
      </c>
      <c r="E31" s="483"/>
      <c r="F31" s="480"/>
      <c r="G31" s="310"/>
      <c r="H31" s="284"/>
      <c r="I31" s="311"/>
      <c r="J31" s="277"/>
      <c r="K31" s="278"/>
      <c r="L31" s="484"/>
    </row>
    <row r="32" spans="2:12" ht="15" customHeight="1">
      <c r="B32" s="203" t="s">
        <v>184</v>
      </c>
      <c r="C32" s="313">
        <f>2.24*C22</f>
        <v>1.1648</v>
      </c>
      <c r="D32" s="245" t="s">
        <v>239</v>
      </c>
      <c r="E32" s="483"/>
      <c r="F32" s="480"/>
      <c r="G32" s="310"/>
      <c r="H32" s="284"/>
      <c r="I32" s="311"/>
      <c r="J32" s="277"/>
      <c r="K32" s="278"/>
      <c r="L32" s="484"/>
    </row>
    <row r="33" spans="2:12" ht="15" customHeight="1">
      <c r="B33" s="203" t="s">
        <v>186</v>
      </c>
      <c r="C33" s="313">
        <f>58/1568*17.28*C22</f>
        <v>0.3323755102040816</v>
      </c>
      <c r="D33" s="245" t="s">
        <v>239</v>
      </c>
      <c r="E33" s="483"/>
      <c r="F33" s="480"/>
      <c r="G33" s="310"/>
      <c r="H33" s="284"/>
      <c r="I33" s="311"/>
      <c r="J33" s="277"/>
      <c r="K33" s="278"/>
      <c r="L33" s="484"/>
    </row>
    <row r="34" spans="2:12" ht="15" customHeight="1">
      <c r="B34" s="203" t="s">
        <v>187</v>
      </c>
      <c r="C34" s="313">
        <f>895/1568*3.9*C22</f>
        <v>1.1575637755102042</v>
      </c>
      <c r="D34" s="245" t="s">
        <v>239</v>
      </c>
      <c r="E34" s="483"/>
      <c r="F34" s="480"/>
      <c r="G34" s="310"/>
      <c r="H34" s="284"/>
      <c r="I34" s="311"/>
      <c r="J34" s="277"/>
      <c r="K34" s="278"/>
      <c r="L34" s="484"/>
    </row>
    <row r="35" spans="2:12" ht="15" customHeight="1">
      <c r="B35" s="203"/>
      <c r="C35" s="313"/>
      <c r="D35" s="245"/>
      <c r="E35" s="483"/>
      <c r="F35" s="480"/>
      <c r="G35" s="310"/>
      <c r="H35" s="284"/>
      <c r="I35" s="311"/>
      <c r="J35" s="277"/>
      <c r="K35" s="278"/>
      <c r="L35" s="484"/>
    </row>
    <row r="36" spans="2:16" ht="12.75" customHeight="1">
      <c r="B36" s="199"/>
      <c r="C36" s="205"/>
      <c r="D36" s="201"/>
      <c r="E36" s="483"/>
      <c r="F36" s="480"/>
      <c r="G36" s="276"/>
      <c r="H36" s="277"/>
      <c r="I36" s="277"/>
      <c r="J36" s="277"/>
      <c r="K36" s="278"/>
      <c r="L36" s="486"/>
      <c r="M36" s="107"/>
      <c r="N36" s="107"/>
      <c r="O36" s="107"/>
      <c r="P36" s="107"/>
    </row>
    <row r="37" spans="2:12" ht="12.75">
      <c r="B37" s="202" t="s">
        <v>94</v>
      </c>
      <c r="C37" s="205"/>
      <c r="D37" s="201"/>
      <c r="E37" s="483"/>
      <c r="F37" s="480"/>
      <c r="G37" s="276"/>
      <c r="H37" s="277"/>
      <c r="I37" s="277"/>
      <c r="J37" s="277"/>
      <c r="K37" s="278"/>
      <c r="L37" s="484"/>
    </row>
    <row r="38" spans="2:12" ht="12.75">
      <c r="B38" s="199" t="s">
        <v>23</v>
      </c>
      <c r="C38" s="70">
        <v>0</v>
      </c>
      <c r="D38" s="201" t="s">
        <v>85</v>
      </c>
      <c r="E38" s="483">
        <v>19</v>
      </c>
      <c r="F38" s="480"/>
      <c r="G38" s="276"/>
      <c r="H38" s="277"/>
      <c r="I38" s="277"/>
      <c r="J38" s="277"/>
      <c r="K38" s="278"/>
      <c r="L38" s="484"/>
    </row>
    <row r="39" spans="2:12" ht="12.75">
      <c r="B39" s="199" t="s">
        <v>30</v>
      </c>
      <c r="C39" s="70">
        <f>'ERR &amp; Sensitivity Analysis'!D11</f>
        <v>1</v>
      </c>
      <c r="D39" s="201" t="s">
        <v>84</v>
      </c>
      <c r="E39" s="483"/>
      <c r="F39" s="480"/>
      <c r="G39" s="276"/>
      <c r="H39" s="277"/>
      <c r="I39" s="277"/>
      <c r="J39" s="277"/>
      <c r="K39" s="278"/>
      <c r="L39" s="484"/>
    </row>
    <row r="40" spans="2:12" ht="12.75">
      <c r="B40" s="199" t="s">
        <v>59</v>
      </c>
      <c r="C40" s="208">
        <v>5</v>
      </c>
      <c r="D40" s="201" t="s">
        <v>9</v>
      </c>
      <c r="E40" s="483"/>
      <c r="F40" s="480"/>
      <c r="G40" s="276"/>
      <c r="H40" s="277"/>
      <c r="I40" s="277"/>
      <c r="J40" s="277"/>
      <c r="K40" s="278"/>
      <c r="L40" s="484"/>
    </row>
    <row r="41" spans="2:12" ht="12.75">
      <c r="B41" s="199" t="s">
        <v>60</v>
      </c>
      <c r="C41" s="208">
        <v>10</v>
      </c>
      <c r="D41" s="201" t="s">
        <v>9</v>
      </c>
      <c r="E41" s="483"/>
      <c r="F41" s="480"/>
      <c r="G41" s="276"/>
      <c r="H41" s="277"/>
      <c r="I41" s="277"/>
      <c r="J41" s="277"/>
      <c r="K41" s="278"/>
      <c r="L41" s="484"/>
    </row>
    <row r="42" spans="2:12" ht="12.75">
      <c r="B42" s="199"/>
      <c r="C42" s="200"/>
      <c r="D42" s="201"/>
      <c r="E42" s="483"/>
      <c r="F42" s="480"/>
      <c r="G42" s="276"/>
      <c r="H42" s="277"/>
      <c r="I42" s="277"/>
      <c r="J42" s="277"/>
      <c r="K42" s="278"/>
      <c r="L42" s="484"/>
    </row>
    <row r="43" spans="2:12" ht="12.75">
      <c r="B43" s="202" t="s">
        <v>80</v>
      </c>
      <c r="C43" s="200"/>
      <c r="D43" s="201"/>
      <c r="E43" s="483"/>
      <c r="F43" s="480"/>
      <c r="G43" s="276"/>
      <c r="H43" s="277"/>
      <c r="I43" s="277"/>
      <c r="J43" s="277"/>
      <c r="K43" s="278"/>
      <c r="L43" s="484"/>
    </row>
    <row r="44" spans="2:12" ht="12.75">
      <c r="B44" s="199" t="s">
        <v>15</v>
      </c>
      <c r="C44" s="205">
        <f>5015*115.2/111</f>
        <v>5204.756756756757</v>
      </c>
      <c r="D44" s="245" t="s">
        <v>235</v>
      </c>
      <c r="E44" s="483">
        <v>7</v>
      </c>
      <c r="F44" s="482"/>
      <c r="G44" s="276"/>
      <c r="H44" s="277"/>
      <c r="I44" s="277"/>
      <c r="J44" s="277"/>
      <c r="K44" s="281" t="s">
        <v>99</v>
      </c>
      <c r="L44" s="484"/>
    </row>
    <row r="45" spans="2:12" ht="12.75">
      <c r="B45" s="199" t="s">
        <v>63</v>
      </c>
      <c r="C45" s="209">
        <v>0</v>
      </c>
      <c r="D45" s="201" t="s">
        <v>88</v>
      </c>
      <c r="E45" s="483">
        <v>8</v>
      </c>
      <c r="F45" s="482"/>
      <c r="G45" s="276"/>
      <c r="H45" s="277"/>
      <c r="I45" s="277"/>
      <c r="J45" s="277"/>
      <c r="K45" s="278"/>
      <c r="L45" s="484"/>
    </row>
    <row r="46" spans="2:12" ht="12.75">
      <c r="B46" s="199" t="s">
        <v>29</v>
      </c>
      <c r="C46" s="70">
        <f>'ERR &amp; Sensitivity Analysis'!D10</f>
        <v>1</v>
      </c>
      <c r="D46" s="201" t="s">
        <v>89</v>
      </c>
      <c r="E46" s="483"/>
      <c r="F46" s="482"/>
      <c r="G46" s="276"/>
      <c r="H46" s="277"/>
      <c r="I46" s="277"/>
      <c r="J46" s="277"/>
      <c r="K46" s="278"/>
      <c r="L46" s="484"/>
    </row>
    <row r="47" spans="2:12" ht="12.75">
      <c r="B47" s="199"/>
      <c r="C47" s="70"/>
      <c r="D47" s="201"/>
      <c r="E47" s="483"/>
      <c r="F47" s="482"/>
      <c r="G47" s="276"/>
      <c r="H47" s="277"/>
      <c r="I47" s="277"/>
      <c r="J47" s="277"/>
      <c r="K47" s="278"/>
      <c r="L47" s="484"/>
    </row>
    <row r="48" spans="2:12" ht="12.75">
      <c r="B48" s="202" t="s">
        <v>93</v>
      </c>
      <c r="C48" s="70"/>
      <c r="D48" s="201"/>
      <c r="E48" s="483"/>
      <c r="F48" s="482"/>
      <c r="G48" s="279" t="s">
        <v>93</v>
      </c>
      <c r="H48" s="277"/>
      <c r="I48" s="277"/>
      <c r="J48" s="277"/>
      <c r="K48" s="278"/>
      <c r="L48" s="484"/>
    </row>
    <row r="49" spans="2:12" ht="12.75">
      <c r="B49" s="199" t="s">
        <v>105</v>
      </c>
      <c r="C49" s="204">
        <v>10000</v>
      </c>
      <c r="D49" s="210" t="s">
        <v>104</v>
      </c>
      <c r="E49" s="483"/>
      <c r="F49" s="482"/>
      <c r="G49" s="276" t="s">
        <v>47</v>
      </c>
      <c r="H49" s="282">
        <v>25000</v>
      </c>
      <c r="I49" s="277" t="s">
        <v>17</v>
      </c>
      <c r="J49" s="277"/>
      <c r="K49" s="278"/>
      <c r="L49" s="484"/>
    </row>
    <row r="50" spans="2:12" ht="12.75">
      <c r="B50" s="199"/>
      <c r="C50" s="70"/>
      <c r="D50" s="201"/>
      <c r="E50" s="483"/>
      <c r="F50" s="482"/>
      <c r="G50" s="276"/>
      <c r="H50" s="277"/>
      <c r="I50" s="277"/>
      <c r="J50" s="277"/>
      <c r="K50" s="278"/>
      <c r="L50" s="484"/>
    </row>
    <row r="51" spans="2:12" ht="12.75">
      <c r="B51" s="202" t="s">
        <v>82</v>
      </c>
      <c r="C51" s="70"/>
      <c r="D51" s="201"/>
      <c r="E51" s="483"/>
      <c r="F51" s="480"/>
      <c r="G51" s="279" t="s">
        <v>82</v>
      </c>
      <c r="H51" s="277"/>
      <c r="I51" s="277"/>
      <c r="J51" s="277"/>
      <c r="K51" s="278"/>
      <c r="L51" s="484"/>
    </row>
    <row r="52" spans="2:12" ht="12.75">
      <c r="B52" s="203" t="s">
        <v>132</v>
      </c>
      <c r="C52" s="70">
        <v>0.008771929824561403</v>
      </c>
      <c r="D52" s="201" t="s">
        <v>87</v>
      </c>
      <c r="E52" s="483">
        <v>9</v>
      </c>
      <c r="F52" s="480"/>
      <c r="G52" s="276" t="str">
        <f>B52</f>
        <v>Piped inside</v>
      </c>
      <c r="H52" s="316">
        <f>'Community Statistics'!E21</f>
        <v>0.23884412767276103</v>
      </c>
      <c r="I52" s="277" t="s">
        <v>87</v>
      </c>
      <c r="J52" s="277"/>
      <c r="K52" s="278"/>
      <c r="L52" s="484"/>
    </row>
    <row r="53" spans="2:12" ht="12.75">
      <c r="B53" s="203" t="s">
        <v>126</v>
      </c>
      <c r="C53" s="70">
        <v>0.20175438596491227</v>
      </c>
      <c r="D53" s="201" t="s">
        <v>87</v>
      </c>
      <c r="E53" s="483"/>
      <c r="F53" s="480"/>
      <c r="G53" s="276" t="str">
        <f aca="true" t="shared" si="0" ref="G53:G58">B53</f>
        <v>Piped outside</v>
      </c>
      <c r="H53" s="316">
        <f>'Community Statistics'!F21</f>
        <v>0.7611558723272388</v>
      </c>
      <c r="I53" s="277" t="s">
        <v>87</v>
      </c>
      <c r="J53" s="277"/>
      <c r="K53" s="278"/>
      <c r="L53" s="484"/>
    </row>
    <row r="54" spans="2:12" ht="12.75">
      <c r="B54" s="203" t="s">
        <v>127</v>
      </c>
      <c r="C54" s="70">
        <v>0.02631578947368421</v>
      </c>
      <c r="D54" s="201" t="s">
        <v>87</v>
      </c>
      <c r="E54" s="483"/>
      <c r="F54" s="480"/>
      <c r="G54" s="276" t="str">
        <f t="shared" si="0"/>
        <v>Tanker</v>
      </c>
      <c r="H54" s="316">
        <v>0</v>
      </c>
      <c r="I54" s="277" t="s">
        <v>87</v>
      </c>
      <c r="J54" s="277"/>
      <c r="K54" s="278"/>
      <c r="L54" s="484"/>
    </row>
    <row r="55" spans="2:12" ht="12.75">
      <c r="B55" s="203" t="s">
        <v>128</v>
      </c>
      <c r="C55" s="70">
        <v>0.008771929824561403</v>
      </c>
      <c r="D55" s="201" t="s">
        <v>87</v>
      </c>
      <c r="E55" s="483"/>
      <c r="F55" s="480"/>
      <c r="G55" s="276" t="str">
        <f t="shared" si="0"/>
        <v>Dam</v>
      </c>
      <c r="H55" s="316">
        <v>0</v>
      </c>
      <c r="I55" s="277" t="s">
        <v>87</v>
      </c>
      <c r="J55" s="277"/>
      <c r="K55" s="278"/>
      <c r="L55" s="484"/>
    </row>
    <row r="56" spans="2:12" ht="12.75">
      <c r="B56" s="203" t="s">
        <v>129</v>
      </c>
      <c r="C56" s="70">
        <v>0.03508771929824561</v>
      </c>
      <c r="D56" s="201" t="s">
        <v>87</v>
      </c>
      <c r="E56" s="483"/>
      <c r="F56" s="480"/>
      <c r="G56" s="276" t="str">
        <f t="shared" si="0"/>
        <v>River</v>
      </c>
      <c r="H56" s="316">
        <v>0</v>
      </c>
      <c r="I56" s="277" t="s">
        <v>87</v>
      </c>
      <c r="J56" s="277"/>
      <c r="K56" s="278"/>
      <c r="L56" s="484"/>
    </row>
    <row r="57" spans="2:12" ht="12.75">
      <c r="B57" s="203" t="s">
        <v>130</v>
      </c>
      <c r="C57" s="70">
        <v>0.12280701754385966</v>
      </c>
      <c r="D57" s="201" t="s">
        <v>87</v>
      </c>
      <c r="E57" s="483"/>
      <c r="F57" s="480"/>
      <c r="G57" s="276" t="str">
        <f t="shared" si="0"/>
        <v>Well</v>
      </c>
      <c r="H57" s="316">
        <v>0</v>
      </c>
      <c r="I57" s="277" t="s">
        <v>87</v>
      </c>
      <c r="J57" s="277"/>
      <c r="K57" s="278"/>
      <c r="L57" s="484"/>
    </row>
    <row r="58" spans="1:12" ht="12.75">
      <c r="A58" s="211"/>
      <c r="B58" s="203" t="s">
        <v>131</v>
      </c>
      <c r="C58" s="70">
        <v>0.5964912280701754</v>
      </c>
      <c r="D58" s="201" t="s">
        <v>87</v>
      </c>
      <c r="E58" s="483"/>
      <c r="F58" s="480"/>
      <c r="G58" s="276" t="str">
        <f t="shared" si="0"/>
        <v>Borehole</v>
      </c>
      <c r="H58" s="316">
        <v>0</v>
      </c>
      <c r="I58" s="277" t="s">
        <v>87</v>
      </c>
      <c r="J58" s="277"/>
      <c r="K58" s="278"/>
      <c r="L58" s="484"/>
    </row>
    <row r="59" spans="2:12" ht="12.75">
      <c r="B59" s="199"/>
      <c r="C59" s="246"/>
      <c r="D59" s="201"/>
      <c r="E59" s="483"/>
      <c r="F59" s="480"/>
      <c r="G59" s="283" t="s">
        <v>55</v>
      </c>
      <c r="H59" s="284">
        <f>SUM(H52:H58)</f>
        <v>0.9999999999999998</v>
      </c>
      <c r="I59" s="277"/>
      <c r="J59" s="277"/>
      <c r="K59" s="278"/>
      <c r="L59" s="484"/>
    </row>
    <row r="60" spans="2:12" ht="12.75">
      <c r="B60" s="202" t="s">
        <v>81</v>
      </c>
      <c r="C60" s="70"/>
      <c r="D60" s="201"/>
      <c r="E60" s="483"/>
      <c r="F60" s="480"/>
      <c r="G60" s="276"/>
      <c r="H60" s="277"/>
      <c r="I60" s="277"/>
      <c r="J60" s="277"/>
      <c r="K60" s="278"/>
      <c r="L60" s="484"/>
    </row>
    <row r="61" spans="2:12" ht="12.75">
      <c r="B61" s="203" t="s">
        <v>132</v>
      </c>
      <c r="C61" s="213">
        <f>429/$C$14</f>
        <v>31.2</v>
      </c>
      <c r="D61" s="201" t="s">
        <v>90</v>
      </c>
      <c r="E61" s="483">
        <v>10</v>
      </c>
      <c r="F61" s="480"/>
      <c r="G61" s="279" t="s">
        <v>203</v>
      </c>
      <c r="H61" s="323" t="s">
        <v>201</v>
      </c>
      <c r="I61" s="323" t="s">
        <v>142</v>
      </c>
      <c r="J61" s="323" t="s">
        <v>202</v>
      </c>
      <c r="K61" s="278"/>
      <c r="L61" s="484"/>
    </row>
    <row r="62" spans="2:12" ht="12.75">
      <c r="B62" s="203" t="s">
        <v>126</v>
      </c>
      <c r="C62" s="213">
        <f aca="true" t="shared" si="1" ref="C62:C67">429/$C$14</f>
        <v>31.2</v>
      </c>
      <c r="D62" s="201" t="s">
        <v>90</v>
      </c>
      <c r="E62" s="483"/>
      <c r="F62" s="480"/>
      <c r="G62" s="276" t="str">
        <f>G52</f>
        <v>Piped inside</v>
      </c>
      <c r="H62" s="284">
        <v>0.2</v>
      </c>
      <c r="I62" s="284">
        <v>0.1</v>
      </c>
      <c r="J62" s="284">
        <v>1</v>
      </c>
      <c r="K62" s="285"/>
      <c r="L62" s="485">
        <v>17</v>
      </c>
    </row>
    <row r="63" spans="2:12" ht="12.75">
      <c r="B63" s="203" t="s">
        <v>127</v>
      </c>
      <c r="C63" s="213">
        <f t="shared" si="1"/>
        <v>31.2</v>
      </c>
      <c r="D63" s="201" t="s">
        <v>90</v>
      </c>
      <c r="E63" s="483"/>
      <c r="F63" s="480"/>
      <c r="G63" s="276" t="str">
        <f aca="true" t="shared" si="2" ref="G63:G68">G53</f>
        <v>Piped outside</v>
      </c>
      <c r="H63" s="284">
        <v>0.8</v>
      </c>
      <c r="I63" s="284">
        <v>0.9</v>
      </c>
      <c r="J63" s="284">
        <v>0</v>
      </c>
      <c r="K63" s="285"/>
      <c r="L63" s="484"/>
    </row>
    <row r="64" spans="2:12" ht="12.75">
      <c r="B64" s="203" t="s">
        <v>128</v>
      </c>
      <c r="C64" s="213">
        <f t="shared" si="1"/>
        <v>31.2</v>
      </c>
      <c r="D64" s="201" t="s">
        <v>90</v>
      </c>
      <c r="E64" s="483"/>
      <c r="F64" s="480"/>
      <c r="G64" s="276" t="str">
        <f t="shared" si="2"/>
        <v>Tanker</v>
      </c>
      <c r="H64" s="284">
        <v>0</v>
      </c>
      <c r="I64" s="284">
        <v>0</v>
      </c>
      <c r="J64" s="284">
        <v>0</v>
      </c>
      <c r="K64" s="285"/>
      <c r="L64" s="484"/>
    </row>
    <row r="65" spans="2:12" ht="12.75">
      <c r="B65" s="203" t="s">
        <v>129</v>
      </c>
      <c r="C65" s="213">
        <f t="shared" si="1"/>
        <v>31.2</v>
      </c>
      <c r="D65" s="201" t="s">
        <v>90</v>
      </c>
      <c r="E65" s="483"/>
      <c r="F65" s="480"/>
      <c r="G65" s="276" t="str">
        <f t="shared" si="2"/>
        <v>Dam</v>
      </c>
      <c r="H65" s="284">
        <v>0</v>
      </c>
      <c r="I65" s="284">
        <v>0</v>
      </c>
      <c r="J65" s="284">
        <v>0</v>
      </c>
      <c r="K65" s="285"/>
      <c r="L65" s="484"/>
    </row>
    <row r="66" spans="2:12" ht="12.75">
      <c r="B66" s="203" t="s">
        <v>130</v>
      </c>
      <c r="C66" s="213">
        <f t="shared" si="1"/>
        <v>31.2</v>
      </c>
      <c r="D66" s="201" t="s">
        <v>90</v>
      </c>
      <c r="E66" s="483"/>
      <c r="F66" s="480"/>
      <c r="G66" s="276" t="str">
        <f t="shared" si="2"/>
        <v>River</v>
      </c>
      <c r="H66" s="284">
        <v>0</v>
      </c>
      <c r="I66" s="284">
        <v>0</v>
      </c>
      <c r="J66" s="284">
        <v>0</v>
      </c>
      <c r="K66" s="285"/>
      <c r="L66" s="484"/>
    </row>
    <row r="67" spans="2:12" ht="12.75">
      <c r="B67" s="203" t="s">
        <v>131</v>
      </c>
      <c r="C67" s="213">
        <f t="shared" si="1"/>
        <v>31.2</v>
      </c>
      <c r="D67" s="201" t="s">
        <v>90</v>
      </c>
      <c r="E67" s="483"/>
      <c r="F67" s="480"/>
      <c r="G67" s="276" t="str">
        <f t="shared" si="2"/>
        <v>Well</v>
      </c>
      <c r="H67" s="284">
        <v>0</v>
      </c>
      <c r="I67" s="284">
        <v>0</v>
      </c>
      <c r="J67" s="284">
        <v>0</v>
      </c>
      <c r="K67" s="285"/>
      <c r="L67" s="484"/>
    </row>
    <row r="68" spans="2:12" ht="12.75">
      <c r="B68" s="199"/>
      <c r="C68" s="200"/>
      <c r="D68" s="201"/>
      <c r="E68" s="483"/>
      <c r="F68" s="480"/>
      <c r="G68" s="276" t="str">
        <f t="shared" si="2"/>
        <v>Borehole</v>
      </c>
      <c r="H68" s="284">
        <v>0</v>
      </c>
      <c r="I68" s="284">
        <v>0</v>
      </c>
      <c r="J68" s="284">
        <v>0</v>
      </c>
      <c r="K68" s="278"/>
      <c r="L68" s="484"/>
    </row>
    <row r="69" spans="2:12" ht="12.75">
      <c r="B69" s="202" t="s">
        <v>92</v>
      </c>
      <c r="C69" s="200"/>
      <c r="D69" s="201"/>
      <c r="E69" s="483"/>
      <c r="F69" s="480"/>
      <c r="G69" s="283"/>
      <c r="H69" s="284"/>
      <c r="I69" s="277"/>
      <c r="J69" s="277"/>
      <c r="K69" s="278"/>
      <c r="L69" s="484"/>
    </row>
    <row r="70" spans="2:12" ht="14.25">
      <c r="B70" s="203" t="s">
        <v>132</v>
      </c>
      <c r="C70" s="206">
        <f>C77*(1/C23)*115.3/88.7*C22</f>
        <v>1.0693392559188273</v>
      </c>
      <c r="D70" s="245" t="s">
        <v>240</v>
      </c>
      <c r="E70" s="483">
        <v>11</v>
      </c>
      <c r="F70" s="480"/>
      <c r="G70" s="286"/>
      <c r="H70" s="277"/>
      <c r="I70" s="277"/>
      <c r="J70" s="277"/>
      <c r="K70" s="278"/>
      <c r="L70" s="484"/>
    </row>
    <row r="71" spans="2:12" ht="14.25">
      <c r="B71" s="203" t="s">
        <v>126</v>
      </c>
      <c r="C71" s="206">
        <f>C77*(1/C23)*115.3/88.7*C22</f>
        <v>1.0693392559188273</v>
      </c>
      <c r="D71" s="245" t="s">
        <v>240</v>
      </c>
      <c r="E71" s="483"/>
      <c r="F71" s="480"/>
      <c r="G71" s="276"/>
      <c r="H71" s="277"/>
      <c r="I71" s="277"/>
      <c r="J71" s="277"/>
      <c r="K71" s="278"/>
      <c r="L71" s="484"/>
    </row>
    <row r="72" spans="2:12" ht="14.25">
      <c r="B72" s="203" t="s">
        <v>127</v>
      </c>
      <c r="C72" s="206">
        <v>0</v>
      </c>
      <c r="D72" s="245" t="s">
        <v>240</v>
      </c>
      <c r="E72" s="483"/>
      <c r="F72" s="480"/>
      <c r="G72" s="276"/>
      <c r="H72" s="277"/>
      <c r="I72" s="277"/>
      <c r="J72" s="277"/>
      <c r="K72" s="278"/>
      <c r="L72" s="484"/>
    </row>
    <row r="73" spans="2:12" ht="14.25">
      <c r="B73" s="203" t="s">
        <v>128</v>
      </c>
      <c r="C73" s="206">
        <v>0</v>
      </c>
      <c r="D73" s="245" t="s">
        <v>240</v>
      </c>
      <c r="E73" s="483"/>
      <c r="F73" s="480"/>
      <c r="G73" s="276"/>
      <c r="H73" s="277"/>
      <c r="I73" s="277"/>
      <c r="J73" s="277"/>
      <c r="K73" s="278"/>
      <c r="L73" s="484"/>
    </row>
    <row r="74" spans="2:12" ht="14.25">
      <c r="B74" s="203" t="s">
        <v>129</v>
      </c>
      <c r="C74" s="206">
        <v>0</v>
      </c>
      <c r="D74" s="245" t="s">
        <v>240</v>
      </c>
      <c r="E74" s="483"/>
      <c r="F74" s="480"/>
      <c r="G74" s="276"/>
      <c r="H74" s="277"/>
      <c r="I74" s="277"/>
      <c r="J74" s="277"/>
      <c r="K74" s="278"/>
      <c r="L74" s="484"/>
    </row>
    <row r="75" spans="2:12" ht="14.25">
      <c r="B75" s="203" t="s">
        <v>130</v>
      </c>
      <c r="C75" s="206">
        <v>0</v>
      </c>
      <c r="D75" s="245" t="s">
        <v>240</v>
      </c>
      <c r="E75" s="483"/>
      <c r="F75" s="480"/>
      <c r="G75" s="276"/>
      <c r="H75" s="277"/>
      <c r="I75" s="277"/>
      <c r="J75" s="277"/>
      <c r="K75" s="278"/>
      <c r="L75" s="484"/>
    </row>
    <row r="76" spans="2:12" ht="14.25">
      <c r="B76" s="203" t="s">
        <v>131</v>
      </c>
      <c r="C76" s="206">
        <f>C22*0.67</f>
        <v>0.34840000000000004</v>
      </c>
      <c r="D76" s="245" t="s">
        <v>240</v>
      </c>
      <c r="E76" s="483"/>
      <c r="F76" s="480"/>
      <c r="G76" s="276"/>
      <c r="H76" s="277"/>
      <c r="I76" s="277"/>
      <c r="J76" s="277"/>
      <c r="K76" s="278"/>
      <c r="L76" s="484"/>
    </row>
    <row r="77" spans="2:12" ht="14.25">
      <c r="B77" s="203" t="s">
        <v>269</v>
      </c>
      <c r="C77" s="348">
        <v>1.13</v>
      </c>
      <c r="D77" s="245" t="s">
        <v>270</v>
      </c>
      <c r="E77" s="483"/>
      <c r="F77" s="480"/>
      <c r="G77" s="276"/>
      <c r="H77" s="277"/>
      <c r="I77" s="277"/>
      <c r="J77" s="277"/>
      <c r="K77" s="278"/>
      <c r="L77" s="484"/>
    </row>
    <row r="78" spans="2:12" ht="12.75">
      <c r="B78" s="203"/>
      <c r="C78" s="200"/>
      <c r="D78" s="201"/>
      <c r="E78" s="483"/>
      <c r="F78" s="480"/>
      <c r="G78" s="276"/>
      <c r="H78" s="277"/>
      <c r="I78" s="277"/>
      <c r="J78" s="277"/>
      <c r="K78" s="278"/>
      <c r="L78" s="484"/>
    </row>
    <row r="79" spans="2:12" ht="12.75">
      <c r="B79" s="202" t="s">
        <v>225</v>
      </c>
      <c r="C79" s="200"/>
      <c r="D79" s="201"/>
      <c r="E79" s="483"/>
      <c r="F79" s="480"/>
      <c r="G79" s="276"/>
      <c r="H79" s="277"/>
      <c r="I79" s="277"/>
      <c r="J79" s="277"/>
      <c r="K79" s="278"/>
      <c r="L79" s="484"/>
    </row>
    <row r="80" spans="2:12" ht="12.75">
      <c r="B80" s="203" t="s">
        <v>224</v>
      </c>
      <c r="C80" s="336">
        <v>0.496</v>
      </c>
      <c r="D80" s="201"/>
      <c r="E80" s="483">
        <v>12</v>
      </c>
      <c r="F80" s="480"/>
      <c r="G80" s="276"/>
      <c r="H80" s="277"/>
      <c r="I80" s="277"/>
      <c r="J80" s="277"/>
      <c r="K80" s="278"/>
      <c r="L80" s="484"/>
    </row>
    <row r="81" spans="2:12" ht="12.75">
      <c r="B81" s="203" t="s">
        <v>226</v>
      </c>
      <c r="C81" s="336">
        <v>0.496</v>
      </c>
      <c r="D81" s="201"/>
      <c r="E81" s="483"/>
      <c r="F81" s="480"/>
      <c r="G81" s="276"/>
      <c r="H81" s="277"/>
      <c r="I81" s="277"/>
      <c r="J81" s="277"/>
      <c r="K81" s="278"/>
      <c r="L81" s="484"/>
    </row>
    <row r="82" spans="2:12" ht="12.75">
      <c r="B82" s="203"/>
      <c r="C82" s="200"/>
      <c r="D82" s="201"/>
      <c r="E82" s="483"/>
      <c r="F82" s="480"/>
      <c r="G82" s="276"/>
      <c r="H82" s="341"/>
      <c r="I82" s="277"/>
      <c r="J82" s="277"/>
      <c r="K82" s="278"/>
      <c r="L82" s="484"/>
    </row>
    <row r="83" spans="2:12" ht="12.75">
      <c r="B83" s="202" t="s">
        <v>211</v>
      </c>
      <c r="C83" s="200"/>
      <c r="D83" s="201"/>
      <c r="E83" s="483"/>
      <c r="F83" s="480"/>
      <c r="G83" s="276"/>
      <c r="H83" s="277"/>
      <c r="I83" s="277"/>
      <c r="J83" s="277"/>
      <c r="K83" s="278"/>
      <c r="L83" s="487"/>
    </row>
    <row r="84" spans="2:12" ht="12.75">
      <c r="B84" s="203" t="s">
        <v>192</v>
      </c>
      <c r="C84" s="200">
        <v>1.66</v>
      </c>
      <c r="D84" s="245" t="s">
        <v>193</v>
      </c>
      <c r="E84" s="483"/>
      <c r="F84" s="480"/>
      <c r="G84" s="276"/>
      <c r="H84" s="277"/>
      <c r="I84" s="277"/>
      <c r="J84" s="277"/>
      <c r="K84" s="278"/>
      <c r="L84" s="484"/>
    </row>
    <row r="85" spans="2:12" ht="12.75">
      <c r="B85" s="203" t="s">
        <v>194</v>
      </c>
      <c r="C85" s="200">
        <v>1.03</v>
      </c>
      <c r="D85" s="245" t="s">
        <v>193</v>
      </c>
      <c r="E85" s="483"/>
      <c r="F85" s="480"/>
      <c r="G85" s="276"/>
      <c r="H85" s="277"/>
      <c r="I85" s="277"/>
      <c r="J85" s="277"/>
      <c r="K85" s="278"/>
      <c r="L85" s="484"/>
    </row>
    <row r="86" spans="2:12" ht="12.75">
      <c r="B86" s="203" t="s">
        <v>198</v>
      </c>
      <c r="C86" s="349">
        <v>72.67</v>
      </c>
      <c r="D86" s="245" t="s">
        <v>200</v>
      </c>
      <c r="E86" s="483">
        <v>13</v>
      </c>
      <c r="F86" s="480"/>
      <c r="G86" s="276"/>
      <c r="H86" s="277"/>
      <c r="I86" s="277"/>
      <c r="J86" s="277"/>
      <c r="K86" s="278"/>
      <c r="L86" s="484"/>
    </row>
    <row r="87" spans="2:12" ht="12.75">
      <c r="B87" s="203" t="s">
        <v>199</v>
      </c>
      <c r="C87" s="350">
        <f>'ERR &amp; Sensitivity Analysis'!G15</f>
        <v>31.67</v>
      </c>
      <c r="D87" s="245" t="s">
        <v>200</v>
      </c>
      <c r="E87" s="483">
        <v>14</v>
      </c>
      <c r="F87" s="480"/>
      <c r="G87" s="276"/>
      <c r="H87" s="277"/>
      <c r="I87" s="277"/>
      <c r="J87" s="277"/>
      <c r="K87" s="278"/>
      <c r="L87" s="484"/>
    </row>
    <row r="88" spans="2:12" ht="12.75">
      <c r="B88" s="203" t="s">
        <v>197</v>
      </c>
      <c r="C88" s="349">
        <v>20</v>
      </c>
      <c r="D88" s="245" t="s">
        <v>52</v>
      </c>
      <c r="E88" s="483">
        <v>15</v>
      </c>
      <c r="F88" s="480"/>
      <c r="G88" s="276"/>
      <c r="H88" s="277"/>
      <c r="I88" s="277"/>
      <c r="J88" s="277"/>
      <c r="K88" s="278"/>
      <c r="L88" s="484"/>
    </row>
    <row r="89" spans="2:12" ht="12.75">
      <c r="B89" s="203" t="s">
        <v>195</v>
      </c>
      <c r="C89" s="313">
        <f>C86*SUMPRODUCT(C61:C67,C52:C58)*C14/C88/60</f>
        <v>25.979525</v>
      </c>
      <c r="D89" s="245" t="s">
        <v>48</v>
      </c>
      <c r="E89" s="483"/>
      <c r="F89" s="480"/>
      <c r="G89" s="276"/>
      <c r="H89" s="277"/>
      <c r="I89" s="277"/>
      <c r="J89" s="277"/>
      <c r="K89" s="278"/>
      <c r="L89" s="484"/>
    </row>
    <row r="90" spans="2:12" ht="12.75">
      <c r="B90" s="324" t="s">
        <v>196</v>
      </c>
      <c r="C90" s="325">
        <f>C87*SUMPRODUCT(C61:C67,H52:H58)*C14/C88/60</f>
        <v>11.322024999999998</v>
      </c>
      <c r="D90" s="326" t="s">
        <v>48</v>
      </c>
      <c r="E90" s="483"/>
      <c r="F90" s="480"/>
      <c r="G90" s="287"/>
      <c r="H90" s="288"/>
      <c r="I90" s="288"/>
      <c r="J90" s="288"/>
      <c r="K90" s="289"/>
      <c r="L90" s="484"/>
    </row>
    <row r="91" spans="2:11" ht="12.75">
      <c r="B91" s="191" t="s">
        <v>136</v>
      </c>
      <c r="C91" s="212" t="s">
        <v>204</v>
      </c>
      <c r="E91" s="480">
        <v>16</v>
      </c>
      <c r="F91" s="480"/>
      <c r="K91" s="191" t="s">
        <v>99</v>
      </c>
    </row>
    <row r="92" spans="2:3" ht="12.75">
      <c r="B92" s="191" t="s">
        <v>138</v>
      </c>
      <c r="C92" s="191" t="s">
        <v>139</v>
      </c>
    </row>
    <row r="93" spans="2:7" ht="12.75">
      <c r="B93" s="214" t="s">
        <v>140</v>
      </c>
      <c r="C93" s="214" t="s">
        <v>141</v>
      </c>
      <c r="D93" s="214"/>
      <c r="E93" s="214"/>
      <c r="F93" s="214"/>
      <c r="G93" s="214"/>
    </row>
    <row r="94" spans="2:7" ht="12.75">
      <c r="B94" s="515" t="s">
        <v>28</v>
      </c>
      <c r="C94" s="515"/>
      <c r="D94" s="515"/>
      <c r="E94" s="71"/>
      <c r="F94" s="71"/>
      <c r="G94" s="71"/>
    </row>
    <row r="95" spans="2:7" ht="12.75">
      <c r="B95" s="515"/>
      <c r="C95" s="515"/>
      <c r="D95" s="515"/>
      <c r="E95" s="71"/>
      <c r="F95" s="71"/>
      <c r="G95" s="71"/>
    </row>
    <row r="96" spans="2:7" ht="12.75">
      <c r="B96" s="515"/>
      <c r="C96" s="515"/>
      <c r="D96" s="515"/>
      <c r="E96" s="214"/>
      <c r="F96" s="214"/>
      <c r="G96" s="214"/>
    </row>
    <row r="97" spans="2:7" ht="12.75">
      <c r="B97" s="214"/>
      <c r="C97" s="214"/>
      <c r="D97" s="214"/>
      <c r="E97" s="214"/>
      <c r="F97" s="214"/>
      <c r="G97" s="214"/>
    </row>
    <row r="98" spans="2:7" ht="42.75" customHeight="1">
      <c r="B98" s="516" t="s">
        <v>100</v>
      </c>
      <c r="C98" s="516"/>
      <c r="D98" s="516"/>
      <c r="E98" s="214"/>
      <c r="F98" s="214"/>
      <c r="G98" s="214"/>
    </row>
    <row r="99" spans="2:7" ht="12.75">
      <c r="B99" s="215" t="s">
        <v>99</v>
      </c>
      <c r="C99" s="215"/>
      <c r="D99" s="215"/>
      <c r="E99" s="214"/>
      <c r="F99" s="214"/>
      <c r="G99" s="214"/>
    </row>
    <row r="100" spans="2:7" ht="51" customHeight="1">
      <c r="B100" s="516" t="s">
        <v>101</v>
      </c>
      <c r="C100" s="516"/>
      <c r="D100" s="516"/>
      <c r="E100" s="214"/>
      <c r="F100" s="214"/>
      <c r="G100" s="214"/>
    </row>
    <row r="103" spans="2:3" ht="12.75">
      <c r="B103" s="302" t="s">
        <v>82</v>
      </c>
      <c r="C103" s="272"/>
    </row>
    <row r="104" spans="2:3" ht="12.75">
      <c r="B104" s="203" t="s">
        <v>132</v>
      </c>
      <c r="C104" s="303">
        <v>0.008771929824561403</v>
      </c>
    </row>
    <row r="105" spans="2:3" ht="12.75">
      <c r="B105" s="203" t="s">
        <v>126</v>
      </c>
      <c r="C105" s="303">
        <v>0.20175438596491227</v>
      </c>
    </row>
    <row r="106" spans="2:3" ht="12.75">
      <c r="B106" s="203" t="s">
        <v>127</v>
      </c>
      <c r="C106" s="303">
        <v>0.02631578947368421</v>
      </c>
    </row>
    <row r="107" spans="2:3" ht="12.75">
      <c r="B107" s="203" t="s">
        <v>128</v>
      </c>
      <c r="C107" s="303">
        <v>0.008771929824561403</v>
      </c>
    </row>
    <row r="108" spans="2:3" ht="12.75">
      <c r="B108" s="203" t="s">
        <v>129</v>
      </c>
      <c r="C108" s="303">
        <v>0.03508771929824561</v>
      </c>
    </row>
    <row r="109" spans="2:3" ht="12.75">
      <c r="B109" s="203" t="s">
        <v>130</v>
      </c>
      <c r="C109" s="303">
        <v>0.12280701754385966</v>
      </c>
    </row>
    <row r="110" spans="2:3" ht="12.75">
      <c r="B110" s="304" t="s">
        <v>131</v>
      </c>
      <c r="C110" s="305">
        <v>0.5964912280701754</v>
      </c>
    </row>
    <row r="111" spans="2:4" ht="12.75">
      <c r="B111" s="212" t="s">
        <v>172</v>
      </c>
      <c r="D111" s="243"/>
    </row>
  </sheetData>
  <sheetProtection/>
  <mergeCells count="4">
    <mergeCell ref="B94:D96"/>
    <mergeCell ref="B98:D98"/>
    <mergeCell ref="B100:D100"/>
    <mergeCell ref="B6:I6"/>
  </mergeCells>
  <printOptions/>
  <pageMargins left="0.75" right="0.75" top="1" bottom="1" header="0.5" footer="0.5"/>
  <pageSetup fitToHeight="2" fitToWidth="1" horizontalDpi="600" verticalDpi="600" orientation="landscape" scale="70" r:id="rId2"/>
  <rowBreaks count="1" manualBreakCount="1">
    <brk id="68"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Y180"/>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48.421875" style="11" customWidth="1"/>
    <col min="2" max="2" width="18.140625" style="11" bestFit="1" customWidth="1"/>
    <col min="3" max="10" width="15.00390625" style="11" bestFit="1" customWidth="1"/>
    <col min="11" max="11" width="16.28125" style="11" customWidth="1"/>
    <col min="12" max="23" width="15.00390625" style="11" bestFit="1" customWidth="1"/>
    <col min="24" max="16384" width="9.140625" style="11" customWidth="1"/>
  </cols>
  <sheetData>
    <row r="1" ht="12.75"/>
    <row r="2" ht="12.75">
      <c r="D2" s="356" t="s">
        <v>348</v>
      </c>
    </row>
    <row r="3" spans="2:23" s="45" customFormat="1" ht="13.5" thickBot="1">
      <c r="B3" s="45" t="s">
        <v>9</v>
      </c>
      <c r="C3" s="44">
        <v>0</v>
      </c>
      <c r="D3" s="44">
        <v>1</v>
      </c>
      <c r="E3" s="44">
        <v>2</v>
      </c>
      <c r="F3" s="44">
        <v>3</v>
      </c>
      <c r="G3" s="44">
        <v>4</v>
      </c>
      <c r="H3" s="44">
        <v>5</v>
      </c>
      <c r="I3" s="44">
        <v>6</v>
      </c>
      <c r="J3" s="44">
        <v>7</v>
      </c>
      <c r="K3" s="44">
        <v>8</v>
      </c>
      <c r="L3" s="44">
        <v>9</v>
      </c>
      <c r="M3" s="44">
        <v>10</v>
      </c>
      <c r="N3" s="44">
        <v>11</v>
      </c>
      <c r="O3" s="44">
        <v>12</v>
      </c>
      <c r="P3" s="44">
        <v>13</v>
      </c>
      <c r="Q3" s="44">
        <v>14</v>
      </c>
      <c r="R3" s="44">
        <v>15</v>
      </c>
      <c r="S3" s="44">
        <v>16</v>
      </c>
      <c r="T3" s="44">
        <v>17</v>
      </c>
      <c r="U3" s="44">
        <v>18</v>
      </c>
      <c r="V3" s="44">
        <v>19</v>
      </c>
      <c r="W3" s="44">
        <v>20</v>
      </c>
    </row>
    <row r="4" spans="1:23" ht="18">
      <c r="A4" s="37" t="s">
        <v>51</v>
      </c>
      <c r="B4" s="38"/>
      <c r="C4" s="39"/>
      <c r="D4" s="39"/>
      <c r="E4" s="39"/>
      <c r="F4" s="39"/>
      <c r="G4" s="39"/>
      <c r="H4" s="39"/>
      <c r="I4" s="39"/>
      <c r="J4" s="39"/>
      <c r="K4" s="39"/>
      <c r="L4" s="39"/>
      <c r="M4" s="39"/>
      <c r="N4" s="39"/>
      <c r="O4" s="39"/>
      <c r="P4" s="39"/>
      <c r="Q4" s="39"/>
      <c r="R4" s="39"/>
      <c r="S4" s="39"/>
      <c r="T4" s="39"/>
      <c r="U4" s="39"/>
      <c r="V4" s="39"/>
      <c r="W4" s="40"/>
    </row>
    <row r="5" spans="1:23" ht="12.75">
      <c r="A5" s="12"/>
      <c r="C5" s="56"/>
      <c r="H5" s="49"/>
      <c r="M5" s="49"/>
      <c r="R5" s="49"/>
      <c r="W5" s="13"/>
    </row>
    <row r="6" spans="1:23" ht="12.75">
      <c r="A6" s="22" t="s">
        <v>56</v>
      </c>
      <c r="B6" s="19"/>
      <c r="C6" s="18"/>
      <c r="H6" s="50"/>
      <c r="M6" s="50"/>
      <c r="R6" s="50"/>
      <c r="W6" s="13"/>
    </row>
    <row r="7" spans="1:23" ht="12.75">
      <c r="A7" s="203" t="s">
        <v>132</v>
      </c>
      <c r="B7" s="11" t="s">
        <v>17</v>
      </c>
      <c r="C7" s="57">
        <f>'User costs'!B163</f>
        <v>12.364912280701754</v>
      </c>
      <c r="D7" s="14">
        <f>D$14*'User costs'!$E163</f>
        <v>12.660433684210526</v>
      </c>
      <c r="E7" s="14">
        <f>E$14*'User costs'!$E163</f>
        <v>12.963018049263157</v>
      </c>
      <c r="F7" s="14">
        <f>F$14*'User costs'!$E163</f>
        <v>13.272834180640547</v>
      </c>
      <c r="G7" s="14">
        <f>G$14*'User costs'!$E163</f>
        <v>13.590054917557856</v>
      </c>
      <c r="H7" s="51">
        <f>H$14*'User costs'!$E163</f>
        <v>13.914857230087488</v>
      </c>
      <c r="I7" s="14">
        <f>I$14*'User costs'!$E163</f>
        <v>14.24742231788658</v>
      </c>
      <c r="J7" s="14">
        <f>J$14*'User costs'!$E163</f>
        <v>14.587935711284068</v>
      </c>
      <c r="K7" s="14">
        <f>K$14*'User costs'!$E163</f>
        <v>14.936587374783757</v>
      </c>
      <c r="L7" s="14">
        <f>L$14*'User costs'!$E163</f>
        <v>15.293571813041089</v>
      </c>
      <c r="M7" s="51">
        <f>M$14*'User costs'!$E163</f>
        <v>15.659088179372771</v>
      </c>
      <c r="N7" s="14">
        <f>N$14*'User costs'!$E163</f>
        <v>16.03334038685978</v>
      </c>
      <c r="O7" s="14">
        <f>O$14*'User costs'!$E163</f>
        <v>16.416537222105728</v>
      </c>
      <c r="P7" s="14">
        <f>P$14*'User costs'!$E163</f>
        <v>16.808892461714056</v>
      </c>
      <c r="Q7" s="14">
        <f>Q$14*'User costs'!$E163</f>
        <v>17.21062499154902</v>
      </c>
      <c r="R7" s="51">
        <f>R$14*'User costs'!$E163</f>
        <v>17.621958928847043</v>
      </c>
      <c r="S7" s="14">
        <f>S$14*'User costs'!$E163</f>
        <v>18.043123747246486</v>
      </c>
      <c r="T7" s="14">
        <f>T$14*'User costs'!$E163</f>
        <v>18.474354404805677</v>
      </c>
      <c r="U7" s="14">
        <f>U$14*'User costs'!$E163</f>
        <v>18.915891475080528</v>
      </c>
      <c r="V7" s="14">
        <f>V$14*'User costs'!$E163</f>
        <v>19.367981281334952</v>
      </c>
      <c r="W7" s="25">
        <f>W$14*'User costs'!$E163</f>
        <v>19.830876033958855</v>
      </c>
    </row>
    <row r="8" spans="1:23" ht="12.75">
      <c r="A8" s="203" t="s">
        <v>126</v>
      </c>
      <c r="B8" s="11" t="s">
        <v>17</v>
      </c>
      <c r="C8" s="57">
        <f>'User costs'!B164</f>
        <v>284.3929824561403</v>
      </c>
      <c r="D8" s="14">
        <f>D$14*'User costs'!$E164</f>
        <v>291.1899747368421</v>
      </c>
      <c r="E8" s="14">
        <f>E$14*'User costs'!$E164</f>
        <v>298.1494151330526</v>
      </c>
      <c r="F8" s="14">
        <f>F$14*'User costs'!$E164</f>
        <v>305.2751861547326</v>
      </c>
      <c r="G8" s="14">
        <f>G$14*'User costs'!$E164</f>
        <v>312.5712631038307</v>
      </c>
      <c r="H8" s="51">
        <f>H$14*'User costs'!$E164</f>
        <v>320.04171629201227</v>
      </c>
      <c r="I8" s="14">
        <f>I$14*'User costs'!$E164</f>
        <v>327.69071331139133</v>
      </c>
      <c r="J8" s="14">
        <f>J$14*'User costs'!$E164</f>
        <v>335.5225213595336</v>
      </c>
      <c r="K8" s="14">
        <f>K$14*'User costs'!$E164</f>
        <v>343.54150962002643</v>
      </c>
      <c r="L8" s="14">
        <f>L$14*'User costs'!$E164</f>
        <v>351.75215169994505</v>
      </c>
      <c r="M8" s="51">
        <f>M$14*'User costs'!$E164</f>
        <v>360.15902812557374</v>
      </c>
      <c r="N8" s="14">
        <f>N$14*'User costs'!$E164</f>
        <v>368.76682889777493</v>
      </c>
      <c r="O8" s="14">
        <f>O$14*'User costs'!$E164</f>
        <v>377.5803561084317</v>
      </c>
      <c r="P8" s="14">
        <f>P$14*'User costs'!$E164</f>
        <v>386.6045266194232</v>
      </c>
      <c r="Q8" s="14">
        <f>Q$14*'User costs'!$E164</f>
        <v>395.84437480562747</v>
      </c>
      <c r="R8" s="51">
        <f>R$14*'User costs'!$E164</f>
        <v>405.305055363482</v>
      </c>
      <c r="S8" s="14">
        <f>S$14*'User costs'!$E164</f>
        <v>414.9918461866692</v>
      </c>
      <c r="T8" s="14">
        <f>T$14*'User costs'!$E164</f>
        <v>424.9101513105305</v>
      </c>
      <c r="U8" s="14">
        <f>U$14*'User costs'!$E164</f>
        <v>435.06550392685216</v>
      </c>
      <c r="V8" s="14">
        <f>V$14*'User costs'!$E164</f>
        <v>445.46356947070393</v>
      </c>
      <c r="W8" s="25">
        <f>W$14*'User costs'!$E164</f>
        <v>456.11014878105374</v>
      </c>
    </row>
    <row r="9" spans="1:23" ht="12.75">
      <c r="A9" s="203" t="s">
        <v>127</v>
      </c>
      <c r="B9" s="11" t="s">
        <v>17</v>
      </c>
      <c r="C9" s="57">
        <f>'User costs'!B165</f>
        <v>37.094736842105256</v>
      </c>
      <c r="D9" s="14">
        <f>D$14*'User costs'!$E165</f>
        <v>37.98130105263158</v>
      </c>
      <c r="E9" s="14">
        <f>E$14*'User costs'!$E165</f>
        <v>38.88905414778947</v>
      </c>
      <c r="F9" s="14">
        <f>F$14*'User costs'!$E165</f>
        <v>39.81850254192164</v>
      </c>
      <c r="G9" s="14">
        <f>G$14*'User costs'!$E165</f>
        <v>40.770164752673566</v>
      </c>
      <c r="H9" s="51">
        <f>H$14*'User costs'!$E165</f>
        <v>41.74457169026247</v>
      </c>
      <c r="I9" s="14">
        <f>I$14*'User costs'!$E165</f>
        <v>42.742266953659744</v>
      </c>
      <c r="J9" s="14">
        <f>J$14*'User costs'!$E165</f>
        <v>43.763807133852204</v>
      </c>
      <c r="K9" s="14">
        <f>K$14*'User costs'!$E165</f>
        <v>44.80976212435127</v>
      </c>
      <c r="L9" s="14">
        <f>L$14*'User costs'!$E165</f>
        <v>45.880715439123264</v>
      </c>
      <c r="M9" s="51">
        <f>M$14*'User costs'!$E165</f>
        <v>46.97726453811831</v>
      </c>
      <c r="N9" s="14">
        <f>N$14*'User costs'!$E165</f>
        <v>48.10002116057934</v>
      </c>
      <c r="O9" s="14">
        <f>O$14*'User costs'!$E165</f>
        <v>49.249611666317186</v>
      </c>
      <c r="P9" s="14">
        <f>P$14*'User costs'!$E165</f>
        <v>50.42667738514216</v>
      </c>
      <c r="Q9" s="14">
        <f>Q$14*'User costs'!$E165</f>
        <v>51.63187497464706</v>
      </c>
      <c r="R9" s="51">
        <f>R$14*'User costs'!$E165</f>
        <v>52.86587678654113</v>
      </c>
      <c r="S9" s="14">
        <f>S$14*'User costs'!$E165</f>
        <v>54.129371241739456</v>
      </c>
      <c r="T9" s="14">
        <f>T$14*'User costs'!$E165</f>
        <v>55.42306321441703</v>
      </c>
      <c r="U9" s="14">
        <f>U$14*'User costs'!$E165</f>
        <v>56.74767442524159</v>
      </c>
      <c r="V9" s="14">
        <f>V$14*'User costs'!$E165</f>
        <v>58.10394384400486</v>
      </c>
      <c r="W9" s="25">
        <f>W$14*'User costs'!$E165</f>
        <v>59.49262810187657</v>
      </c>
    </row>
    <row r="10" spans="1:23" ht="12.75">
      <c r="A10" s="203" t="s">
        <v>128</v>
      </c>
      <c r="B10" s="11" t="s">
        <v>17</v>
      </c>
      <c r="C10" s="57">
        <f>'User costs'!B166</f>
        <v>12.364912280701754</v>
      </c>
      <c r="D10" s="14">
        <f>D$14*'User costs'!$E166</f>
        <v>12.660433684210526</v>
      </c>
      <c r="E10" s="14">
        <f>E$14*'User costs'!$E166</f>
        <v>12.963018049263157</v>
      </c>
      <c r="F10" s="14">
        <f>F$14*'User costs'!$E166</f>
        <v>13.272834180640547</v>
      </c>
      <c r="G10" s="14">
        <f>G$14*'User costs'!$E166</f>
        <v>13.590054917557856</v>
      </c>
      <c r="H10" s="51">
        <f>H$14*'User costs'!$E166</f>
        <v>13.914857230087488</v>
      </c>
      <c r="I10" s="14">
        <f>I$14*'User costs'!$E166</f>
        <v>14.24742231788658</v>
      </c>
      <c r="J10" s="14">
        <f>J$14*'User costs'!$E166</f>
        <v>14.587935711284068</v>
      </c>
      <c r="K10" s="14">
        <f>K$14*'User costs'!$E166</f>
        <v>14.936587374783757</v>
      </c>
      <c r="L10" s="14">
        <f>L$14*'User costs'!$E166</f>
        <v>15.293571813041089</v>
      </c>
      <c r="M10" s="51">
        <f>M$14*'User costs'!$E166</f>
        <v>15.659088179372771</v>
      </c>
      <c r="N10" s="14">
        <f>N$14*'User costs'!$E166</f>
        <v>16.03334038685978</v>
      </c>
      <c r="O10" s="14">
        <f>O$14*'User costs'!$E166</f>
        <v>16.416537222105728</v>
      </c>
      <c r="P10" s="14">
        <f>P$14*'User costs'!$E166</f>
        <v>16.808892461714056</v>
      </c>
      <c r="Q10" s="14">
        <f>Q$14*'User costs'!$E166</f>
        <v>17.21062499154902</v>
      </c>
      <c r="R10" s="51">
        <f>R$14*'User costs'!$E166</f>
        <v>17.621958928847043</v>
      </c>
      <c r="S10" s="14">
        <f>S$14*'User costs'!$E166</f>
        <v>18.043123747246486</v>
      </c>
      <c r="T10" s="14">
        <f>T$14*'User costs'!$E166</f>
        <v>18.474354404805677</v>
      </c>
      <c r="U10" s="14">
        <f>U$14*'User costs'!$E166</f>
        <v>18.915891475080528</v>
      </c>
      <c r="V10" s="14">
        <f>V$14*'User costs'!$E166</f>
        <v>19.367981281334952</v>
      </c>
      <c r="W10" s="25">
        <f>W$14*'User costs'!$E166</f>
        <v>19.830876033958855</v>
      </c>
    </row>
    <row r="11" spans="1:23" ht="12.75">
      <c r="A11" s="203" t="s">
        <v>129</v>
      </c>
      <c r="B11" s="11" t="s">
        <v>17</v>
      </c>
      <c r="C11" s="57">
        <f>'User costs'!B167</f>
        <v>49.459649122807015</v>
      </c>
      <c r="D11" s="14">
        <f>D$14*'User costs'!$E167</f>
        <v>50.6417347368421</v>
      </c>
      <c r="E11" s="14">
        <f>E$14*'User costs'!$E167</f>
        <v>51.85207219705263</v>
      </c>
      <c r="F11" s="14">
        <f>F$14*'User costs'!$E167</f>
        <v>53.09133672256219</v>
      </c>
      <c r="G11" s="14">
        <f>G$14*'User costs'!$E167</f>
        <v>54.36021967023142</v>
      </c>
      <c r="H11" s="51">
        <f>H$14*'User costs'!$E167</f>
        <v>55.65942892034995</v>
      </c>
      <c r="I11" s="14">
        <f>I$14*'User costs'!$E167</f>
        <v>56.98968927154632</v>
      </c>
      <c r="J11" s="14">
        <f>J$14*'User costs'!$E167</f>
        <v>58.35174284513627</v>
      </c>
      <c r="K11" s="14">
        <f>K$14*'User costs'!$E167</f>
        <v>59.74634949913503</v>
      </c>
      <c r="L11" s="14">
        <f>L$14*'User costs'!$E167</f>
        <v>61.174287252164355</v>
      </c>
      <c r="M11" s="51">
        <f>M$14*'User costs'!$E167</f>
        <v>62.636352717491086</v>
      </c>
      <c r="N11" s="14">
        <f>N$14*'User costs'!$E167</f>
        <v>64.13336154743912</v>
      </c>
      <c r="O11" s="14">
        <f>O$14*'User costs'!$E167</f>
        <v>65.66614888842291</v>
      </c>
      <c r="P11" s="14">
        <f>P$14*'User costs'!$E167</f>
        <v>67.23556984685622</v>
      </c>
      <c r="Q11" s="14">
        <f>Q$14*'User costs'!$E167</f>
        <v>68.84249996619609</v>
      </c>
      <c r="R11" s="51">
        <f>R$14*'User costs'!$E167</f>
        <v>70.48783571538817</v>
      </c>
      <c r="S11" s="14">
        <f>S$14*'User costs'!$E167</f>
        <v>72.17249498898595</v>
      </c>
      <c r="T11" s="14">
        <f>T$14*'User costs'!$E167</f>
        <v>73.89741761922271</v>
      </c>
      <c r="U11" s="14">
        <f>U$14*'User costs'!$E167</f>
        <v>75.66356590032211</v>
      </c>
      <c r="V11" s="14">
        <f>V$14*'User costs'!$E167</f>
        <v>77.47192512533981</v>
      </c>
      <c r="W11" s="25">
        <f>W$14*'User costs'!$E167</f>
        <v>79.32350413583542</v>
      </c>
    </row>
    <row r="12" spans="1:23" ht="12.75">
      <c r="A12" s="203" t="s">
        <v>130</v>
      </c>
      <c r="B12" s="11" t="s">
        <v>17</v>
      </c>
      <c r="C12" s="57">
        <f>'User costs'!B168</f>
        <v>173.10877192982457</v>
      </c>
      <c r="D12" s="14">
        <f>D$14*'User costs'!$E168</f>
        <v>177.24607157894738</v>
      </c>
      <c r="E12" s="14">
        <f>E$14*'User costs'!$E168</f>
        <v>181.4822526896842</v>
      </c>
      <c r="F12" s="14">
        <f>F$14*'User costs'!$E168</f>
        <v>185.81967852896767</v>
      </c>
      <c r="G12" s="14">
        <f>G$14*'User costs'!$E168</f>
        <v>190.26076884581</v>
      </c>
      <c r="H12" s="51">
        <f>H$14*'User costs'!$E168</f>
        <v>194.80800122122486</v>
      </c>
      <c r="I12" s="14">
        <f>I$14*'User costs'!$E168</f>
        <v>199.46391245041215</v>
      </c>
      <c r="J12" s="14">
        <f>J$14*'User costs'!$E168</f>
        <v>204.231099957977</v>
      </c>
      <c r="K12" s="14">
        <f>K$14*'User costs'!$E168</f>
        <v>209.11222324697263</v>
      </c>
      <c r="L12" s="14">
        <f>L$14*'User costs'!$E168</f>
        <v>214.11000538257528</v>
      </c>
      <c r="M12" s="51">
        <f>M$14*'User costs'!$E168</f>
        <v>219.22723451121882</v>
      </c>
      <c r="N12" s="14">
        <f>N$14*'User costs'!$E168</f>
        <v>224.46676541603694</v>
      </c>
      <c r="O12" s="14">
        <f>O$14*'User costs'!$E168</f>
        <v>229.8315211094802</v>
      </c>
      <c r="P12" s="14">
        <f>P$14*'User costs'!$E168</f>
        <v>235.32449446399679</v>
      </c>
      <c r="Q12" s="14">
        <f>Q$14*'User costs'!$E168</f>
        <v>240.94874988168633</v>
      </c>
      <c r="R12" s="51">
        <f>R$14*'User costs'!$E168</f>
        <v>246.70742500385862</v>
      </c>
      <c r="S12" s="14">
        <f>S$14*'User costs'!$E168</f>
        <v>252.60373246145082</v>
      </c>
      <c r="T12" s="14">
        <f>T$14*'User costs'!$E168</f>
        <v>258.6409616672795</v>
      </c>
      <c r="U12" s="14">
        <f>U$14*'User costs'!$E168</f>
        <v>264.8224806511274</v>
      </c>
      <c r="V12" s="14">
        <f>V$14*'User costs'!$E168</f>
        <v>271.1517379386894</v>
      </c>
      <c r="W12" s="25">
        <f>W$14*'User costs'!$E168</f>
        <v>277.63226447542405</v>
      </c>
    </row>
    <row r="13" spans="1:23" s="19" customFormat="1" ht="12.75">
      <c r="A13" s="203" t="s">
        <v>131</v>
      </c>
      <c r="B13" s="11" t="s">
        <v>17</v>
      </c>
      <c r="C13" s="57">
        <f>'User costs'!B169</f>
        <v>840.8140350877192</v>
      </c>
      <c r="D13" s="14">
        <f>D$14*'User costs'!$E169</f>
        <v>860.9094905263157</v>
      </c>
      <c r="E13" s="14">
        <f>E$14*'User costs'!$E169</f>
        <v>881.4852273498947</v>
      </c>
      <c r="F13" s="14">
        <f>F$14*'User costs'!$E169</f>
        <v>902.5527242835572</v>
      </c>
      <c r="G13" s="14">
        <f>G$14*'User costs'!$E169</f>
        <v>924.1237343939341</v>
      </c>
      <c r="H13" s="51">
        <f>H$14*'User costs'!$E169</f>
        <v>946.2102916459493</v>
      </c>
      <c r="I13" s="14">
        <f>I$14*'User costs'!$E169</f>
        <v>968.8247176162874</v>
      </c>
      <c r="J13" s="14">
        <f>J$14*'User costs'!$E169</f>
        <v>991.9796283673166</v>
      </c>
      <c r="K13" s="14">
        <f>K$14*'User costs'!$E169</f>
        <v>1015.6879414852955</v>
      </c>
      <c r="L13" s="14">
        <f>L$14*'User costs'!$E169</f>
        <v>1039.962883286794</v>
      </c>
      <c r="M13" s="51">
        <f>M$14*'User costs'!$E169</f>
        <v>1064.8179961973485</v>
      </c>
      <c r="N13" s="14">
        <f>N$14*'User costs'!$E169</f>
        <v>1090.267146306465</v>
      </c>
      <c r="O13" s="14">
        <f>O$14*'User costs'!$E169</f>
        <v>1116.3245311031894</v>
      </c>
      <c r="P13" s="14">
        <f>P$14*'User costs'!$E169</f>
        <v>1143.0046873965557</v>
      </c>
      <c r="Q13" s="14">
        <f>Q$14*'User costs'!$E169</f>
        <v>1170.3224994253335</v>
      </c>
      <c r="R13" s="51">
        <f>R$14*'User costs'!$E169</f>
        <v>1198.293207161599</v>
      </c>
      <c r="S13" s="14">
        <f>S$14*'User costs'!$E169</f>
        <v>1226.932414812761</v>
      </c>
      <c r="T13" s="14">
        <f>T$14*'User costs'!$E169</f>
        <v>1256.2560995267859</v>
      </c>
      <c r="U13" s="14">
        <f>U$14*'User costs'!$E169</f>
        <v>1286.280620305476</v>
      </c>
      <c r="V13" s="14">
        <f>V$14*'User costs'!$E169</f>
        <v>1317.0227271307767</v>
      </c>
      <c r="W13" s="25">
        <f>W$14*'User costs'!$E169</f>
        <v>1348.4995703092022</v>
      </c>
    </row>
    <row r="14" spans="1:23" ht="12.75">
      <c r="A14" s="257" t="s">
        <v>55</v>
      </c>
      <c r="B14" s="19" t="s">
        <v>17</v>
      </c>
      <c r="C14" s="58">
        <f>SUM(C7:C13)</f>
        <v>1409.6</v>
      </c>
      <c r="D14" s="26">
        <f>C14+(C14*Assumptions!$C$13)</f>
        <v>1443.28944</v>
      </c>
      <c r="E14" s="26">
        <f>D14+(D14*Assumptions!$C$13)</f>
        <v>1477.784057616</v>
      </c>
      <c r="F14" s="26">
        <f>E14+(E14*Assumptions!$C$13)</f>
        <v>1513.1030965930224</v>
      </c>
      <c r="G14" s="26">
        <f>F14+(F14*Assumptions!$C$13)</f>
        <v>1549.2662606015956</v>
      </c>
      <c r="H14" s="26">
        <f>G14+(G14*Assumptions!$C$13)</f>
        <v>1586.2937242299738</v>
      </c>
      <c r="I14" s="26">
        <f>H14+(H14*Assumptions!$C$13)</f>
        <v>1624.2061442390702</v>
      </c>
      <c r="J14" s="26">
        <f>I14+(I14*Assumptions!$C$13)</f>
        <v>1663.024671086384</v>
      </c>
      <c r="K14" s="26">
        <f>J14+(J14*Assumptions!$C$13)</f>
        <v>1702.7709607253485</v>
      </c>
      <c r="L14" s="26">
        <f>K14+(K14*Assumptions!$C$13)</f>
        <v>1743.4671866866843</v>
      </c>
      <c r="M14" s="26">
        <f>L14+(L14*Assumptions!$C$13)</f>
        <v>1785.136052448496</v>
      </c>
      <c r="N14" s="26">
        <f>M14+(M14*Assumptions!$C$13)</f>
        <v>1827.800804102015</v>
      </c>
      <c r="O14" s="26">
        <f>N14+(N14*Assumptions!$C$13)</f>
        <v>1871.485243320053</v>
      </c>
      <c r="P14" s="26">
        <f>O14+(O14*Assumptions!$C$13)</f>
        <v>1916.2137406354022</v>
      </c>
      <c r="Q14" s="26">
        <f>P14+(P14*Assumptions!$C$13)</f>
        <v>1962.0112490365884</v>
      </c>
      <c r="R14" s="26">
        <f>Q14+(Q14*Assumptions!$C$13)</f>
        <v>2008.903317888563</v>
      </c>
      <c r="S14" s="26">
        <f>R14+(R14*Assumptions!$C$13)</f>
        <v>2056.9161071860995</v>
      </c>
      <c r="T14" s="26">
        <f>S14+(S14*Assumptions!$C$13)</f>
        <v>2106.076402147847</v>
      </c>
      <c r="U14" s="26">
        <f>T14+(T14*Assumptions!$C$13)</f>
        <v>2156.4116281591805</v>
      </c>
      <c r="V14" s="26">
        <f>U14+(U14*Assumptions!$C$13)</f>
        <v>2207.9498660721847</v>
      </c>
      <c r="W14" s="27">
        <f>V14+(V14*Assumptions!$C$13)</f>
        <v>2260.71986787131</v>
      </c>
    </row>
    <row r="15" spans="1:23" ht="12.75">
      <c r="A15" s="257"/>
      <c r="B15" s="19"/>
      <c r="C15" s="18"/>
      <c r="D15" s="14"/>
      <c r="E15" s="14"/>
      <c r="F15" s="14"/>
      <c r="G15" s="14"/>
      <c r="H15" s="51"/>
      <c r="I15" s="14"/>
      <c r="J15" s="14"/>
      <c r="K15" s="14"/>
      <c r="L15" s="14"/>
      <c r="M15" s="51"/>
      <c r="N15" s="14"/>
      <c r="O15" s="14"/>
      <c r="P15" s="14"/>
      <c r="Q15" s="14"/>
      <c r="R15" s="51"/>
      <c r="S15" s="14"/>
      <c r="T15" s="14"/>
      <c r="U15" s="14"/>
      <c r="V15" s="14"/>
      <c r="W15" s="25"/>
    </row>
    <row r="16" spans="1:23" ht="12.75">
      <c r="A16" s="22" t="s">
        <v>49</v>
      </c>
      <c r="C16" s="18"/>
      <c r="H16" s="50"/>
      <c r="M16" s="50"/>
      <c r="R16" s="50"/>
      <c r="W16" s="13"/>
    </row>
    <row r="17" spans="1:23" ht="12.75">
      <c r="A17" s="203" t="s">
        <v>132</v>
      </c>
      <c r="B17" s="11" t="s">
        <v>52</v>
      </c>
      <c r="C17" s="57">
        <f>C7*Assumptions!$C$14*'User costs'!$H163*365</f>
        <v>1936159.7894736843</v>
      </c>
      <c r="D17" s="47">
        <f>D7*Assumptions!$C$14*'User costs'!$H163*365</f>
        <v>1982434.008442105</v>
      </c>
      <c r="E17" s="14">
        <f>E7*Assumptions!$C$14*'User costs'!$H163*365</f>
        <v>2029814.1812438716</v>
      </c>
      <c r="F17" s="14">
        <f>F7*Assumptions!$C$14*'User costs'!$H163*365</f>
        <v>2078326.7401756004</v>
      </c>
      <c r="G17" s="14">
        <f>G7*Assumptions!$C$14*'User costs'!$H163*365</f>
        <v>2127998.7492657965</v>
      </c>
      <c r="H17" s="51">
        <f>H7*Assumptions!$C$14*'User costs'!$H163*365</f>
        <v>2178857.919373249</v>
      </c>
      <c r="I17" s="47">
        <f>I7*Assumptions!$C$14*'User costs'!$H163*365</f>
        <v>2230932.62364627</v>
      </c>
      <c r="J17" s="14">
        <f>J7*Assumptions!$C$14*'User costs'!$H163*365</f>
        <v>2284251.9133514157</v>
      </c>
      <c r="K17" s="14">
        <f>K7*Assumptions!$C$14*'User costs'!$H163*365</f>
        <v>2338845.5340805147</v>
      </c>
      <c r="L17" s="14">
        <f>L7*Assumptions!$C$14*'User costs'!$H163*365</f>
        <v>2394743.9423450385</v>
      </c>
      <c r="M17" s="51">
        <f>M7*Assumptions!$C$14*'User costs'!$H163*365</f>
        <v>2451978.3225670857</v>
      </c>
      <c r="N17" s="47">
        <f>N7*Assumptions!$C$14*'User costs'!$H163*365</f>
        <v>2510580.604476439</v>
      </c>
      <c r="O17" s="14">
        <f>O7*Assumptions!$C$14*'User costs'!$H163*365</f>
        <v>2570583.480923425</v>
      </c>
      <c r="P17" s="14">
        <f>P7*Assumptions!$C$14*'User costs'!$H163*365</f>
        <v>2632020.426117495</v>
      </c>
      <c r="Q17" s="14">
        <f>Q7*Assumptions!$C$14*'User costs'!$H163*365</f>
        <v>2694925.7143017035</v>
      </c>
      <c r="R17" s="51">
        <f>R7*Assumptions!$C$14*'User costs'!$H163*365</f>
        <v>2759334.438873514</v>
      </c>
      <c r="S17" s="47">
        <f>S7*Assumptions!$C$14*'User costs'!$H163*365</f>
        <v>2825282.5319625908</v>
      </c>
      <c r="T17" s="14">
        <f>T7*Assumptions!$C$14*'User costs'!$H163*365</f>
        <v>2892806.7844764967</v>
      </c>
      <c r="U17" s="14">
        <f>U7*Assumptions!$C$14*'User costs'!$H163*365</f>
        <v>2961944.8666254845</v>
      </c>
      <c r="V17" s="14">
        <f>V7*Assumptions!$C$14*'User costs'!$H163*365</f>
        <v>3032735.3489378337</v>
      </c>
      <c r="W17" s="25">
        <f>W7*Assumptions!$C$14*'User costs'!$H163*365</f>
        <v>3105217.7237774474</v>
      </c>
    </row>
    <row r="18" spans="1:23" ht="12.75">
      <c r="A18" s="203" t="s">
        <v>126</v>
      </c>
      <c r="B18" s="11" t="s">
        <v>52</v>
      </c>
      <c r="C18" s="57">
        <f>C8*Assumptions!$C$14*'User costs'!$H164*365</f>
        <v>44531675.15789473</v>
      </c>
      <c r="D18" s="47">
        <f>D8*Assumptions!$C$14*'User costs'!$H164*365</f>
        <v>45595982.19416842</v>
      </c>
      <c r="E18" s="14">
        <f>E8*Assumptions!$C$14*'User costs'!$H164*365</f>
        <v>46685726.16860905</v>
      </c>
      <c r="F18" s="14">
        <f>F8*Assumptions!$C$14*'User costs'!$H164*365</f>
        <v>47801515.02403879</v>
      </c>
      <c r="G18" s="14">
        <f>G8*Assumptions!$C$14*'User costs'!$H164*365</f>
        <v>48943971.233113326</v>
      </c>
      <c r="H18" s="51">
        <f>H8*Assumptions!$C$14*'User costs'!$H164*365</f>
        <v>50113732.14558474</v>
      </c>
      <c r="I18" s="47">
        <f>I8*Assumptions!$C$14*'User costs'!$H164*365</f>
        <v>51311450.34386422</v>
      </c>
      <c r="J18" s="14">
        <f>J8*Assumptions!$C$14*'User costs'!$H164*365</f>
        <v>52537794.00708257</v>
      </c>
      <c r="K18" s="14">
        <f>K8*Assumptions!$C$14*'User costs'!$H164*365</f>
        <v>53793447.28385183</v>
      </c>
      <c r="L18" s="14">
        <f>L8*Assumptions!$C$14*'User costs'!$H164*365</f>
        <v>55079110.6739359</v>
      </c>
      <c r="M18" s="51">
        <f>M8*Assumptions!$C$14*'User costs'!$H164*365</f>
        <v>56395501.41904297</v>
      </c>
      <c r="N18" s="47">
        <f>N8*Assumptions!$C$14*'User costs'!$H164*365</f>
        <v>57743353.90295809</v>
      </c>
      <c r="O18" s="14">
        <f>O8*Assumptions!$C$14*'User costs'!$H164*365</f>
        <v>59123420.06123878</v>
      </c>
      <c r="P18" s="14">
        <f>P8*Assumptions!$C$14*'User costs'!$H164*365</f>
        <v>60536469.80070238</v>
      </c>
      <c r="Q18" s="14">
        <f>Q8*Assumptions!$C$14*'User costs'!$H164*365</f>
        <v>61983291.42893918</v>
      </c>
      <c r="R18" s="51">
        <f>R8*Assumptions!$C$14*'User costs'!$H164*365</f>
        <v>63464692.09409082</v>
      </c>
      <c r="S18" s="47">
        <f>S8*Assumptions!$C$14*'User costs'!$H164*365</f>
        <v>64981498.23513959</v>
      </c>
      <c r="T18" s="14">
        <f>T8*Assumptions!$C$14*'User costs'!$H164*365</f>
        <v>66534556.04295942</v>
      </c>
      <c r="U18" s="14">
        <f>U8*Assumptions!$C$14*'User costs'!$H164*365</f>
        <v>68124731.93238614</v>
      </c>
      <c r="V18" s="14">
        <f>V8*Assumptions!$C$14*'User costs'!$H164*365</f>
        <v>69752913.02557017</v>
      </c>
      <c r="W18" s="25">
        <f>W8*Assumptions!$C$14*'User costs'!$H164*365</f>
        <v>71420007.64688131</v>
      </c>
    </row>
    <row r="19" spans="1:23" ht="12.75">
      <c r="A19" s="203" t="s">
        <v>127</v>
      </c>
      <c r="B19" s="11" t="s">
        <v>52</v>
      </c>
      <c r="C19" s="57">
        <f>C9*Assumptions!$C$14*'User costs'!$H165*365</f>
        <v>5808479.368421052</v>
      </c>
      <c r="D19" s="47">
        <f>D9*Assumptions!$C$14*'User costs'!$H165*365</f>
        <v>5947302.025326316</v>
      </c>
      <c r="E19" s="14">
        <f>E9*Assumptions!$C$14*'User costs'!$H165*365</f>
        <v>6089442.543731615</v>
      </c>
      <c r="F19" s="14">
        <f>F9*Assumptions!$C$14*'User costs'!$H165*365</f>
        <v>6234980.220526799</v>
      </c>
      <c r="G19" s="14">
        <f>G9*Assumptions!$C$14*'User costs'!$H165*365</f>
        <v>6383996.2477973895</v>
      </c>
      <c r="H19" s="51">
        <f>H9*Assumptions!$C$14*'User costs'!$H165*365</f>
        <v>6536573.758119749</v>
      </c>
      <c r="I19" s="47">
        <f>I9*Assumptions!$C$14*'User costs'!$H165*365</f>
        <v>6692797.87093881</v>
      </c>
      <c r="J19" s="14">
        <f>J9*Assumptions!$C$14*'User costs'!$H165*365</f>
        <v>6852755.740054247</v>
      </c>
      <c r="K19" s="14">
        <f>K9*Assumptions!$C$14*'User costs'!$H165*365</f>
        <v>7016536.602241544</v>
      </c>
      <c r="L19" s="14">
        <f>L9*Assumptions!$C$14*'User costs'!$H165*365</f>
        <v>7184231.827035116</v>
      </c>
      <c r="M19" s="51">
        <f>M9*Assumptions!$C$14*'User costs'!$H165*365</f>
        <v>7355934.967701256</v>
      </c>
      <c r="N19" s="47">
        <f>N9*Assumptions!$C$14*'User costs'!$H165*365</f>
        <v>7531741.813429316</v>
      </c>
      <c r="O19" s="14">
        <f>O9*Assumptions!$C$14*'User costs'!$H165*365</f>
        <v>7711750.442770276</v>
      </c>
      <c r="P19" s="14">
        <f>P9*Assumptions!$C$14*'User costs'!$H165*365</f>
        <v>7896061.278352484</v>
      </c>
      <c r="Q19" s="14">
        <f>Q9*Assumptions!$C$14*'User costs'!$H165*365</f>
        <v>8084777.1429051105</v>
      </c>
      <c r="R19" s="51">
        <f>R9*Assumptions!$C$14*'User costs'!$H165*365</f>
        <v>8278003.316620543</v>
      </c>
      <c r="S19" s="47">
        <f>S9*Assumptions!$C$14*'User costs'!$H165*365</f>
        <v>8475847.595887773</v>
      </c>
      <c r="T19" s="14">
        <f>T9*Assumptions!$C$14*'User costs'!$H165*365</f>
        <v>8678420.353429489</v>
      </c>
      <c r="U19" s="14">
        <f>U9*Assumptions!$C$14*'User costs'!$H165*365</f>
        <v>8885834.599876454</v>
      </c>
      <c r="V19" s="14">
        <f>V9*Assumptions!$C$14*'User costs'!$H165*365</f>
        <v>9098206.046813501</v>
      </c>
      <c r="W19" s="25">
        <f>W9*Assumptions!$C$14*'User costs'!$H165*365</f>
        <v>9315653.171332343</v>
      </c>
    </row>
    <row r="20" spans="1:23" ht="12.75">
      <c r="A20" s="203" t="s">
        <v>128</v>
      </c>
      <c r="B20" s="11" t="s">
        <v>52</v>
      </c>
      <c r="C20" s="57">
        <f>C10*Assumptions!$C$14*'User costs'!$H166*365</f>
        <v>1936159.7894736843</v>
      </c>
      <c r="D20" s="47">
        <f>D10*Assumptions!$C$14*'User costs'!$H166*365</f>
        <v>1982434.008442105</v>
      </c>
      <c r="E20" s="14">
        <f>E10*Assumptions!$C$14*'User costs'!$H166*365</f>
        <v>2029814.1812438716</v>
      </c>
      <c r="F20" s="14">
        <f>F10*Assumptions!$C$14*'User costs'!$H166*365</f>
        <v>2078326.7401756004</v>
      </c>
      <c r="G20" s="14">
        <f>G10*Assumptions!$C$14*'User costs'!$H166*365</f>
        <v>2127998.7492657965</v>
      </c>
      <c r="H20" s="51">
        <f>H10*Assumptions!$C$14*'User costs'!$H166*365</f>
        <v>2178857.919373249</v>
      </c>
      <c r="I20" s="47">
        <f>I10*Assumptions!$C$14*'User costs'!$H166*365</f>
        <v>2230932.62364627</v>
      </c>
      <c r="J20" s="14">
        <f>J10*Assumptions!$C$14*'User costs'!$H166*365</f>
        <v>2284251.9133514157</v>
      </c>
      <c r="K20" s="14">
        <f>K10*Assumptions!$C$14*'User costs'!$H166*365</f>
        <v>2338845.5340805147</v>
      </c>
      <c r="L20" s="14">
        <f>L10*Assumptions!$C$14*'User costs'!$H166*365</f>
        <v>2394743.9423450385</v>
      </c>
      <c r="M20" s="51">
        <f>M10*Assumptions!$C$14*'User costs'!$H166*365</f>
        <v>2451978.3225670857</v>
      </c>
      <c r="N20" s="47">
        <f>N10*Assumptions!$C$14*'User costs'!$H166*365</f>
        <v>2510580.604476439</v>
      </c>
      <c r="O20" s="14">
        <f>O10*Assumptions!$C$14*'User costs'!$H166*365</f>
        <v>2570583.480923425</v>
      </c>
      <c r="P20" s="14">
        <f>P10*Assumptions!$C$14*'User costs'!$H166*365</f>
        <v>2632020.426117495</v>
      </c>
      <c r="Q20" s="14">
        <f>Q10*Assumptions!$C$14*'User costs'!$H166*365</f>
        <v>2694925.7143017035</v>
      </c>
      <c r="R20" s="51">
        <f>R10*Assumptions!$C$14*'User costs'!$H166*365</f>
        <v>2759334.438873514</v>
      </c>
      <c r="S20" s="47">
        <f>S10*Assumptions!$C$14*'User costs'!$H166*365</f>
        <v>2825282.5319625908</v>
      </c>
      <c r="T20" s="14">
        <f>T10*Assumptions!$C$14*'User costs'!$H166*365</f>
        <v>2892806.7844764967</v>
      </c>
      <c r="U20" s="14">
        <f>U10*Assumptions!$C$14*'User costs'!$H166*365</f>
        <v>2961944.8666254845</v>
      </c>
      <c r="V20" s="14">
        <f>V10*Assumptions!$C$14*'User costs'!$H166*365</f>
        <v>3032735.3489378337</v>
      </c>
      <c r="W20" s="25">
        <f>W10*Assumptions!$C$14*'User costs'!$H166*365</f>
        <v>3105217.7237774474</v>
      </c>
    </row>
    <row r="21" spans="1:23" ht="12.75">
      <c r="A21" s="203" t="s">
        <v>129</v>
      </c>
      <c r="B21" s="11" t="s">
        <v>52</v>
      </c>
      <c r="C21" s="57">
        <f>C11*Assumptions!$C$14*'User costs'!$H167*365</f>
        <v>7744639.157894737</v>
      </c>
      <c r="D21" s="47">
        <f>D11*Assumptions!$C$14*'User costs'!$H167*365</f>
        <v>7929736.03376842</v>
      </c>
      <c r="E21" s="14">
        <f>E11*Assumptions!$C$14*'User costs'!$H167*365</f>
        <v>8119256.724975486</v>
      </c>
      <c r="F21" s="14">
        <f>F11*Assumptions!$C$14*'User costs'!$H167*365</f>
        <v>8313306.960702402</v>
      </c>
      <c r="G21" s="14">
        <f>G11*Assumptions!$C$14*'User costs'!$H167*365</f>
        <v>8511994.997063186</v>
      </c>
      <c r="H21" s="51">
        <f>H11*Assumptions!$C$14*'User costs'!$H167*365</f>
        <v>8715431.677492997</v>
      </c>
      <c r="I21" s="47">
        <f>I11*Assumptions!$C$14*'User costs'!$H167*365</f>
        <v>8923730.49458508</v>
      </c>
      <c r="J21" s="14">
        <f>J11*Assumptions!$C$14*'User costs'!$H167*365</f>
        <v>9137007.653405663</v>
      </c>
      <c r="K21" s="14">
        <f>K11*Assumptions!$C$14*'User costs'!$H167*365</f>
        <v>9355382.136322059</v>
      </c>
      <c r="L21" s="14">
        <f>L11*Assumptions!$C$14*'User costs'!$H167*365</f>
        <v>9578975.769380154</v>
      </c>
      <c r="M21" s="51">
        <f>M11*Assumptions!$C$14*'User costs'!$H167*365</f>
        <v>9807913.290268343</v>
      </c>
      <c r="N21" s="47">
        <f>N11*Assumptions!$C$14*'User costs'!$H167*365</f>
        <v>10042322.417905755</v>
      </c>
      <c r="O21" s="14">
        <f>O11*Assumptions!$C$14*'User costs'!$H167*365</f>
        <v>10282333.9236937</v>
      </c>
      <c r="P21" s="14">
        <f>P11*Assumptions!$C$14*'User costs'!$H167*365</f>
        <v>10528081.70446998</v>
      </c>
      <c r="Q21" s="14">
        <f>Q11*Assumptions!$C$14*'User costs'!$H167*365</f>
        <v>10779702.857206814</v>
      </c>
      <c r="R21" s="51">
        <f>R11*Assumptions!$C$14*'User costs'!$H167*365</f>
        <v>11037337.755494056</v>
      </c>
      <c r="S21" s="47">
        <f>S11*Assumptions!$C$14*'User costs'!$H167*365</f>
        <v>11301130.127850363</v>
      </c>
      <c r="T21" s="14">
        <f>T11*Assumptions!$C$14*'User costs'!$H167*365</f>
        <v>11571227.137905987</v>
      </c>
      <c r="U21" s="14">
        <f>U11*Assumptions!$C$14*'User costs'!$H167*365</f>
        <v>11847779.466501938</v>
      </c>
      <c r="V21" s="14">
        <f>V11*Assumptions!$C$14*'User costs'!$H167*365</f>
        <v>12130941.395751335</v>
      </c>
      <c r="W21" s="25">
        <f>W11*Assumptions!$C$14*'User costs'!$H167*365</f>
        <v>12420870.89510979</v>
      </c>
    </row>
    <row r="22" spans="1:23" ht="12.75">
      <c r="A22" s="203" t="s">
        <v>130</v>
      </c>
      <c r="B22" s="11" t="s">
        <v>52</v>
      </c>
      <c r="C22" s="57">
        <f>C12*Assumptions!$C$14*'User costs'!$H168*365</f>
        <v>27106237.05263158</v>
      </c>
      <c r="D22" s="47">
        <f>D12*Assumptions!$C$14*'User costs'!$H168*365</f>
        <v>27754076.118189473</v>
      </c>
      <c r="E22" s="14">
        <f>E12*Assumptions!$C$14*'User costs'!$H168*365</f>
        <v>28417398.5374142</v>
      </c>
      <c r="F22" s="14">
        <f>F12*Assumptions!$C$14*'User costs'!$H168*365</f>
        <v>29096574.362458404</v>
      </c>
      <c r="G22" s="14">
        <f>G12*Assumptions!$C$14*'User costs'!$H168*365</f>
        <v>29791982.48972116</v>
      </c>
      <c r="H22" s="51">
        <f>H12*Assumptions!$C$14*'User costs'!$H168*365</f>
        <v>30504010.87122549</v>
      </c>
      <c r="I22" s="47">
        <f>I12*Assumptions!$C$14*'User costs'!$H168*365</f>
        <v>31233056.731047787</v>
      </c>
      <c r="J22" s="14">
        <f>J12*Assumptions!$C$14*'User costs'!$H168*365</f>
        <v>31979526.78691983</v>
      </c>
      <c r="K22" s="14">
        <f>K12*Assumptions!$C$14*'User costs'!$H168*365</f>
        <v>32743837.477127213</v>
      </c>
      <c r="L22" s="14">
        <f>L12*Assumptions!$C$14*'User costs'!$H168*365</f>
        <v>33526415.192830548</v>
      </c>
      <c r="M22" s="51">
        <f>M12*Assumptions!$C$14*'User costs'!$H168*365</f>
        <v>34327696.5159392</v>
      </c>
      <c r="N22" s="47">
        <f>N12*Assumptions!$C$14*'User costs'!$H168*365</f>
        <v>35148128.46267015</v>
      </c>
      <c r="O22" s="14">
        <f>O12*Assumptions!$C$14*'User costs'!$H168*365</f>
        <v>35988168.732927956</v>
      </c>
      <c r="P22" s="14">
        <f>P12*Assumptions!$C$14*'User costs'!$H168*365</f>
        <v>36848285.96564493</v>
      </c>
      <c r="Q22" s="14">
        <f>Q12*Assumptions!$C$14*'User costs'!$H168*365</f>
        <v>37728960.00022385</v>
      </c>
      <c r="R22" s="51">
        <f>R12*Assumptions!$C$14*'User costs'!$H168*365</f>
        <v>38630682.144229196</v>
      </c>
      <c r="S22" s="47">
        <f>S12*Assumptions!$C$14*'User costs'!$H168*365</f>
        <v>39553955.447476275</v>
      </c>
      <c r="T22" s="14">
        <f>T12*Assumptions!$C$14*'User costs'!$H168*365</f>
        <v>40499294.98267096</v>
      </c>
      <c r="U22" s="14">
        <f>U12*Assumptions!$C$14*'User costs'!$H168*365</f>
        <v>41467228.132756785</v>
      </c>
      <c r="V22" s="14">
        <f>V12*Assumptions!$C$14*'User costs'!$H168*365</f>
        <v>42458294.885129675</v>
      </c>
      <c r="W22" s="25">
        <f>W12*Assumptions!$C$14*'User costs'!$H168*365</f>
        <v>43473048.13288427</v>
      </c>
    </row>
    <row r="23" spans="1:23" s="19" customFormat="1" ht="12.75">
      <c r="A23" s="203" t="s">
        <v>131</v>
      </c>
      <c r="B23" s="11" t="s">
        <v>52</v>
      </c>
      <c r="C23" s="57">
        <f>C13*Assumptions!$C$14*'User costs'!$H169*365</f>
        <v>131658865.68421052</v>
      </c>
      <c r="D23" s="47">
        <f>D13*Assumptions!$C$14*'User costs'!$H169*365</f>
        <v>134805512.57406315</v>
      </c>
      <c r="E23" s="14">
        <f>E13*Assumptions!$C$14*'User costs'!$H169*365</f>
        <v>138027364.32458323</v>
      </c>
      <c r="F23" s="14">
        <f>F13*Assumptions!$C$14*'User costs'!$H169*365</f>
        <v>141326218.3319408</v>
      </c>
      <c r="G23" s="14">
        <f>G13*Assumptions!$C$14*'User costs'!$H169*365</f>
        <v>144703914.95007417</v>
      </c>
      <c r="H23" s="51">
        <f>H13*Assumptions!$C$14*'User costs'!$H169*365</f>
        <v>148162338.51738095</v>
      </c>
      <c r="I23" s="47">
        <f>I13*Assumptions!$C$14*'User costs'!$H169*365</f>
        <v>151703418.40794638</v>
      </c>
      <c r="J23" s="14">
        <f>J13*Assumptions!$C$14*'User costs'!$H169*365</f>
        <v>155329130.10789627</v>
      </c>
      <c r="K23" s="14">
        <f>K13*Assumptions!$C$14*'User costs'!$H169*365</f>
        <v>159041496.317475</v>
      </c>
      <c r="L23" s="14">
        <f>L13*Assumptions!$C$14*'User costs'!$H169*365</f>
        <v>162842588.07946265</v>
      </c>
      <c r="M23" s="51">
        <f>M13*Assumptions!$C$14*'User costs'!$H169*365</f>
        <v>166734525.93456182</v>
      </c>
      <c r="N23" s="47">
        <f>N13*Assumptions!$C$14*'User costs'!$H169*365</f>
        <v>170719481.10439783</v>
      </c>
      <c r="O23" s="14">
        <f>O13*Assumptions!$C$14*'User costs'!$H169*365</f>
        <v>174799676.7027929</v>
      </c>
      <c r="P23" s="14">
        <f>P13*Assumptions!$C$14*'User costs'!$H169*365</f>
        <v>178977388.97598967</v>
      </c>
      <c r="Q23" s="14">
        <f>Q13*Assumptions!$C$14*'User costs'!$H169*365</f>
        <v>183254948.57251585</v>
      </c>
      <c r="R23" s="51">
        <f>R13*Assumptions!$C$14*'User costs'!$H169*365</f>
        <v>187634741.84339896</v>
      </c>
      <c r="S23" s="47">
        <f>S13*Assumptions!$C$14*'User costs'!$H169*365</f>
        <v>192119212.17345616</v>
      </c>
      <c r="T23" s="14">
        <f>T13*Assumptions!$C$14*'User costs'!$H169*365</f>
        <v>196710861.34440172</v>
      </c>
      <c r="U23" s="14">
        <f>U13*Assumptions!$C$14*'User costs'!$H169*365</f>
        <v>201412250.93053296</v>
      </c>
      <c r="V23" s="14">
        <f>V13*Assumptions!$C$14*'User costs'!$H169*365</f>
        <v>206226003.72777268</v>
      </c>
      <c r="W23" s="25">
        <f>W13*Assumptions!$C$14*'User costs'!$H169*365</f>
        <v>211154805.2168664</v>
      </c>
    </row>
    <row r="24" spans="1:23" s="19" customFormat="1" ht="12.75">
      <c r="A24" s="257" t="s">
        <v>55</v>
      </c>
      <c r="B24" s="19" t="s">
        <v>52</v>
      </c>
      <c r="C24" s="58">
        <f>SUM(C17:C23)</f>
        <v>220722216</v>
      </c>
      <c r="D24" s="58">
        <f aca="true" t="shared" si="0" ref="D24:W24">SUM(D17:D23)</f>
        <v>225997476.9624</v>
      </c>
      <c r="E24" s="58">
        <f t="shared" si="0"/>
        <v>231398816.66180134</v>
      </c>
      <c r="F24" s="58">
        <f t="shared" si="0"/>
        <v>236929248.3800184</v>
      </c>
      <c r="G24" s="58">
        <f t="shared" si="0"/>
        <v>242591857.41630083</v>
      </c>
      <c r="H24" s="58">
        <f t="shared" si="0"/>
        <v>248389802.80855042</v>
      </c>
      <c r="I24" s="58">
        <f t="shared" si="0"/>
        <v>254326319.0956748</v>
      </c>
      <c r="J24" s="58">
        <f t="shared" si="0"/>
        <v>260404718.12206143</v>
      </c>
      <c r="K24" s="58">
        <f t="shared" si="0"/>
        <v>266628390.8851787</v>
      </c>
      <c r="L24" s="58">
        <f t="shared" si="0"/>
        <v>273000809.4273344</v>
      </c>
      <c r="M24" s="58">
        <f t="shared" si="0"/>
        <v>279525528.77264774</v>
      </c>
      <c r="N24" s="58">
        <f t="shared" si="0"/>
        <v>286206188.910314</v>
      </c>
      <c r="O24" s="58">
        <f t="shared" si="0"/>
        <v>293046516.8252705</v>
      </c>
      <c r="P24" s="58">
        <f t="shared" si="0"/>
        <v>300050328.5773944</v>
      </c>
      <c r="Q24" s="58">
        <f t="shared" si="0"/>
        <v>307221531.4303942</v>
      </c>
      <c r="R24" s="58">
        <f t="shared" si="0"/>
        <v>314564126.03158057</v>
      </c>
      <c r="S24" s="58">
        <f t="shared" si="0"/>
        <v>322082208.64373535</v>
      </c>
      <c r="T24" s="58">
        <f t="shared" si="0"/>
        <v>329779973.43032056</v>
      </c>
      <c r="U24" s="58">
        <f t="shared" si="0"/>
        <v>337661714.79530525</v>
      </c>
      <c r="V24" s="58">
        <f t="shared" si="0"/>
        <v>345731829.778913</v>
      </c>
      <c r="W24" s="58">
        <f t="shared" si="0"/>
        <v>353994820.510629</v>
      </c>
    </row>
    <row r="25" spans="1:23" ht="12.75">
      <c r="A25" s="12"/>
      <c r="C25" s="18"/>
      <c r="H25" s="50"/>
      <c r="M25" s="50"/>
      <c r="R25" s="50"/>
      <c r="W25" s="13"/>
    </row>
    <row r="26" spans="1:23" ht="12.75">
      <c r="A26" s="22" t="s">
        <v>4</v>
      </c>
      <c r="C26" s="18"/>
      <c r="H26" s="50"/>
      <c r="M26" s="50"/>
      <c r="R26" s="50"/>
      <c r="W26" s="13"/>
    </row>
    <row r="27" spans="1:23" ht="12.75">
      <c r="A27" s="203" t="s">
        <v>132</v>
      </c>
      <c r="B27" s="11" t="s">
        <v>20</v>
      </c>
      <c r="C27" s="57">
        <f>C7*'User costs'!$L163*365</f>
        <v>117250.60991754386</v>
      </c>
      <c r="D27" s="57">
        <f>D7*'User costs'!$L163*365</f>
        <v>120052.89949457315</v>
      </c>
      <c r="E27" s="57">
        <f>E7*'User costs'!$L163*365</f>
        <v>122922.16379249345</v>
      </c>
      <c r="F27" s="57">
        <f>F7*'User costs'!$L163*365</f>
        <v>125860.00350713404</v>
      </c>
      <c r="G27" s="57">
        <f>G7*'User costs'!$L163*365</f>
        <v>128868.05759095453</v>
      </c>
      <c r="H27" s="57">
        <f>H7*'User costs'!$L163*365</f>
        <v>131948.00416737836</v>
      </c>
      <c r="I27" s="57">
        <f>I7*'User costs'!$L163*365</f>
        <v>135101.5614669787</v>
      </c>
      <c r="J27" s="57">
        <f>J7*'User costs'!$L163*365</f>
        <v>138330.48878603947</v>
      </c>
      <c r="K27" s="57">
        <f>K7*'User costs'!$L163*365</f>
        <v>141636.58746802583</v>
      </c>
      <c r="L27" s="57">
        <f>L7*'User costs'!$L163*365</f>
        <v>145021.70190851163</v>
      </c>
      <c r="M27" s="57">
        <f>M7*'User costs'!$L163*365</f>
        <v>148487.72058412505</v>
      </c>
      <c r="N27" s="57">
        <f>N7*'User costs'!$L163*365</f>
        <v>152036.57710608566</v>
      </c>
      <c r="O27" s="57">
        <f>O7*'User costs'!$L163*365</f>
        <v>155670.2512989211</v>
      </c>
      <c r="P27" s="57">
        <f>P7*'User costs'!$L163*365</f>
        <v>159390.77030496532</v>
      </c>
      <c r="Q27" s="57">
        <f>Q7*'User costs'!$L163*365</f>
        <v>163200.209715254</v>
      </c>
      <c r="R27" s="57">
        <f>R7*'User costs'!$L163*365</f>
        <v>167100.69472744857</v>
      </c>
      <c r="S27" s="57">
        <f>S7*'User costs'!$L163*365</f>
        <v>171094.40133143458</v>
      </c>
      <c r="T27" s="57">
        <f>T7*'User costs'!$L163*365</f>
        <v>175183.55752325585</v>
      </c>
      <c r="U27" s="57">
        <f>U7*'User costs'!$L163*365</f>
        <v>179370.4445480616</v>
      </c>
      <c r="V27" s="57">
        <f>V7*'User costs'!$L163*365</f>
        <v>183657.3981727603</v>
      </c>
      <c r="W27" s="57">
        <f>W7*'User costs'!$L163*365</f>
        <v>188046.80998908926</v>
      </c>
    </row>
    <row r="28" spans="1:23" ht="12.75">
      <c r="A28" s="203" t="s">
        <v>126</v>
      </c>
      <c r="B28" s="11" t="s">
        <v>20</v>
      </c>
      <c r="C28" s="57">
        <f>C8*'User costs'!$L164*365</f>
        <v>2696764.028103508</v>
      </c>
      <c r="D28" s="57">
        <f>D8*'User costs'!$L164*365</f>
        <v>2761216.6883751824</v>
      </c>
      <c r="E28" s="57">
        <f>E8*'User costs'!$L164*365</f>
        <v>2827209.7672273493</v>
      </c>
      <c r="F28" s="57">
        <f>F8*'User costs'!$L164*365</f>
        <v>2894780.080664083</v>
      </c>
      <c r="G28" s="57">
        <f>G8*'User costs'!$L164*365</f>
        <v>2963965.3245919547</v>
      </c>
      <c r="H28" s="57">
        <f>H8*'User costs'!$L164*365</f>
        <v>3034804.0958497026</v>
      </c>
      <c r="I28" s="57">
        <f>I8*'User costs'!$L164*365</f>
        <v>3107335.9137405106</v>
      </c>
      <c r="J28" s="57">
        <f>J8*'User costs'!$L164*365</f>
        <v>3181601.2420789083</v>
      </c>
      <c r="K28" s="57">
        <f>K8*'User costs'!$L164*365</f>
        <v>3257641.511764594</v>
      </c>
      <c r="L28" s="57">
        <f>L8*'User costs'!$L164*365</f>
        <v>3335499.1438957676</v>
      </c>
      <c r="M28" s="57">
        <f>M8*'User costs'!$L164*365</f>
        <v>3415217.573434877</v>
      </c>
      <c r="N28" s="57">
        <f>N8*'User costs'!$L164*365</f>
        <v>3496841.27343997</v>
      </c>
      <c r="O28" s="57">
        <f>O8*'User costs'!$L164*365</f>
        <v>3580415.779875185</v>
      </c>
      <c r="P28" s="57">
        <f>P8*'User costs'!$L164*365</f>
        <v>3665987.7170142015</v>
      </c>
      <c r="Q28" s="57">
        <f>Q8*'User costs'!$L164*365</f>
        <v>3753604.8234508415</v>
      </c>
      <c r="R28" s="57">
        <f>R8*'User costs'!$L164*365</f>
        <v>3843315.9787313165</v>
      </c>
      <c r="S28" s="57">
        <f>S8*'User costs'!$L164*365</f>
        <v>3935171.230622995</v>
      </c>
      <c r="T28" s="57">
        <f>T8*'User costs'!$L164*365</f>
        <v>4029221.823034884</v>
      </c>
      <c r="U28" s="57">
        <f>U8*'User costs'!$L164*365</f>
        <v>4125520.2246054173</v>
      </c>
      <c r="V28" s="57">
        <f>V8*'User costs'!$L164*365</f>
        <v>4224120.157973487</v>
      </c>
      <c r="W28" s="57">
        <f>W8*'User costs'!$L164*365</f>
        <v>4325076.629749053</v>
      </c>
    </row>
    <row r="29" spans="1:23" ht="12.75">
      <c r="A29" s="203" t="s">
        <v>127</v>
      </c>
      <c r="B29" s="11" t="s">
        <v>20</v>
      </c>
      <c r="C29" s="57">
        <f>C9*'User costs'!$L165*365</f>
        <v>351751.8297526315</v>
      </c>
      <c r="D29" s="57">
        <f>D9*'User costs'!$L165*365</f>
        <v>360158.69848371943</v>
      </c>
      <c r="E29" s="57">
        <f>E9*'User costs'!$L165*365</f>
        <v>368766.4913774803</v>
      </c>
      <c r="F29" s="57">
        <f>F9*'User costs'!$L165*365</f>
        <v>377580.01052140206</v>
      </c>
      <c r="G29" s="57">
        <f>G9*'User costs'!$L165*365</f>
        <v>386604.1727728636</v>
      </c>
      <c r="H29" s="57">
        <f>H9*'User costs'!$L165*365</f>
        <v>395844.01250213507</v>
      </c>
      <c r="I29" s="57">
        <f>I9*'User costs'!$L165*365</f>
        <v>405304.6844009361</v>
      </c>
      <c r="J29" s="57">
        <f>J9*'User costs'!$L165*365</f>
        <v>414991.4663581184</v>
      </c>
      <c r="K29" s="57">
        <f>K9*'User costs'!$L165*365</f>
        <v>424909.76240407745</v>
      </c>
      <c r="L29" s="57">
        <f>L9*'User costs'!$L165*365</f>
        <v>435065.10572553496</v>
      </c>
      <c r="M29" s="57">
        <f>M9*'User costs'!$L165*365</f>
        <v>445463.1617523752</v>
      </c>
      <c r="N29" s="57">
        <f>N9*'User costs'!$L165*365</f>
        <v>456109.731318257</v>
      </c>
      <c r="O29" s="57">
        <f>O9*'User costs'!$L165*365</f>
        <v>467010.7538967633</v>
      </c>
      <c r="P29" s="57">
        <f>P9*'User costs'!$L165*365</f>
        <v>478172.3109148959</v>
      </c>
      <c r="Q29" s="57">
        <f>Q9*'User costs'!$L165*365</f>
        <v>489600.62914576195</v>
      </c>
      <c r="R29" s="57">
        <f>R9*'User costs'!$L165*365</f>
        <v>501302.08418234566</v>
      </c>
      <c r="S29" s="57">
        <f>S9*'User costs'!$L165*365</f>
        <v>513283.20399430365</v>
      </c>
      <c r="T29" s="57">
        <f>T9*'User costs'!$L165*365</f>
        <v>525550.6725697676</v>
      </c>
      <c r="U29" s="57">
        <f>U9*'User costs'!$L165*365</f>
        <v>538111.3336441849</v>
      </c>
      <c r="V29" s="57">
        <f>V9*'User costs'!$L165*365</f>
        <v>550972.1945182809</v>
      </c>
      <c r="W29" s="57">
        <f>W9*'User costs'!$L165*365</f>
        <v>564140.4299672678</v>
      </c>
    </row>
    <row r="30" spans="1:23" ht="12.75">
      <c r="A30" s="203" t="s">
        <v>128</v>
      </c>
      <c r="B30" s="11" t="s">
        <v>20</v>
      </c>
      <c r="C30" s="57">
        <f>C10*'User costs'!$L166*365</f>
        <v>117250.60991754386</v>
      </c>
      <c r="D30" s="57">
        <f>D10*'User costs'!$L166*365</f>
        <v>120052.89949457315</v>
      </c>
      <c r="E30" s="57">
        <f>E10*'User costs'!$L166*365</f>
        <v>122922.16379249345</v>
      </c>
      <c r="F30" s="57">
        <f>F10*'User costs'!$L166*365</f>
        <v>125860.00350713404</v>
      </c>
      <c r="G30" s="57">
        <f>G10*'User costs'!$L166*365</f>
        <v>128868.05759095453</v>
      </c>
      <c r="H30" s="57">
        <f>H10*'User costs'!$L166*365</f>
        <v>131948.00416737836</v>
      </c>
      <c r="I30" s="57">
        <f>I10*'User costs'!$L166*365</f>
        <v>135101.5614669787</v>
      </c>
      <c r="J30" s="57">
        <f>J10*'User costs'!$L166*365</f>
        <v>138330.48878603947</v>
      </c>
      <c r="K30" s="57">
        <f>K10*'User costs'!$L166*365</f>
        <v>141636.58746802583</v>
      </c>
      <c r="L30" s="57">
        <f>L10*'User costs'!$L166*365</f>
        <v>145021.70190851163</v>
      </c>
      <c r="M30" s="57">
        <f>M10*'User costs'!$L166*365</f>
        <v>148487.72058412505</v>
      </c>
      <c r="N30" s="57">
        <f>N10*'User costs'!$L166*365</f>
        <v>152036.57710608566</v>
      </c>
      <c r="O30" s="57">
        <f>O10*'User costs'!$L166*365</f>
        <v>155670.2512989211</v>
      </c>
      <c r="P30" s="57">
        <f>P10*'User costs'!$L166*365</f>
        <v>159390.77030496532</v>
      </c>
      <c r="Q30" s="57">
        <f>Q10*'User costs'!$L166*365</f>
        <v>163200.209715254</v>
      </c>
      <c r="R30" s="57">
        <f>R10*'User costs'!$L166*365</f>
        <v>167100.69472744857</v>
      </c>
      <c r="S30" s="57">
        <f>S10*'User costs'!$L166*365</f>
        <v>171094.40133143458</v>
      </c>
      <c r="T30" s="57">
        <f>T10*'User costs'!$L166*365</f>
        <v>175183.55752325585</v>
      </c>
      <c r="U30" s="57">
        <f>U10*'User costs'!$L166*365</f>
        <v>179370.4445480616</v>
      </c>
      <c r="V30" s="57">
        <f>V10*'User costs'!$L166*365</f>
        <v>183657.3981727603</v>
      </c>
      <c r="W30" s="57">
        <f>W10*'User costs'!$L166*365</f>
        <v>188046.80998908926</v>
      </c>
    </row>
    <row r="31" spans="1:23" ht="12.75">
      <c r="A31" s="203" t="s">
        <v>129</v>
      </c>
      <c r="B31" s="11" t="s">
        <v>20</v>
      </c>
      <c r="C31" s="57">
        <f>C11*'User costs'!$L167*365</f>
        <v>469002.43967017543</v>
      </c>
      <c r="D31" s="57">
        <f>D11*'User costs'!$L167*365</f>
        <v>480211.5979782926</v>
      </c>
      <c r="E31" s="57">
        <f>E11*'User costs'!$L167*365</f>
        <v>491688.6551699738</v>
      </c>
      <c r="F31" s="57">
        <f>F11*'User costs'!$L167*365</f>
        <v>503440.01402853616</v>
      </c>
      <c r="G31" s="57">
        <f>G11*'User costs'!$L167*365</f>
        <v>515472.2303638181</v>
      </c>
      <c r="H31" s="57">
        <f>H11*'User costs'!$L167*365</f>
        <v>527792.0166695134</v>
      </c>
      <c r="I31" s="57">
        <f>I11*'User costs'!$L167*365</f>
        <v>540406.2458679148</v>
      </c>
      <c r="J31" s="57">
        <f>J11*'User costs'!$L167*365</f>
        <v>553321.9551441579</v>
      </c>
      <c r="K31" s="57">
        <f>K11*'User costs'!$L167*365</f>
        <v>566546.3498721033</v>
      </c>
      <c r="L31" s="57">
        <f>L11*'User costs'!$L167*365</f>
        <v>580086.8076340465</v>
      </c>
      <c r="M31" s="57">
        <f>M11*'User costs'!$L167*365</f>
        <v>593950.8823365002</v>
      </c>
      <c r="N31" s="57">
        <f>N11*'User costs'!$L167*365</f>
        <v>608146.3084243427</v>
      </c>
      <c r="O31" s="57">
        <f>O11*'User costs'!$L167*365</f>
        <v>622681.0051956844</v>
      </c>
      <c r="P31" s="57">
        <f>P11*'User costs'!$L167*365</f>
        <v>637563.0812198613</v>
      </c>
      <c r="Q31" s="57">
        <f>Q11*'User costs'!$L167*365</f>
        <v>652800.838861016</v>
      </c>
      <c r="R31" s="57">
        <f>R11*'User costs'!$L167*365</f>
        <v>668402.7789097943</v>
      </c>
      <c r="S31" s="57">
        <f>S11*'User costs'!$L167*365</f>
        <v>684377.6053257383</v>
      </c>
      <c r="T31" s="57">
        <f>T11*'User costs'!$L167*365</f>
        <v>700734.2300930234</v>
      </c>
      <c r="U31" s="57">
        <f>U11*'User costs'!$L167*365</f>
        <v>717481.7781922464</v>
      </c>
      <c r="V31" s="57">
        <f>V11*'User costs'!$L167*365</f>
        <v>734629.5926910412</v>
      </c>
      <c r="W31" s="57">
        <f>W11*'User costs'!$L167*365</f>
        <v>752187.239956357</v>
      </c>
    </row>
    <row r="32" spans="1:23" ht="12.75">
      <c r="A32" s="203" t="s">
        <v>130</v>
      </c>
      <c r="B32" s="11" t="s">
        <v>20</v>
      </c>
      <c r="C32" s="57">
        <f>C12*'User costs'!$L168*365</f>
        <v>1641508.538845614</v>
      </c>
      <c r="D32" s="57">
        <f>D12*'User costs'!$L168*365</f>
        <v>1680740.5929240242</v>
      </c>
      <c r="E32" s="57">
        <f>E12*'User costs'!$L168*365</f>
        <v>1720910.2930949084</v>
      </c>
      <c r="F32" s="57">
        <f>F12*'User costs'!$L168*365</f>
        <v>1762040.0490998765</v>
      </c>
      <c r="G32" s="57">
        <f>G12*'User costs'!$L168*365</f>
        <v>1804152.8062733638</v>
      </c>
      <c r="H32" s="57">
        <f>H12*'User costs'!$L168*365</f>
        <v>1847272.058343297</v>
      </c>
      <c r="I32" s="57">
        <f>I12*'User costs'!$L168*365</f>
        <v>1891421.8605377022</v>
      </c>
      <c r="J32" s="57">
        <f>J12*'User costs'!$L168*365</f>
        <v>1936626.843004553</v>
      </c>
      <c r="K32" s="57">
        <f>K12*'User costs'!$L168*365</f>
        <v>1982912.2245523618</v>
      </c>
      <c r="L32" s="57">
        <f>L12*'User costs'!$L168*365</f>
        <v>2030303.8267191632</v>
      </c>
      <c r="M32" s="57">
        <f>M12*'User costs'!$L168*365</f>
        <v>2078828.0881777515</v>
      </c>
      <c r="N32" s="57">
        <f>N12*'User costs'!$L168*365</f>
        <v>2128512.0794851994</v>
      </c>
      <c r="O32" s="57">
        <f>O12*'User costs'!$L168*365</f>
        <v>2179383.5181848956</v>
      </c>
      <c r="P32" s="57">
        <f>P12*'User costs'!$L168*365</f>
        <v>2231470.7842695145</v>
      </c>
      <c r="Q32" s="57">
        <f>Q12*'User costs'!$L168*365</f>
        <v>2284802.936013556</v>
      </c>
      <c r="R32" s="57">
        <f>R12*'User costs'!$L168*365</f>
        <v>2339409.72618428</v>
      </c>
      <c r="S32" s="57">
        <f>S12*'User costs'!$L168*365</f>
        <v>2395321.618640084</v>
      </c>
      <c r="T32" s="57">
        <f>T12*'User costs'!$L168*365</f>
        <v>2452569.805325582</v>
      </c>
      <c r="U32" s="57">
        <f>U12*'User costs'!$L168*365</f>
        <v>2511186.223672863</v>
      </c>
      <c r="V32" s="57">
        <f>V12*'User costs'!$L168*365</f>
        <v>2571203.5744186444</v>
      </c>
      <c r="W32" s="57">
        <f>W12*'User costs'!$L168*365</f>
        <v>2632655.33984725</v>
      </c>
    </row>
    <row r="33" spans="1:23" s="19" customFormat="1" ht="12.75">
      <c r="A33" s="203" t="s">
        <v>131</v>
      </c>
      <c r="B33" s="11" t="s">
        <v>20</v>
      </c>
      <c r="C33" s="57">
        <f>C13*'User costs'!$L169*365</f>
        <v>7973041.474392981</v>
      </c>
      <c r="D33" s="57">
        <f>D13*'User costs'!$L169*365</f>
        <v>8163597.165630974</v>
      </c>
      <c r="E33" s="57">
        <f>E13*'User costs'!$L169*365</f>
        <v>8358707.137889554</v>
      </c>
      <c r="F33" s="57">
        <f>F13*'User costs'!$L169*365</f>
        <v>8558480.238485115</v>
      </c>
      <c r="G33" s="57">
        <f>G13*'User costs'!$L169*365</f>
        <v>8763027.916184908</v>
      </c>
      <c r="H33" s="57">
        <f>H13*'User costs'!$L169*365</f>
        <v>8972464.283381728</v>
      </c>
      <c r="I33" s="57">
        <f>I13*'User costs'!$L169*365</f>
        <v>9186906.179754552</v>
      </c>
      <c r="J33" s="57">
        <f>J13*'User costs'!$L169*365</f>
        <v>9406473.237450685</v>
      </c>
      <c r="K33" s="57">
        <f>K13*'User costs'!$L169*365</f>
        <v>9631287.947825756</v>
      </c>
      <c r="L33" s="57">
        <f>L13*'User costs'!$L169*365</f>
        <v>9861475.72977879</v>
      </c>
      <c r="M33" s="57">
        <f>M13*'User costs'!$L169*365</f>
        <v>10097164.999720505</v>
      </c>
      <c r="N33" s="57">
        <f>N13*'User costs'!$L169*365</f>
        <v>10338487.243213825</v>
      </c>
      <c r="O33" s="57">
        <f>O13*'User costs'!$L169*365</f>
        <v>10585577.088326635</v>
      </c>
      <c r="P33" s="57">
        <f>P13*'User costs'!$L169*365</f>
        <v>10838572.38073764</v>
      </c>
      <c r="Q33" s="57">
        <f>Q13*'User costs'!$L169*365</f>
        <v>11097614.260637272</v>
      </c>
      <c r="R33" s="57">
        <f>R13*'User costs'!$L169*365</f>
        <v>11362847.241466502</v>
      </c>
      <c r="S33" s="57">
        <f>S13*'User costs'!$L169*365</f>
        <v>11634419.29053755</v>
      </c>
      <c r="T33" s="57">
        <f>T13*'User costs'!$L169*365</f>
        <v>11912481.911581397</v>
      </c>
      <c r="U33" s="57">
        <f>U13*'User costs'!$L169*365</f>
        <v>12197190.229268191</v>
      </c>
      <c r="V33" s="57">
        <f>V13*'User costs'!$L169*365</f>
        <v>12488703.0757477</v>
      </c>
      <c r="W33" s="57">
        <f>W13*'User costs'!$L169*365</f>
        <v>12787183.07925807</v>
      </c>
    </row>
    <row r="34" spans="1:23" s="19" customFormat="1" ht="12.75">
      <c r="A34" s="257" t="s">
        <v>55</v>
      </c>
      <c r="B34" s="19" t="s">
        <v>20</v>
      </c>
      <c r="C34" s="58">
        <f>SUM(C27:C33)</f>
        <v>13366569.530599996</v>
      </c>
      <c r="D34" s="58">
        <f aca="true" t="shared" si="1" ref="D34:W34">SUM(D27:D33)</f>
        <v>13686030.542381339</v>
      </c>
      <c r="E34" s="58">
        <f t="shared" si="1"/>
        <v>14013126.672344252</v>
      </c>
      <c r="F34" s="58">
        <f t="shared" si="1"/>
        <v>14348040.39981328</v>
      </c>
      <c r="G34" s="58">
        <f t="shared" si="1"/>
        <v>14690958.565368816</v>
      </c>
      <c r="H34" s="58">
        <f t="shared" si="1"/>
        <v>15042072.475081135</v>
      </c>
      <c r="I34" s="58">
        <f t="shared" si="1"/>
        <v>15401578.007235572</v>
      </c>
      <c r="J34" s="58">
        <f t="shared" si="1"/>
        <v>15769675.7216085</v>
      </c>
      <c r="K34" s="58">
        <f t="shared" si="1"/>
        <v>16146570.971354945</v>
      </c>
      <c r="L34" s="58">
        <f t="shared" si="1"/>
        <v>16532474.017570326</v>
      </c>
      <c r="M34" s="58">
        <f t="shared" si="1"/>
        <v>16927600.14659026</v>
      </c>
      <c r="N34" s="58">
        <f t="shared" si="1"/>
        <v>17332169.790093765</v>
      </c>
      <c r="O34" s="58">
        <f t="shared" si="1"/>
        <v>17746408.648077004</v>
      </c>
      <c r="P34" s="58">
        <f t="shared" si="1"/>
        <v>18170547.814766042</v>
      </c>
      <c r="Q34" s="58">
        <f t="shared" si="1"/>
        <v>18604823.907538954</v>
      </c>
      <c r="R34" s="58">
        <f t="shared" si="1"/>
        <v>19049479.198929135</v>
      </c>
      <c r="S34" s="58">
        <f t="shared" si="1"/>
        <v>19504761.75178354</v>
      </c>
      <c r="T34" s="58">
        <f t="shared" si="1"/>
        <v>19970925.557651166</v>
      </c>
      <c r="U34" s="58">
        <f t="shared" si="1"/>
        <v>20448230.678479027</v>
      </c>
      <c r="V34" s="58">
        <f t="shared" si="1"/>
        <v>20936943.391694672</v>
      </c>
      <c r="W34" s="58">
        <f t="shared" si="1"/>
        <v>21437336.338756174</v>
      </c>
    </row>
    <row r="35" spans="1:23" ht="12.75">
      <c r="A35" s="12"/>
      <c r="C35" s="18"/>
      <c r="H35" s="50"/>
      <c r="M35" s="50"/>
      <c r="R35" s="50"/>
      <c r="W35" s="13"/>
    </row>
    <row r="36" spans="1:23" ht="12.75">
      <c r="A36" s="22" t="s">
        <v>5</v>
      </c>
      <c r="C36" s="18"/>
      <c r="H36" s="50"/>
      <c r="M36" s="50"/>
      <c r="R36" s="50"/>
      <c r="W36" s="13"/>
    </row>
    <row r="37" spans="1:23" ht="12.75">
      <c r="A37" s="203" t="s">
        <v>132</v>
      </c>
      <c r="B37" s="11" t="s">
        <v>16</v>
      </c>
      <c r="C37" s="60">
        <f>C17*'User costs'!$I163/1000</f>
        <v>2.0704116686157428</v>
      </c>
      <c r="D37" s="119">
        <f>D17*'User costs'!$I163/1000</f>
        <v>2.1198945074956588</v>
      </c>
      <c r="E37" s="28">
        <f>E17*'User costs'!$I163/1000</f>
        <v>2.170559986224805</v>
      </c>
      <c r="F37" s="28">
        <f>F17*'User costs'!$I163/1000</f>
        <v>2.2224363698955787</v>
      </c>
      <c r="G37" s="28">
        <f>G17*'User costs'!$I163/1000</f>
        <v>2.275552599136082</v>
      </c>
      <c r="H37" s="52">
        <f>H17*'User costs'!$I163/1000</f>
        <v>2.329938306255434</v>
      </c>
      <c r="I37" s="119">
        <f>I17*'User costs'!$I163/1000</f>
        <v>2.3856238317749394</v>
      </c>
      <c r="J37" s="28">
        <f>J17*'User costs'!$I163/1000</f>
        <v>2.44264024135436</v>
      </c>
      <c r="K37" s="28">
        <f>K17*'User costs'!$I163/1000</f>
        <v>2.5010193431227297</v>
      </c>
      <c r="L37" s="28">
        <f>L17*'User costs'!$I163/1000</f>
        <v>2.5607937054233627</v>
      </c>
      <c r="M37" s="52">
        <f>M17*'User costs'!$I163/1000</f>
        <v>2.6219966749829813</v>
      </c>
      <c r="N37" s="119">
        <f>N17*'User costs'!$I163/1000</f>
        <v>2.6846623955150744</v>
      </c>
      <c r="O37" s="28">
        <f>O17*'User costs'!$I163/1000</f>
        <v>2.748825826767884</v>
      </c>
      <c r="P37" s="28">
        <f>P17*'User costs'!$I163/1000</f>
        <v>2.814522764027637</v>
      </c>
      <c r="Q37" s="28">
        <f>Q17*'User costs'!$I163/1000</f>
        <v>2.8817898580878976</v>
      </c>
      <c r="R37" s="52">
        <f>R17*'User costs'!$I163/1000</f>
        <v>2.950664635696198</v>
      </c>
      <c r="S37" s="119">
        <f>S17*'User costs'!$I163/1000</f>
        <v>3.0211855204893374</v>
      </c>
      <c r="T37" s="28">
        <f>T17*'User costs'!$I163/1000</f>
        <v>3.0933918544290324</v>
      </c>
      <c r="U37" s="28">
        <f>U17*'User costs'!$I163/1000</f>
        <v>3.1673239197498857</v>
      </c>
      <c r="V37" s="28">
        <f>V17*'User costs'!$I163/1000</f>
        <v>3.2430229614319077</v>
      </c>
      <c r="W37" s="29">
        <f>W17*'User costs'!$I163/1000</f>
        <v>3.32053121021013</v>
      </c>
    </row>
    <row r="38" spans="1:23" ht="12.75">
      <c r="A38" s="203" t="s">
        <v>126</v>
      </c>
      <c r="B38" s="11" t="s">
        <v>16</v>
      </c>
      <c r="C38" s="60">
        <f>C18*'User costs'!$I164/1000</f>
        <v>47.619468378162075</v>
      </c>
      <c r="D38" s="119">
        <f>D18*'User costs'!$I164/1000</f>
        <v>48.757573672400156</v>
      </c>
      <c r="E38" s="28">
        <f>E18*'User costs'!$I164/1000</f>
        <v>49.92287968317053</v>
      </c>
      <c r="F38" s="28">
        <f>F18*'User costs'!$I164/1000</f>
        <v>51.11603650759828</v>
      </c>
      <c r="G38" s="28">
        <f>G18*'User costs'!$I164/1000</f>
        <v>52.337709780129885</v>
      </c>
      <c r="H38" s="52">
        <f>H18*'User costs'!$I164/1000</f>
        <v>53.588581043874996</v>
      </c>
      <c r="I38" s="119">
        <f>I18*'User costs'!$I164/1000</f>
        <v>54.86934813082362</v>
      </c>
      <c r="J38" s="28">
        <f>J18*'User costs'!$I164/1000</f>
        <v>56.180725551150296</v>
      </c>
      <c r="K38" s="28">
        <f>K18*'User costs'!$I164/1000</f>
        <v>57.52344489182278</v>
      </c>
      <c r="L38" s="28">
        <f>L18*'User costs'!$I164/1000</f>
        <v>58.89825522473735</v>
      </c>
      <c r="M38" s="52">
        <f>M18*'User costs'!$I164/1000</f>
        <v>60.30592352460857</v>
      </c>
      <c r="N38" s="119">
        <f>N18*'User costs'!$I164/1000</f>
        <v>61.74723509684671</v>
      </c>
      <c r="O38" s="28">
        <f>O18*'User costs'!$I164/1000</f>
        <v>63.222994015661335</v>
      </c>
      <c r="P38" s="28">
        <f>P18*'User costs'!$I164/1000</f>
        <v>64.73402357263564</v>
      </c>
      <c r="Q38" s="28">
        <f>Q18*'User costs'!$I164/1000</f>
        <v>66.28116673602163</v>
      </c>
      <c r="R38" s="52">
        <f>R18*'User costs'!$I164/1000</f>
        <v>67.86528662101254</v>
      </c>
      <c r="S38" s="119">
        <f>S18*'User costs'!$I164/1000</f>
        <v>69.48726697125477</v>
      </c>
      <c r="T38" s="28">
        <f>T18*'User costs'!$I164/1000</f>
        <v>71.14801265186775</v>
      </c>
      <c r="U38" s="28">
        <f>U18*'User costs'!$I164/1000</f>
        <v>72.84845015424737</v>
      </c>
      <c r="V38" s="28">
        <f>V18*'User costs'!$I164/1000</f>
        <v>74.58952811293388</v>
      </c>
      <c r="W38" s="29">
        <f>W18*'User costs'!$I164/1000</f>
        <v>76.37221783483302</v>
      </c>
    </row>
    <row r="39" spans="1:23" ht="12.75">
      <c r="A39" s="203" t="s">
        <v>127</v>
      </c>
      <c r="B39" s="11" t="s">
        <v>16</v>
      </c>
      <c r="C39" s="60">
        <f>C19*'User costs'!$I165/1000</f>
        <v>0</v>
      </c>
      <c r="D39" s="119">
        <f>D19*'User costs'!$I165/1000</f>
        <v>0</v>
      </c>
      <c r="E39" s="28">
        <f>E19*'User costs'!$I165/1000</f>
        <v>0</v>
      </c>
      <c r="F39" s="28">
        <f>F19*'User costs'!$I165/1000</f>
        <v>0</v>
      </c>
      <c r="G39" s="28">
        <f>G19*'User costs'!$I165/1000</f>
        <v>0</v>
      </c>
      <c r="H39" s="52">
        <f>H19*'User costs'!$I165/1000</f>
        <v>0</v>
      </c>
      <c r="I39" s="119">
        <f>I19*'User costs'!$I165/1000</f>
        <v>0</v>
      </c>
      <c r="J39" s="28">
        <f>J19*'User costs'!$I165/1000</f>
        <v>0</v>
      </c>
      <c r="K39" s="28">
        <f>K19*'User costs'!$I165/1000</f>
        <v>0</v>
      </c>
      <c r="L39" s="28">
        <f>L19*'User costs'!$I165/1000</f>
        <v>0</v>
      </c>
      <c r="M39" s="52">
        <f>M19*'User costs'!$I165/1000</f>
        <v>0</v>
      </c>
      <c r="N39" s="119">
        <f>N19*'User costs'!$I165/1000</f>
        <v>0</v>
      </c>
      <c r="O39" s="28">
        <f>O19*'User costs'!$I165/1000</f>
        <v>0</v>
      </c>
      <c r="P39" s="28">
        <f>P19*'User costs'!$I165/1000</f>
        <v>0</v>
      </c>
      <c r="Q39" s="28">
        <f>Q19*'User costs'!$I165/1000</f>
        <v>0</v>
      </c>
      <c r="R39" s="52">
        <f>R19*'User costs'!$I165/1000</f>
        <v>0</v>
      </c>
      <c r="S39" s="119">
        <f>S19*'User costs'!$I165/1000</f>
        <v>0</v>
      </c>
      <c r="T39" s="28">
        <f>T19*'User costs'!$I165/1000</f>
        <v>0</v>
      </c>
      <c r="U39" s="28">
        <f>U19*'User costs'!$I165/1000</f>
        <v>0</v>
      </c>
      <c r="V39" s="28">
        <f>V19*'User costs'!$I165/1000</f>
        <v>0</v>
      </c>
      <c r="W39" s="29">
        <f>W19*'User costs'!$I165/1000</f>
        <v>0</v>
      </c>
    </row>
    <row r="40" spans="1:23" ht="12.75">
      <c r="A40" s="203" t="s">
        <v>128</v>
      </c>
      <c r="B40" s="11" t="s">
        <v>16</v>
      </c>
      <c r="C40" s="60">
        <f>C20*'User costs'!$I166/1000</f>
        <v>0</v>
      </c>
      <c r="D40" s="119">
        <f>D20*'User costs'!$I166/1000</f>
        <v>0</v>
      </c>
      <c r="E40" s="28">
        <f>E20*'User costs'!$I166/1000</f>
        <v>0</v>
      </c>
      <c r="F40" s="28">
        <f>F20*'User costs'!$I166/1000</f>
        <v>0</v>
      </c>
      <c r="G40" s="28">
        <f>G20*'User costs'!$I166/1000</f>
        <v>0</v>
      </c>
      <c r="H40" s="52">
        <f>H20*'User costs'!$I166/1000</f>
        <v>0</v>
      </c>
      <c r="I40" s="119">
        <f>I20*'User costs'!$I166/1000</f>
        <v>0</v>
      </c>
      <c r="J40" s="28">
        <f>J20*'User costs'!$I166/1000</f>
        <v>0</v>
      </c>
      <c r="K40" s="28">
        <f>K20*'User costs'!$I166/1000</f>
        <v>0</v>
      </c>
      <c r="L40" s="28">
        <f>L20*'User costs'!$I166/1000</f>
        <v>0</v>
      </c>
      <c r="M40" s="52">
        <f>M20*'User costs'!$I166/1000</f>
        <v>0</v>
      </c>
      <c r="N40" s="119">
        <f>N20*'User costs'!$I166/1000</f>
        <v>0</v>
      </c>
      <c r="O40" s="28">
        <f>O20*'User costs'!$I166/1000</f>
        <v>0</v>
      </c>
      <c r="P40" s="28">
        <f>P20*'User costs'!$I166/1000</f>
        <v>0</v>
      </c>
      <c r="Q40" s="28">
        <f>Q20*'User costs'!$I166/1000</f>
        <v>0</v>
      </c>
      <c r="R40" s="52">
        <f>R20*'User costs'!$I166/1000</f>
        <v>0</v>
      </c>
      <c r="S40" s="119">
        <f>S20*'User costs'!$I166/1000</f>
        <v>0</v>
      </c>
      <c r="T40" s="28">
        <f>T20*'User costs'!$I166/1000</f>
        <v>0</v>
      </c>
      <c r="U40" s="28">
        <f>U20*'User costs'!$I166/1000</f>
        <v>0</v>
      </c>
      <c r="V40" s="28">
        <f>V20*'User costs'!$I166/1000</f>
        <v>0</v>
      </c>
      <c r="W40" s="29">
        <f>W20*'User costs'!$I166/1000</f>
        <v>0</v>
      </c>
    </row>
    <row r="41" spans="1:23" ht="12.75">
      <c r="A41" s="203" t="s">
        <v>129</v>
      </c>
      <c r="B41" s="11" t="s">
        <v>16</v>
      </c>
      <c r="C41" s="60">
        <f>C21*'User costs'!$I167/1000</f>
        <v>0</v>
      </c>
      <c r="D41" s="119">
        <f>D21*'User costs'!$I167/1000</f>
        <v>0</v>
      </c>
      <c r="E41" s="28">
        <f>E21*'User costs'!$I167/1000</f>
        <v>0</v>
      </c>
      <c r="F41" s="28">
        <f>F21*'User costs'!$I167/1000</f>
        <v>0</v>
      </c>
      <c r="G41" s="28">
        <f>G21*'User costs'!$I167/1000</f>
        <v>0</v>
      </c>
      <c r="H41" s="52">
        <f>H21*'User costs'!$I167/1000</f>
        <v>0</v>
      </c>
      <c r="I41" s="119">
        <f>I21*'User costs'!$I167/1000</f>
        <v>0</v>
      </c>
      <c r="J41" s="28">
        <f>J21*'User costs'!$I167/1000</f>
        <v>0</v>
      </c>
      <c r="K41" s="28">
        <f>K21*'User costs'!$I167/1000</f>
        <v>0</v>
      </c>
      <c r="L41" s="28">
        <f>L21*'User costs'!$I167/1000</f>
        <v>0</v>
      </c>
      <c r="M41" s="52">
        <f>M21*'User costs'!$I167/1000</f>
        <v>0</v>
      </c>
      <c r="N41" s="119">
        <f>N21*'User costs'!$I167/1000</f>
        <v>0</v>
      </c>
      <c r="O41" s="28">
        <f>O21*'User costs'!$I167/1000</f>
        <v>0</v>
      </c>
      <c r="P41" s="28">
        <f>P21*'User costs'!$I167/1000</f>
        <v>0</v>
      </c>
      <c r="Q41" s="28">
        <f>Q21*'User costs'!$I167/1000</f>
        <v>0</v>
      </c>
      <c r="R41" s="52">
        <f>R21*'User costs'!$I167/1000</f>
        <v>0</v>
      </c>
      <c r="S41" s="119">
        <f>S21*'User costs'!$I167/1000</f>
        <v>0</v>
      </c>
      <c r="T41" s="28">
        <f>T21*'User costs'!$I167/1000</f>
        <v>0</v>
      </c>
      <c r="U41" s="28">
        <f>U21*'User costs'!$I167/1000</f>
        <v>0</v>
      </c>
      <c r="V41" s="28">
        <f>V21*'User costs'!$I167/1000</f>
        <v>0</v>
      </c>
      <c r="W41" s="29">
        <f>W21*'User costs'!$I167/1000</f>
        <v>0</v>
      </c>
    </row>
    <row r="42" spans="1:23" ht="12.75">
      <c r="A42" s="203" t="s">
        <v>130</v>
      </c>
      <c r="B42" s="11" t="s">
        <v>16</v>
      </c>
      <c r="C42" s="60">
        <f>C22*'User costs'!$I168/1000</f>
        <v>0</v>
      </c>
      <c r="D42" s="119">
        <f>D22*'User costs'!$I168/1000</f>
        <v>0</v>
      </c>
      <c r="E42" s="28">
        <f>E22*'User costs'!$I168/1000</f>
        <v>0</v>
      </c>
      <c r="F42" s="28">
        <f>F22*'User costs'!$I168/1000</f>
        <v>0</v>
      </c>
      <c r="G42" s="28">
        <f>G22*'User costs'!$I168/1000</f>
        <v>0</v>
      </c>
      <c r="H42" s="52">
        <f>H22*'User costs'!$I168/1000</f>
        <v>0</v>
      </c>
      <c r="I42" s="119">
        <f>I22*'User costs'!$I168/1000</f>
        <v>0</v>
      </c>
      <c r="J42" s="28">
        <f>J22*'User costs'!$I168/1000</f>
        <v>0</v>
      </c>
      <c r="K42" s="28">
        <f>K22*'User costs'!$I168/1000</f>
        <v>0</v>
      </c>
      <c r="L42" s="28">
        <f>L22*'User costs'!$I168/1000</f>
        <v>0</v>
      </c>
      <c r="M42" s="52">
        <f>M22*'User costs'!$I168/1000</f>
        <v>0</v>
      </c>
      <c r="N42" s="119">
        <f>N22*'User costs'!$I168/1000</f>
        <v>0</v>
      </c>
      <c r="O42" s="28">
        <f>O22*'User costs'!$I168/1000</f>
        <v>0</v>
      </c>
      <c r="P42" s="28">
        <f>P22*'User costs'!$I168/1000</f>
        <v>0</v>
      </c>
      <c r="Q42" s="28">
        <f>Q22*'User costs'!$I168/1000</f>
        <v>0</v>
      </c>
      <c r="R42" s="52">
        <f>R22*'User costs'!$I168/1000</f>
        <v>0</v>
      </c>
      <c r="S42" s="119">
        <f>S22*'User costs'!$I168/1000</f>
        <v>0</v>
      </c>
      <c r="T42" s="28">
        <f>T22*'User costs'!$I168/1000</f>
        <v>0</v>
      </c>
      <c r="U42" s="28">
        <f>U22*'User costs'!$I168/1000</f>
        <v>0</v>
      </c>
      <c r="V42" s="28">
        <f>V22*'User costs'!$I168/1000</f>
        <v>0</v>
      </c>
      <c r="W42" s="29">
        <f>W22*'User costs'!$I168/1000</f>
        <v>0</v>
      </c>
    </row>
    <row r="43" spans="1:23" s="19" customFormat="1" ht="12.75">
      <c r="A43" s="203" t="s">
        <v>131</v>
      </c>
      <c r="B43" s="11" t="s">
        <v>16</v>
      </c>
      <c r="C43" s="60">
        <f>C23*'User costs'!$I169/1000</f>
        <v>45.86994880437895</v>
      </c>
      <c r="D43" s="119">
        <f>D23*'User costs'!$I169/1000</f>
        <v>46.966240580803614</v>
      </c>
      <c r="E43" s="28">
        <f>E23*'User costs'!$I169/1000</f>
        <v>48.08873373068481</v>
      </c>
      <c r="F43" s="28">
        <f>F23*'User costs'!$I169/1000</f>
        <v>49.23805446684818</v>
      </c>
      <c r="G43" s="28">
        <f>G23*'User costs'!$I169/1000</f>
        <v>50.41484396860585</v>
      </c>
      <c r="H43" s="52">
        <f>H23*'User costs'!$I169/1000</f>
        <v>51.61975873945553</v>
      </c>
      <c r="I43" s="119">
        <f>I23*'User costs'!$I169/1000</f>
        <v>52.85347097332853</v>
      </c>
      <c r="J43" s="28">
        <f>J23*'User costs'!$I169/1000</f>
        <v>54.11666892959107</v>
      </c>
      <c r="K43" s="28">
        <f>K23*'User costs'!$I169/1000</f>
        <v>55.4100573170083</v>
      </c>
      <c r="L43" s="28">
        <f>L23*'User costs'!$I169/1000</f>
        <v>56.7343576868848</v>
      </c>
      <c r="M43" s="52">
        <f>M23*'User costs'!$I169/1000</f>
        <v>58.09030883560135</v>
      </c>
      <c r="N43" s="119">
        <f>N23*'User costs'!$I169/1000</f>
        <v>59.478667216772216</v>
      </c>
      <c r="O43" s="28">
        <f>O23*'User costs'!$I169/1000</f>
        <v>60.90020736325306</v>
      </c>
      <c r="P43" s="28">
        <f>P23*'User costs'!$I169/1000</f>
        <v>62.35572231923481</v>
      </c>
      <c r="Q43" s="28">
        <f>Q23*'User costs'!$I169/1000</f>
        <v>63.846024082664535</v>
      </c>
      <c r="R43" s="52">
        <f>R23*'User costs'!$I169/1000</f>
        <v>65.3719440582402</v>
      </c>
      <c r="S43" s="119">
        <f>S23*'User costs'!$I169/1000</f>
        <v>66.93433352123213</v>
      </c>
      <c r="T43" s="28">
        <f>T23*'User costs'!$I169/1000</f>
        <v>68.53406409238957</v>
      </c>
      <c r="U43" s="28">
        <f>U23*'User costs'!$I169/1000</f>
        <v>70.1720282241977</v>
      </c>
      <c r="V43" s="28">
        <f>V23*'User costs'!$I169/1000</f>
        <v>71.84913969875602</v>
      </c>
      <c r="W43" s="29">
        <f>W23*'User costs'!$I169/1000</f>
        <v>73.56633413755627</v>
      </c>
    </row>
    <row r="44" spans="1:23" s="19" customFormat="1" ht="12.75">
      <c r="A44" s="257" t="s">
        <v>55</v>
      </c>
      <c r="B44" s="19" t="s">
        <v>16</v>
      </c>
      <c r="C44" s="61">
        <f>SUM(C37:C43)</f>
        <v>95.55982885115677</v>
      </c>
      <c r="D44" s="61">
        <f aca="true" t="shared" si="2" ref="D44:W44">SUM(D37:D43)</f>
        <v>97.84370876069943</v>
      </c>
      <c r="E44" s="61">
        <f t="shared" si="2"/>
        <v>100.18217340008013</v>
      </c>
      <c r="F44" s="61">
        <f t="shared" si="2"/>
        <v>102.57652734434204</v>
      </c>
      <c r="G44" s="61">
        <f t="shared" si="2"/>
        <v>105.02810634787181</v>
      </c>
      <c r="H44" s="61">
        <f t="shared" si="2"/>
        <v>107.53827808958596</v>
      </c>
      <c r="I44" s="61">
        <f t="shared" si="2"/>
        <v>110.10844293592709</v>
      </c>
      <c r="J44" s="61">
        <f t="shared" si="2"/>
        <v>112.74003472209573</v>
      </c>
      <c r="K44" s="61">
        <f t="shared" si="2"/>
        <v>115.43452155195381</v>
      </c>
      <c r="L44" s="61">
        <f t="shared" si="2"/>
        <v>118.19340661704551</v>
      </c>
      <c r="M44" s="61">
        <f t="shared" si="2"/>
        <v>121.0182290351929</v>
      </c>
      <c r="N44" s="61">
        <f t="shared" si="2"/>
        <v>123.91056470913401</v>
      </c>
      <c r="O44" s="61">
        <f t="shared" si="2"/>
        <v>126.87202720568227</v>
      </c>
      <c r="P44" s="61">
        <f t="shared" si="2"/>
        <v>129.90426865589808</v>
      </c>
      <c r="Q44" s="61">
        <f t="shared" si="2"/>
        <v>133.00898067677406</v>
      </c>
      <c r="R44" s="61">
        <f t="shared" si="2"/>
        <v>136.18789531494895</v>
      </c>
      <c r="S44" s="61">
        <f t="shared" si="2"/>
        <v>139.44278601297623</v>
      </c>
      <c r="T44" s="61">
        <f t="shared" si="2"/>
        <v>142.77546859868636</v>
      </c>
      <c r="U44" s="61">
        <f t="shared" si="2"/>
        <v>146.18780229819498</v>
      </c>
      <c r="V44" s="61">
        <f t="shared" si="2"/>
        <v>149.6816907731218</v>
      </c>
      <c r="W44" s="61">
        <f t="shared" si="2"/>
        <v>153.25908318259943</v>
      </c>
    </row>
    <row r="45" spans="1:23" ht="12.75">
      <c r="A45" s="12"/>
      <c r="C45" s="18"/>
      <c r="H45" s="50"/>
      <c r="M45" s="50"/>
      <c r="R45" s="50"/>
      <c r="W45" s="13"/>
    </row>
    <row r="46" spans="1:23" ht="12.75">
      <c r="A46" s="22" t="s">
        <v>53</v>
      </c>
      <c r="C46" s="18"/>
      <c r="H46" s="50"/>
      <c r="M46" s="50"/>
      <c r="R46" s="50"/>
      <c r="W46" s="13"/>
    </row>
    <row r="47" spans="1:23" ht="12.75">
      <c r="A47" s="203" t="s">
        <v>132</v>
      </c>
      <c r="B47" s="11" t="s">
        <v>16</v>
      </c>
      <c r="C47" s="60">
        <f>C27*Assumptions!$C$20/1000</f>
        <v>17.00133843804386</v>
      </c>
      <c r="D47" s="119">
        <f>D27*Assumptions!$C$20/1000</f>
        <v>17.407670426713107</v>
      </c>
      <c r="E47" s="28">
        <f>E27*Assumptions!$C$20/1000</f>
        <v>17.823713749911548</v>
      </c>
      <c r="F47" s="28">
        <f>F27*Assumptions!$C$20/1000</f>
        <v>18.249700508534435</v>
      </c>
      <c r="G47" s="28">
        <f>G27*Assumptions!$C$20/1000</f>
        <v>18.685868350688406</v>
      </c>
      <c r="H47" s="52">
        <f>H27*Assumptions!$C$20/1000</f>
        <v>19.132460604269863</v>
      </c>
      <c r="I47" s="119">
        <f>I27*Assumptions!$C$20/1000</f>
        <v>19.589726412711908</v>
      </c>
      <c r="J47" s="28">
        <f>J27*Assumptions!$C$20/1000</f>
        <v>20.05792087397572</v>
      </c>
      <c r="K47" s="28">
        <f>K27*Assumptions!$C$20/1000</f>
        <v>20.537305182863744</v>
      </c>
      <c r="L47" s="28">
        <f>L27*Assumptions!$C$20/1000</f>
        <v>21.028146776734186</v>
      </c>
      <c r="M47" s="52">
        <f>M27*Assumptions!$C$20/1000</f>
        <v>21.530719484698132</v>
      </c>
      <c r="N47" s="119">
        <f>N27*Assumptions!$C$20/1000</f>
        <v>22.04530368038242</v>
      </c>
      <c r="O47" s="28">
        <f>O27*Assumptions!$C$20/1000</f>
        <v>22.572186438343557</v>
      </c>
      <c r="P47" s="28">
        <f>P27*Assumptions!$C$20/1000</f>
        <v>23.11166169421997</v>
      </c>
      <c r="Q47" s="28">
        <f>Q27*Assumptions!$C$20/1000</f>
        <v>23.664030408711827</v>
      </c>
      <c r="R47" s="52">
        <f>R27*Assumptions!$C$20/1000</f>
        <v>24.22960073548004</v>
      </c>
      <c r="S47" s="119">
        <f>S27*Assumptions!$C$20/1000</f>
        <v>24.808688193058014</v>
      </c>
      <c r="T47" s="28">
        <f>T27*Assumptions!$C$20/1000</f>
        <v>25.401615840872093</v>
      </c>
      <c r="U47" s="28">
        <f>U27*Assumptions!$C$20/1000</f>
        <v>26.00871445946893</v>
      </c>
      <c r="V47" s="28">
        <f>V27*Assumptions!$C$20/1000</f>
        <v>26.630322735050242</v>
      </c>
      <c r="W47" s="29">
        <f>W27*Assumptions!$C$20/1000</f>
        <v>27.26678744841794</v>
      </c>
    </row>
    <row r="48" spans="1:23" ht="12.75">
      <c r="A48" s="203" t="s">
        <v>126</v>
      </c>
      <c r="B48" s="11" t="s">
        <v>16</v>
      </c>
      <c r="C48" s="60">
        <f>C28*Assumptions!$C$20/1000</f>
        <v>391.0307840750086</v>
      </c>
      <c r="D48" s="119">
        <f>D28*Assumptions!$C$20/1000</f>
        <v>400.3764198144014</v>
      </c>
      <c r="E48" s="28">
        <f>E28*Assumptions!$C$20/1000</f>
        <v>409.9454162479656</v>
      </c>
      <c r="F48" s="28">
        <f>F28*Assumptions!$C$20/1000</f>
        <v>419.74311169629203</v>
      </c>
      <c r="G48" s="28">
        <f>G28*Assumptions!$C$20/1000</f>
        <v>429.7749720658334</v>
      </c>
      <c r="H48" s="52">
        <f>H28*Assumptions!$C$20/1000</f>
        <v>440.0465938982068</v>
      </c>
      <c r="I48" s="119">
        <f>I28*Assumptions!$C$20/1000</f>
        <v>450.563707492374</v>
      </c>
      <c r="J48" s="28">
        <f>J28*Assumptions!$C$20/1000</f>
        <v>461.3321801014417</v>
      </c>
      <c r="K48" s="28">
        <f>K28*Assumptions!$C$20/1000</f>
        <v>472.35801920586607</v>
      </c>
      <c r="L48" s="28">
        <f>L28*Assumptions!$C$20/1000</f>
        <v>483.64737586488627</v>
      </c>
      <c r="M48" s="52">
        <f>M28*Assumptions!$C$20/1000</f>
        <v>495.20654814805715</v>
      </c>
      <c r="N48" s="119">
        <f>N28*Assumptions!$C$20/1000</f>
        <v>507.0419846487956</v>
      </c>
      <c r="O48" s="28">
        <f>O28*Assumptions!$C$20/1000</f>
        <v>519.1602880819017</v>
      </c>
      <c r="P48" s="28">
        <f>P28*Assumptions!$C$20/1000</f>
        <v>531.5682189670591</v>
      </c>
      <c r="Q48" s="28">
        <f>Q28*Assumptions!$C$20/1000</f>
        <v>544.272699400372</v>
      </c>
      <c r="R48" s="52">
        <f>R28*Assumptions!$C$20/1000</f>
        <v>557.2808169160409</v>
      </c>
      <c r="S48" s="119">
        <f>S28*Assumptions!$C$20/1000</f>
        <v>570.5998284403342</v>
      </c>
      <c r="T48" s="28">
        <f>T28*Assumptions!$C$20/1000</f>
        <v>584.2371643400581</v>
      </c>
      <c r="U48" s="28">
        <f>U28*Assumptions!$C$20/1000</f>
        <v>598.2004325677855</v>
      </c>
      <c r="V48" s="28">
        <f>V28*Assumptions!$C$20/1000</f>
        <v>612.4974229061556</v>
      </c>
      <c r="W48" s="29">
        <f>W28*Assumptions!$C$20/1000</f>
        <v>627.1361113136127</v>
      </c>
    </row>
    <row r="49" spans="1:23" ht="12.75">
      <c r="A49" s="203" t="s">
        <v>127</v>
      </c>
      <c r="B49" s="11" t="s">
        <v>16</v>
      </c>
      <c r="C49" s="60">
        <f>C29*Assumptions!$C$20/1000</f>
        <v>51.00401531413156</v>
      </c>
      <c r="D49" s="119">
        <f>D29*Assumptions!$C$20/1000</f>
        <v>52.22301128013931</v>
      </c>
      <c r="E49" s="28">
        <f>E29*Assumptions!$C$20/1000</f>
        <v>53.47114124973464</v>
      </c>
      <c r="F49" s="28">
        <f>F29*Assumptions!$C$20/1000</f>
        <v>54.749101525603294</v>
      </c>
      <c r="G49" s="28">
        <f>G29*Assumptions!$C$20/1000</f>
        <v>56.05760505206521</v>
      </c>
      <c r="H49" s="52">
        <f>H29*Assumptions!$C$20/1000</f>
        <v>57.397381812809584</v>
      </c>
      <c r="I49" s="119">
        <f>I29*Assumptions!$C$20/1000</f>
        <v>58.769179238135735</v>
      </c>
      <c r="J49" s="28">
        <f>J29*Assumptions!$C$20/1000</f>
        <v>60.17376262192716</v>
      </c>
      <c r="K49" s="28">
        <f>K29*Assumptions!$C$20/1000</f>
        <v>61.61191554859123</v>
      </c>
      <c r="L49" s="28">
        <f>L29*Assumptions!$C$20/1000</f>
        <v>63.08444033020257</v>
      </c>
      <c r="M49" s="52">
        <f>M29*Assumptions!$C$20/1000</f>
        <v>64.59215845409439</v>
      </c>
      <c r="N49" s="119">
        <f>N29*Assumptions!$C$20/1000</f>
        <v>66.13591104114727</v>
      </c>
      <c r="O49" s="28">
        <f>O29*Assumptions!$C$20/1000</f>
        <v>67.71655931503068</v>
      </c>
      <c r="P49" s="28">
        <f>P29*Assumptions!$C$20/1000</f>
        <v>69.3349850826599</v>
      </c>
      <c r="Q49" s="28">
        <f>Q29*Assumptions!$C$20/1000</f>
        <v>70.99209122613549</v>
      </c>
      <c r="R49" s="52">
        <f>R29*Assumptions!$C$20/1000</f>
        <v>72.68880220644012</v>
      </c>
      <c r="S49" s="119">
        <f>S29*Assumptions!$C$20/1000</f>
        <v>74.42606457917402</v>
      </c>
      <c r="T49" s="28">
        <f>T29*Assumptions!$C$20/1000</f>
        <v>76.2048475226163</v>
      </c>
      <c r="U49" s="28">
        <f>U29*Assumptions!$C$20/1000</f>
        <v>78.0261433784068</v>
      </c>
      <c r="V49" s="28">
        <f>V29*Assumptions!$C$20/1000</f>
        <v>79.89096820515073</v>
      </c>
      <c r="W49" s="29">
        <f>W29*Assumptions!$C$20/1000</f>
        <v>81.80036234525383</v>
      </c>
    </row>
    <row r="50" spans="1:23" ht="12.75">
      <c r="A50" s="203" t="s">
        <v>128</v>
      </c>
      <c r="B50" s="11" t="s">
        <v>16</v>
      </c>
      <c r="C50" s="60">
        <f>C30*Assumptions!$C$20/1000</f>
        <v>17.00133843804386</v>
      </c>
      <c r="D50" s="119">
        <f>D30*Assumptions!$C$20/1000</f>
        <v>17.407670426713107</v>
      </c>
      <c r="E50" s="28">
        <f>E30*Assumptions!$C$20/1000</f>
        <v>17.823713749911548</v>
      </c>
      <c r="F50" s="28">
        <f>F30*Assumptions!$C$20/1000</f>
        <v>18.249700508534435</v>
      </c>
      <c r="G50" s="28">
        <f>G30*Assumptions!$C$20/1000</f>
        <v>18.685868350688406</v>
      </c>
      <c r="H50" s="52">
        <f>H30*Assumptions!$C$20/1000</f>
        <v>19.132460604269863</v>
      </c>
      <c r="I50" s="119">
        <f>I30*Assumptions!$C$20/1000</f>
        <v>19.589726412711908</v>
      </c>
      <c r="J50" s="28">
        <f>J30*Assumptions!$C$20/1000</f>
        <v>20.05792087397572</v>
      </c>
      <c r="K50" s="28">
        <f>K30*Assumptions!$C$20/1000</f>
        <v>20.537305182863744</v>
      </c>
      <c r="L50" s="28">
        <f>L30*Assumptions!$C$20/1000</f>
        <v>21.028146776734186</v>
      </c>
      <c r="M50" s="52">
        <f>M30*Assumptions!$C$20/1000</f>
        <v>21.530719484698132</v>
      </c>
      <c r="N50" s="119">
        <f>N30*Assumptions!$C$20/1000</f>
        <v>22.04530368038242</v>
      </c>
      <c r="O50" s="28">
        <f>O30*Assumptions!$C$20/1000</f>
        <v>22.572186438343557</v>
      </c>
      <c r="P50" s="28">
        <f>P30*Assumptions!$C$20/1000</f>
        <v>23.11166169421997</v>
      </c>
      <c r="Q50" s="28">
        <f>Q30*Assumptions!$C$20/1000</f>
        <v>23.664030408711827</v>
      </c>
      <c r="R50" s="52">
        <f>R30*Assumptions!$C$20/1000</f>
        <v>24.22960073548004</v>
      </c>
      <c r="S50" s="119">
        <f>S30*Assumptions!$C$20/1000</f>
        <v>24.808688193058014</v>
      </c>
      <c r="T50" s="28">
        <f>T30*Assumptions!$C$20/1000</f>
        <v>25.401615840872093</v>
      </c>
      <c r="U50" s="28">
        <f>U30*Assumptions!$C$20/1000</f>
        <v>26.00871445946893</v>
      </c>
      <c r="V50" s="28">
        <f>V30*Assumptions!$C$20/1000</f>
        <v>26.630322735050242</v>
      </c>
      <c r="W50" s="29">
        <f>W30*Assumptions!$C$20/1000</f>
        <v>27.26678744841794</v>
      </c>
    </row>
    <row r="51" spans="1:23" ht="12.75">
      <c r="A51" s="203" t="s">
        <v>129</v>
      </c>
      <c r="B51" s="11" t="s">
        <v>16</v>
      </c>
      <c r="C51" s="60">
        <f>C31*Assumptions!$C$20/1000</f>
        <v>68.00535375217544</v>
      </c>
      <c r="D51" s="119">
        <f>D31*Assumptions!$C$20/1000</f>
        <v>69.63068170685243</v>
      </c>
      <c r="E51" s="28">
        <f>E31*Assumptions!$C$20/1000</f>
        <v>71.29485499964619</v>
      </c>
      <c r="F51" s="28">
        <f>F31*Assumptions!$C$20/1000</f>
        <v>72.99880203413774</v>
      </c>
      <c r="G51" s="28">
        <f>G31*Assumptions!$C$20/1000</f>
        <v>74.74347340275362</v>
      </c>
      <c r="H51" s="52">
        <f>H31*Assumptions!$C$20/1000</f>
        <v>76.52984241707945</v>
      </c>
      <c r="I51" s="119">
        <f>I31*Assumptions!$C$20/1000</f>
        <v>78.35890565084763</v>
      </c>
      <c r="J51" s="28">
        <f>J31*Assumptions!$C$20/1000</f>
        <v>80.23168349590289</v>
      </c>
      <c r="K51" s="28">
        <f>K31*Assumptions!$C$20/1000</f>
        <v>82.14922073145497</v>
      </c>
      <c r="L51" s="28">
        <f>L31*Assumptions!$C$20/1000</f>
        <v>84.11258710693674</v>
      </c>
      <c r="M51" s="52">
        <f>M31*Assumptions!$C$20/1000</f>
        <v>86.12287793879253</v>
      </c>
      <c r="N51" s="119">
        <f>N31*Assumptions!$C$20/1000</f>
        <v>88.18121472152968</v>
      </c>
      <c r="O51" s="28">
        <f>O31*Assumptions!$C$20/1000</f>
        <v>90.28874575337423</v>
      </c>
      <c r="P51" s="28">
        <f>P31*Assumptions!$C$20/1000</f>
        <v>92.44664677687987</v>
      </c>
      <c r="Q51" s="28">
        <f>Q31*Assumptions!$C$20/1000</f>
        <v>94.65612163484731</v>
      </c>
      <c r="R51" s="52">
        <f>R31*Assumptions!$C$20/1000</f>
        <v>96.91840294192016</v>
      </c>
      <c r="S51" s="119">
        <f>S31*Assumptions!$C$20/1000</f>
        <v>99.23475277223206</v>
      </c>
      <c r="T51" s="28">
        <f>T31*Assumptions!$C$20/1000</f>
        <v>101.60646336348837</v>
      </c>
      <c r="U51" s="28">
        <f>U31*Assumptions!$C$20/1000</f>
        <v>104.03485783787572</v>
      </c>
      <c r="V51" s="28">
        <f>V31*Assumptions!$C$20/1000</f>
        <v>106.52129094020097</v>
      </c>
      <c r="W51" s="29">
        <f>W31*Assumptions!$C$20/1000</f>
        <v>109.06714979367176</v>
      </c>
    </row>
    <row r="52" spans="1:23" ht="12.75">
      <c r="A52" s="203" t="s">
        <v>130</v>
      </c>
      <c r="B52" s="11" t="s">
        <v>16</v>
      </c>
      <c r="C52" s="60">
        <f>C32*Assumptions!$C$20/1000</f>
        <v>238.01873813261403</v>
      </c>
      <c r="D52" s="119">
        <f>D32*Assumptions!$C$20/1000</f>
        <v>243.7073859739835</v>
      </c>
      <c r="E52" s="28">
        <f>E32*Assumptions!$C$20/1000</f>
        <v>249.5319924987617</v>
      </c>
      <c r="F52" s="28">
        <f>F32*Assumptions!$C$20/1000</f>
        <v>255.4958071194821</v>
      </c>
      <c r="G52" s="28">
        <f>G32*Assumptions!$C$20/1000</f>
        <v>261.60215690963776</v>
      </c>
      <c r="H52" s="52">
        <f>H32*Assumptions!$C$20/1000</f>
        <v>267.85444845977804</v>
      </c>
      <c r="I52" s="119">
        <f>I32*Assumptions!$C$20/1000</f>
        <v>274.2561697779668</v>
      </c>
      <c r="J52" s="28">
        <f>J32*Assumptions!$C$20/1000</f>
        <v>280.81089223566016</v>
      </c>
      <c r="K52" s="28">
        <f>K32*Assumptions!$C$20/1000</f>
        <v>287.52227256009246</v>
      </c>
      <c r="L52" s="28">
        <f>L32*Assumptions!$C$20/1000</f>
        <v>294.39405487427865</v>
      </c>
      <c r="M52" s="52">
        <f>M32*Assumptions!$C$20/1000</f>
        <v>301.430072785774</v>
      </c>
      <c r="N52" s="119">
        <f>N32*Assumptions!$C$20/1000</f>
        <v>308.6342515253539</v>
      </c>
      <c r="O52" s="28">
        <f>O32*Assumptions!$C$20/1000</f>
        <v>316.0106101368098</v>
      </c>
      <c r="P52" s="28">
        <f>P32*Assumptions!$C$20/1000</f>
        <v>323.56326371907954</v>
      </c>
      <c r="Q52" s="28">
        <f>Q32*Assumptions!$C$20/1000</f>
        <v>331.2964257219656</v>
      </c>
      <c r="R52" s="52">
        <f>R32*Assumptions!$C$20/1000</f>
        <v>339.2144102967206</v>
      </c>
      <c r="S52" s="119">
        <f>S32*Assumptions!$C$20/1000</f>
        <v>347.3216347028121</v>
      </c>
      <c r="T52" s="28">
        <f>T32*Assumptions!$C$20/1000</f>
        <v>355.6226217722094</v>
      </c>
      <c r="U52" s="28">
        <f>U32*Assumptions!$C$20/1000</f>
        <v>364.1220024325651</v>
      </c>
      <c r="V52" s="28">
        <f>V32*Assumptions!$C$20/1000</f>
        <v>372.8245182907034</v>
      </c>
      <c r="W52" s="29">
        <f>W32*Assumptions!$C$20/1000</f>
        <v>381.7350242778512</v>
      </c>
    </row>
    <row r="53" spans="1:23" s="19" customFormat="1" ht="12.75">
      <c r="A53" s="203" t="s">
        <v>131</v>
      </c>
      <c r="B53" s="11" t="s">
        <v>16</v>
      </c>
      <c r="C53" s="60">
        <f>C33*Assumptions!$C$20/1000</f>
        <v>1156.0910137869823</v>
      </c>
      <c r="D53" s="119">
        <f>D33*Assumptions!$C$20/1000</f>
        <v>1183.7215890164912</v>
      </c>
      <c r="E53" s="28">
        <f>E33*Assumptions!$C$20/1000</f>
        <v>1212.0125349939851</v>
      </c>
      <c r="F53" s="28">
        <f>F33*Assumptions!$C$20/1000</f>
        <v>1240.9796345803416</v>
      </c>
      <c r="G53" s="28">
        <f>G33*Assumptions!$C$20/1000</f>
        <v>1270.6390478468115</v>
      </c>
      <c r="H53" s="52">
        <f>H33*Assumptions!$C$20/1000</f>
        <v>1301.0073210903506</v>
      </c>
      <c r="I53" s="119">
        <f>I33*Assumptions!$C$20/1000</f>
        <v>1332.10139606441</v>
      </c>
      <c r="J53" s="28">
        <f>J33*Assumptions!$C$20/1000</f>
        <v>1363.9386194303493</v>
      </c>
      <c r="K53" s="28">
        <f>K33*Assumptions!$C$20/1000</f>
        <v>1396.5367524347346</v>
      </c>
      <c r="L53" s="28">
        <f>L33*Assumptions!$C$20/1000</f>
        <v>1429.9139808179245</v>
      </c>
      <c r="M53" s="52">
        <f>M33*Assumptions!$C$20/1000</f>
        <v>1464.0889249594732</v>
      </c>
      <c r="N53" s="119">
        <f>N33*Assumptions!$C$20/1000</f>
        <v>1499.0806502660046</v>
      </c>
      <c r="O53" s="28">
        <f>O33*Assumptions!$C$20/1000</f>
        <v>1534.908677807362</v>
      </c>
      <c r="P53" s="28">
        <f>P33*Assumptions!$C$20/1000</f>
        <v>1571.5929952069578</v>
      </c>
      <c r="Q53" s="28">
        <f>Q33*Assumptions!$C$20/1000</f>
        <v>1609.1540677924045</v>
      </c>
      <c r="R53" s="52">
        <f>R33*Assumptions!$C$20/1000</f>
        <v>1647.6128500126426</v>
      </c>
      <c r="S53" s="119">
        <f>S33*Assumptions!$C$20/1000</f>
        <v>1686.9907971279445</v>
      </c>
      <c r="T53" s="28">
        <f>T33*Assumptions!$C$20/1000</f>
        <v>1727.3098771793025</v>
      </c>
      <c r="U53" s="28">
        <f>U33*Assumptions!$C$20/1000</f>
        <v>1768.5925832438877</v>
      </c>
      <c r="V53" s="28">
        <f>V33*Assumptions!$C$20/1000</f>
        <v>1810.8619459834165</v>
      </c>
      <c r="W53" s="29">
        <f>W33*Assumptions!$C$20/1000</f>
        <v>1854.1415464924198</v>
      </c>
    </row>
    <row r="54" spans="1:23" s="19" customFormat="1" ht="12.75">
      <c r="A54" s="257" t="s">
        <v>55</v>
      </c>
      <c r="B54" s="19" t="s">
        <v>16</v>
      </c>
      <c r="C54" s="61">
        <f>SUM(C47:C53)</f>
        <v>1938.1525819369997</v>
      </c>
      <c r="D54" s="61">
        <f aca="true" t="shared" si="3" ref="D54:W54">SUM(D47:D53)</f>
        <v>1984.474428645294</v>
      </c>
      <c r="E54" s="61">
        <f t="shared" si="3"/>
        <v>2031.9033674899165</v>
      </c>
      <c r="F54" s="61">
        <f t="shared" si="3"/>
        <v>2080.4658579729257</v>
      </c>
      <c r="G54" s="61">
        <f t="shared" si="3"/>
        <v>2130.1889919784785</v>
      </c>
      <c r="H54" s="61">
        <f t="shared" si="3"/>
        <v>2181.100508886764</v>
      </c>
      <c r="I54" s="61">
        <f t="shared" si="3"/>
        <v>2233.228811049158</v>
      </c>
      <c r="J54" s="61">
        <f t="shared" si="3"/>
        <v>2286.6029796332327</v>
      </c>
      <c r="K54" s="61">
        <f t="shared" si="3"/>
        <v>2341.2527908464667</v>
      </c>
      <c r="L54" s="61">
        <f t="shared" si="3"/>
        <v>2397.208732547697</v>
      </c>
      <c r="M54" s="61">
        <f t="shared" si="3"/>
        <v>2454.5020212555874</v>
      </c>
      <c r="N54" s="61">
        <f t="shared" si="3"/>
        <v>2513.164619563596</v>
      </c>
      <c r="O54" s="61">
        <f t="shared" si="3"/>
        <v>2573.2292539711652</v>
      </c>
      <c r="P54" s="61">
        <f t="shared" si="3"/>
        <v>2634.7294331410762</v>
      </c>
      <c r="Q54" s="61">
        <f t="shared" si="3"/>
        <v>2697.6994665931484</v>
      </c>
      <c r="R54" s="61">
        <f t="shared" si="3"/>
        <v>2762.1744838447244</v>
      </c>
      <c r="S54" s="61">
        <f t="shared" si="3"/>
        <v>2828.190454008613</v>
      </c>
      <c r="T54" s="61">
        <f t="shared" si="3"/>
        <v>2895.7842058594188</v>
      </c>
      <c r="U54" s="61">
        <f t="shared" si="3"/>
        <v>2964.9934483794586</v>
      </c>
      <c r="V54" s="61">
        <f t="shared" si="3"/>
        <v>3035.856791795728</v>
      </c>
      <c r="W54" s="61">
        <f t="shared" si="3"/>
        <v>3108.413769119645</v>
      </c>
    </row>
    <row r="55" spans="1:23" ht="12.75">
      <c r="A55" s="12"/>
      <c r="C55" s="18"/>
      <c r="H55" s="50"/>
      <c r="M55" s="50"/>
      <c r="R55" s="50"/>
      <c r="W55" s="13"/>
    </row>
    <row r="56" spans="1:23" s="20" customFormat="1" ht="13.5" thickBot="1">
      <c r="A56" s="23" t="s">
        <v>54</v>
      </c>
      <c r="B56" s="24" t="s">
        <v>16</v>
      </c>
      <c r="C56" s="62">
        <f aca="true" t="shared" si="4" ref="C56:W56">C44+C54</f>
        <v>2033.7124107881564</v>
      </c>
      <c r="D56" s="30">
        <f t="shared" si="4"/>
        <v>2082.318137405993</v>
      </c>
      <c r="E56" s="30">
        <f t="shared" si="4"/>
        <v>2132.0855408899965</v>
      </c>
      <c r="F56" s="30">
        <f t="shared" si="4"/>
        <v>2183.042385317268</v>
      </c>
      <c r="G56" s="30">
        <f t="shared" si="4"/>
        <v>2235.2170983263504</v>
      </c>
      <c r="H56" s="53">
        <f t="shared" si="4"/>
        <v>2288.6387869763503</v>
      </c>
      <c r="I56" s="30">
        <f t="shared" si="4"/>
        <v>2343.337253985085</v>
      </c>
      <c r="J56" s="30">
        <f t="shared" si="4"/>
        <v>2399.3430143553283</v>
      </c>
      <c r="K56" s="30">
        <f t="shared" si="4"/>
        <v>2456.6873123984205</v>
      </c>
      <c r="L56" s="30">
        <f t="shared" si="4"/>
        <v>2515.4021391647425</v>
      </c>
      <c r="M56" s="53">
        <f t="shared" si="4"/>
        <v>2575.52025029078</v>
      </c>
      <c r="N56" s="30">
        <f t="shared" si="4"/>
        <v>2637.07518427273</v>
      </c>
      <c r="O56" s="30">
        <f t="shared" si="4"/>
        <v>2700.1012811768474</v>
      </c>
      <c r="P56" s="30">
        <f t="shared" si="4"/>
        <v>2764.6337017969745</v>
      </c>
      <c r="Q56" s="30">
        <f t="shared" si="4"/>
        <v>2830.7084472699225</v>
      </c>
      <c r="R56" s="53">
        <f t="shared" si="4"/>
        <v>2898.3623791596733</v>
      </c>
      <c r="S56" s="30">
        <f t="shared" si="4"/>
        <v>2967.6332400215892</v>
      </c>
      <c r="T56" s="30">
        <f t="shared" si="4"/>
        <v>3038.5596744581053</v>
      </c>
      <c r="U56" s="30">
        <f t="shared" si="4"/>
        <v>3111.1812506776537</v>
      </c>
      <c r="V56" s="30">
        <f t="shared" si="4"/>
        <v>3185.5384825688498</v>
      </c>
      <c r="W56" s="31">
        <f t="shared" si="4"/>
        <v>3261.672852302245</v>
      </c>
    </row>
    <row r="57" ht="12.75">
      <c r="A57" s="12"/>
    </row>
    <row r="58" ht="13.5" thickBot="1">
      <c r="A58" s="12"/>
    </row>
    <row r="59" spans="1:23" ht="18">
      <c r="A59" s="171" t="s">
        <v>37</v>
      </c>
      <c r="B59" s="172"/>
      <c r="C59" s="172"/>
      <c r="D59" s="172"/>
      <c r="E59" s="172"/>
      <c r="F59" s="172"/>
      <c r="G59" s="172"/>
      <c r="H59" s="172"/>
      <c r="I59" s="172"/>
      <c r="J59" s="172"/>
      <c r="K59" s="172"/>
      <c r="L59" s="172"/>
      <c r="M59" s="172"/>
      <c r="N59" s="172"/>
      <c r="O59" s="172"/>
      <c r="P59" s="172"/>
      <c r="Q59" s="172"/>
      <c r="R59" s="172"/>
      <c r="S59" s="172"/>
      <c r="T59" s="172"/>
      <c r="U59" s="172"/>
      <c r="V59" s="172"/>
      <c r="W59" s="173"/>
    </row>
    <row r="60" spans="1:23" ht="12.75">
      <c r="A60" s="12"/>
      <c r="C60" s="56"/>
      <c r="D60" s="46"/>
      <c r="E60" s="46"/>
      <c r="F60" s="46"/>
      <c r="G60" s="46"/>
      <c r="H60" s="46"/>
      <c r="I60" s="162"/>
      <c r="M60" s="46"/>
      <c r="N60" s="162"/>
      <c r="R60" s="46"/>
      <c r="S60" s="162"/>
      <c r="W60" s="13"/>
    </row>
    <row r="61" spans="1:23" ht="12.75">
      <c r="A61" s="22" t="s">
        <v>56</v>
      </c>
      <c r="B61" s="19"/>
      <c r="C61" s="18"/>
      <c r="I61" s="17"/>
      <c r="N61" s="17"/>
      <c r="S61" s="17"/>
      <c r="W61" s="13"/>
    </row>
    <row r="62" spans="1:23" ht="12.75">
      <c r="A62" s="203" t="s">
        <v>132</v>
      </c>
      <c r="B62" s="11" t="s">
        <v>17</v>
      </c>
      <c r="C62" s="57">
        <f>'User costs'!B163</f>
        <v>12.364912280701754</v>
      </c>
      <c r="D62" s="14">
        <f>D$69*'User costs'!D174</f>
        <v>12.660433684210526</v>
      </c>
      <c r="E62" s="14">
        <f>E$69*'User costs'!E174</f>
        <v>12.963018049263157</v>
      </c>
      <c r="F62" s="14">
        <f>F$69*'User costs'!F174</f>
        <v>13.272834180640547</v>
      </c>
      <c r="G62" s="14">
        <f>G$69*'User costs'!G174</f>
        <v>13.590054917557856</v>
      </c>
      <c r="H62" s="14">
        <f>H$69*'User costs'!H174</f>
        <v>86.90727394336668</v>
      </c>
      <c r="I62" s="47">
        <f>I$69*'User costs'!I174</f>
        <v>163.7212932633397</v>
      </c>
      <c r="J62" s="14">
        <f>J$69*'User costs'!J174</f>
        <v>244.15738040285822</v>
      </c>
      <c r="K62" s="14">
        <f>K$69*'User costs'!K174</f>
        <v>328.3447932677208</v>
      </c>
      <c r="L62" s="14">
        <f>L$69*'User costs'!L174</f>
        <v>416.4168993302638</v>
      </c>
      <c r="M62" s="14">
        <f>M$69*'User costs'!M174</f>
        <v>426.3692632242572</v>
      </c>
      <c r="N62" s="47">
        <f>N$69*'User costs'!N174</f>
        <v>436.559488615317</v>
      </c>
      <c r="O62" s="14">
        <f>O$69*'User costs'!O174</f>
        <v>446.993260393223</v>
      </c>
      <c r="P62" s="14">
        <f>P$69*'User costs'!P174</f>
        <v>457.67639931662103</v>
      </c>
      <c r="Q62" s="14">
        <f>Q$69*'User costs'!Q174</f>
        <v>468.61486526028824</v>
      </c>
      <c r="R62" s="14">
        <f>R$69*'User costs'!R174</f>
        <v>479.81476054000916</v>
      </c>
      <c r="S62" s="47">
        <f>S$69*'User costs'!S174</f>
        <v>491.28233331691536</v>
      </c>
      <c r="T62" s="14">
        <f>T$69*'User costs'!T174</f>
        <v>503.0239810831896</v>
      </c>
      <c r="U62" s="14">
        <f>U$69*'User costs'!U174</f>
        <v>515.0462542310778</v>
      </c>
      <c r="V62" s="14">
        <f>V$69*'User costs'!V174</f>
        <v>527.3558597072005</v>
      </c>
      <c r="W62" s="25">
        <f>W$69*'User costs'!W174</f>
        <v>539.9596647542025</v>
      </c>
    </row>
    <row r="63" spans="1:25" ht="12.75">
      <c r="A63" s="203" t="s">
        <v>126</v>
      </c>
      <c r="B63" s="11" t="s">
        <v>17</v>
      </c>
      <c r="C63" s="57">
        <f>'User costs'!B164</f>
        <v>284.3929824561403</v>
      </c>
      <c r="D63" s="14">
        <f>D$69*'User costs'!D175</f>
        <v>291.1899747368421</v>
      </c>
      <c r="E63" s="14">
        <f>E$69*'User costs'!E175</f>
        <v>298.1494151330526</v>
      </c>
      <c r="F63" s="14">
        <f>F$69*'User costs'!F175</f>
        <v>305.2751861547326</v>
      </c>
      <c r="G63" s="14">
        <f>G$69*'User costs'!G175</f>
        <v>312.5712631038307</v>
      </c>
      <c r="H63" s="14">
        <f>H$69*'User costs'!H175</f>
        <v>497.5167297203078</v>
      </c>
      <c r="I63" s="47">
        <f>I$69*'User costs'!I175</f>
        <v>691.1240458098551</v>
      </c>
      <c r="J63" s="14">
        <f>J$69*'User costs'!J175</f>
        <v>893.7016050772991</v>
      </c>
      <c r="K63" s="14">
        <f>K$69*'User costs'!K175</f>
        <v>1105.5675947115199</v>
      </c>
      <c r="L63" s="14">
        <f>L$69*'User costs'!L175</f>
        <v>1327.05028735642</v>
      </c>
      <c r="M63" s="14">
        <f>M$69*'User costs'!M175</f>
        <v>1358.7667892242384</v>
      </c>
      <c r="N63" s="47">
        <f>N$69*'User costs'!N175</f>
        <v>1391.2413154866979</v>
      </c>
      <c r="O63" s="14">
        <f>O$69*'User costs'!O175</f>
        <v>1424.4919829268297</v>
      </c>
      <c r="P63" s="14">
        <f>P$69*'User costs'!P175</f>
        <v>1458.5373413187808</v>
      </c>
      <c r="Q63" s="14">
        <f>Q$69*'User costs'!Q175</f>
        <v>1493.3963837763</v>
      </c>
      <c r="R63" s="14">
        <f>R$69*'User costs'!R175</f>
        <v>1529.0885573485534</v>
      </c>
      <c r="S63" s="47">
        <f>S$69*'User costs'!S175</f>
        <v>1565.6337738691839</v>
      </c>
      <c r="T63" s="14">
        <f>T$69*'User costs'!T175</f>
        <v>1603.0524210646572</v>
      </c>
      <c r="U63" s="14">
        <f>U$69*'User costs'!U175</f>
        <v>1641.3653739281024</v>
      </c>
      <c r="V63" s="14">
        <f>V$69*'User costs'!V175</f>
        <v>1680.594006364984</v>
      </c>
      <c r="W63" s="25">
        <f>W$69*'User costs'!W175</f>
        <v>1720.7602031171068</v>
      </c>
      <c r="X63" s="11" t="s">
        <v>99</v>
      </c>
      <c r="Y63" s="106" t="s">
        <v>99</v>
      </c>
    </row>
    <row r="64" spans="1:23" ht="12.75">
      <c r="A64" s="203" t="s">
        <v>127</v>
      </c>
      <c r="B64" s="11" t="s">
        <v>17</v>
      </c>
      <c r="C64" s="57">
        <f>'User costs'!B165</f>
        <v>37.094736842105256</v>
      </c>
      <c r="D64" s="14">
        <f>D$69*'User costs'!D176</f>
        <v>37.98130105263158</v>
      </c>
      <c r="E64" s="14">
        <f>E$69*'User costs'!E176</f>
        <v>38.88905414778947</v>
      </c>
      <c r="F64" s="14">
        <f>F$69*'User costs'!F176</f>
        <v>39.81850254192164</v>
      </c>
      <c r="G64" s="14">
        <f>G$69*'User costs'!G176</f>
        <v>40.770164752673566</v>
      </c>
      <c r="H64" s="14">
        <f>H$69*'User costs'!H176</f>
        <v>33.39565735220997</v>
      </c>
      <c r="I64" s="47">
        <f>I$69*'User costs'!I176</f>
        <v>25.645360172195847</v>
      </c>
      <c r="J64" s="14">
        <f>J$69*'User costs'!J176</f>
        <v>17.505522853540885</v>
      </c>
      <c r="K64" s="14">
        <f>K$69*'User costs'!K176</f>
        <v>8.961952424870258</v>
      </c>
      <c r="L64" s="14">
        <f>L$69*'User costs'!L176</f>
        <v>3.0244334583406298E-15</v>
      </c>
      <c r="M64" s="14">
        <f>M$69*'User costs'!M176</f>
        <v>0</v>
      </c>
      <c r="N64" s="47">
        <f>N$69*'User costs'!N176</f>
        <v>0</v>
      </c>
      <c r="O64" s="14">
        <f>O$69*'User costs'!O176</f>
        <v>0</v>
      </c>
      <c r="P64" s="14">
        <f>P$69*'User costs'!P176</f>
        <v>0</v>
      </c>
      <c r="Q64" s="14">
        <f>Q$69*'User costs'!Q176</f>
        <v>0</v>
      </c>
      <c r="R64" s="14">
        <f>R$69*'User costs'!R176</f>
        <v>0</v>
      </c>
      <c r="S64" s="47">
        <f>S$69*'User costs'!S176</f>
        <v>0</v>
      </c>
      <c r="T64" s="14">
        <f>T$69*'User costs'!T176</f>
        <v>0</v>
      </c>
      <c r="U64" s="14">
        <f>U$69*'User costs'!U176</f>
        <v>0</v>
      </c>
      <c r="V64" s="14">
        <f>V$69*'User costs'!V176</f>
        <v>0</v>
      </c>
      <c r="W64" s="25">
        <f>W$69*'User costs'!W176</f>
        <v>0</v>
      </c>
    </row>
    <row r="65" spans="1:23" ht="12.75">
      <c r="A65" s="203" t="s">
        <v>128</v>
      </c>
      <c r="B65" s="11" t="s">
        <v>17</v>
      </c>
      <c r="C65" s="57">
        <f>'User costs'!B166</f>
        <v>12.364912280701754</v>
      </c>
      <c r="D65" s="14">
        <f>D$69*'User costs'!D177</f>
        <v>12.660433684210526</v>
      </c>
      <c r="E65" s="14">
        <f>E$69*'User costs'!E177</f>
        <v>12.963018049263157</v>
      </c>
      <c r="F65" s="14">
        <f>F$69*'User costs'!F177</f>
        <v>13.272834180640547</v>
      </c>
      <c r="G65" s="14">
        <f>G$69*'User costs'!G177</f>
        <v>13.590054917557856</v>
      </c>
      <c r="H65" s="14">
        <f>H$69*'User costs'!H177</f>
        <v>11.13188578406999</v>
      </c>
      <c r="I65" s="47">
        <f>I$69*'User costs'!I177</f>
        <v>8.548453390731947</v>
      </c>
      <c r="J65" s="14">
        <f>J$69*'User costs'!J177</f>
        <v>5.835174284513626</v>
      </c>
      <c r="K65" s="14">
        <f>K$69*'User costs'!K177</f>
        <v>2.987317474956751</v>
      </c>
      <c r="L65" s="14">
        <f>L$69*'User costs'!L177</f>
        <v>-7.561083645851574E-16</v>
      </c>
      <c r="M65" s="14">
        <f>M$69*'User costs'!M177</f>
        <v>0</v>
      </c>
      <c r="N65" s="47">
        <f>N$69*'User costs'!N177</f>
        <v>0</v>
      </c>
      <c r="O65" s="14">
        <f>O$69*'User costs'!O177</f>
        <v>0</v>
      </c>
      <c r="P65" s="14">
        <f>P$69*'User costs'!P177</f>
        <v>0</v>
      </c>
      <c r="Q65" s="14">
        <f>Q$69*'User costs'!Q177</f>
        <v>0</v>
      </c>
      <c r="R65" s="14">
        <f>R$69*'User costs'!R177</f>
        <v>0</v>
      </c>
      <c r="S65" s="47">
        <f>S$69*'User costs'!S177</f>
        <v>0</v>
      </c>
      <c r="T65" s="14">
        <f>T$69*'User costs'!T177</f>
        <v>0</v>
      </c>
      <c r="U65" s="14">
        <f>U$69*'User costs'!U177</f>
        <v>0</v>
      </c>
      <c r="V65" s="14">
        <f>V$69*'User costs'!V177</f>
        <v>0</v>
      </c>
      <c r="W65" s="25">
        <f>W$69*'User costs'!W177</f>
        <v>0</v>
      </c>
    </row>
    <row r="66" spans="1:23" ht="12.75">
      <c r="A66" s="203" t="s">
        <v>129</v>
      </c>
      <c r="B66" s="11" t="s">
        <v>17</v>
      </c>
      <c r="C66" s="57">
        <f>'User costs'!B167</f>
        <v>49.459649122807015</v>
      </c>
      <c r="D66" s="14">
        <f>D$69*'User costs'!D178</f>
        <v>50.6417347368421</v>
      </c>
      <c r="E66" s="14">
        <f>E$69*'User costs'!E178</f>
        <v>51.85207219705263</v>
      </c>
      <c r="F66" s="14">
        <f>F$69*'User costs'!F178</f>
        <v>53.09133672256219</v>
      </c>
      <c r="G66" s="14">
        <f>G$69*'User costs'!G178</f>
        <v>54.36021967023142</v>
      </c>
      <c r="H66" s="14">
        <f>H$69*'User costs'!H178</f>
        <v>44.52754313627996</v>
      </c>
      <c r="I66" s="47">
        <f>I$69*'User costs'!I178</f>
        <v>34.19381356292779</v>
      </c>
      <c r="J66" s="14">
        <f>J$69*'User costs'!J178</f>
        <v>23.340697138054505</v>
      </c>
      <c r="K66" s="14">
        <f>K$69*'User costs'!K178</f>
        <v>11.949269899827003</v>
      </c>
      <c r="L66" s="14">
        <f>L$69*'User costs'!L178</f>
        <v>-3.0244334583406298E-15</v>
      </c>
      <c r="M66" s="14">
        <f>M$69*'User costs'!M178</f>
        <v>0</v>
      </c>
      <c r="N66" s="47">
        <f>N$69*'User costs'!N178</f>
        <v>0</v>
      </c>
      <c r="O66" s="14">
        <f>O$69*'User costs'!O178</f>
        <v>0</v>
      </c>
      <c r="P66" s="14">
        <f>P$69*'User costs'!P178</f>
        <v>0</v>
      </c>
      <c r="Q66" s="14">
        <f>Q$69*'User costs'!Q178</f>
        <v>0</v>
      </c>
      <c r="R66" s="14">
        <f>R$69*'User costs'!R178</f>
        <v>0</v>
      </c>
      <c r="S66" s="47">
        <f>S$69*'User costs'!S178</f>
        <v>0</v>
      </c>
      <c r="T66" s="14">
        <f>T$69*'User costs'!T178</f>
        <v>0</v>
      </c>
      <c r="U66" s="14">
        <f>U$69*'User costs'!U178</f>
        <v>0</v>
      </c>
      <c r="V66" s="14">
        <f>V$69*'User costs'!V178</f>
        <v>0</v>
      </c>
      <c r="W66" s="25">
        <f>W$69*'User costs'!W178</f>
        <v>0</v>
      </c>
    </row>
    <row r="67" spans="1:23" ht="12.75">
      <c r="A67" s="203" t="s">
        <v>130</v>
      </c>
      <c r="B67" s="11" t="s">
        <v>17</v>
      </c>
      <c r="C67" s="57">
        <f>'User costs'!B168</f>
        <v>173.10877192982457</v>
      </c>
      <c r="D67" s="14">
        <f>D$69*'User costs'!D179</f>
        <v>177.24607157894738</v>
      </c>
      <c r="E67" s="14">
        <f>E$69*'User costs'!E179</f>
        <v>181.4822526896842</v>
      </c>
      <c r="F67" s="14">
        <f>F$69*'User costs'!F179</f>
        <v>185.81967852896767</v>
      </c>
      <c r="G67" s="14">
        <f>G$69*'User costs'!G179</f>
        <v>190.26076884581</v>
      </c>
      <c r="H67" s="14">
        <f>H$69*'User costs'!H179</f>
        <v>155.84640097697988</v>
      </c>
      <c r="I67" s="47">
        <f>I$69*'User costs'!I179</f>
        <v>119.67834747024729</v>
      </c>
      <c r="J67" s="14">
        <f>J$69*'User costs'!J179</f>
        <v>81.6924399831908</v>
      </c>
      <c r="K67" s="14">
        <f>K$69*'User costs'!K179</f>
        <v>41.822444649394534</v>
      </c>
      <c r="L67" s="14">
        <f>L$69*'User costs'!L179</f>
        <v>1.2097733833362519E-14</v>
      </c>
      <c r="M67" s="14">
        <f>M$69*'User costs'!M179</f>
        <v>0</v>
      </c>
      <c r="N67" s="47">
        <f>N$69*'User costs'!N179</f>
        <v>0</v>
      </c>
      <c r="O67" s="14">
        <f>O$69*'User costs'!O179</f>
        <v>0</v>
      </c>
      <c r="P67" s="14">
        <f>P$69*'User costs'!P179</f>
        <v>0</v>
      </c>
      <c r="Q67" s="14">
        <f>Q$69*'User costs'!Q179</f>
        <v>0</v>
      </c>
      <c r="R67" s="14">
        <f>R$69*'User costs'!R179</f>
        <v>0</v>
      </c>
      <c r="S67" s="47">
        <f>S$69*'User costs'!S179</f>
        <v>0</v>
      </c>
      <c r="T67" s="14">
        <f>T$69*'User costs'!T179</f>
        <v>0</v>
      </c>
      <c r="U67" s="14">
        <f>U$69*'User costs'!U179</f>
        <v>0</v>
      </c>
      <c r="V67" s="14">
        <f>V$69*'User costs'!V179</f>
        <v>0</v>
      </c>
      <c r="W67" s="25">
        <f>W$69*'User costs'!W179</f>
        <v>0</v>
      </c>
    </row>
    <row r="68" spans="1:23" ht="12.75">
      <c r="A68" s="203" t="s">
        <v>131</v>
      </c>
      <c r="B68" s="11" t="s">
        <v>17</v>
      </c>
      <c r="C68" s="57">
        <f>'User costs'!B169</f>
        <v>840.8140350877192</v>
      </c>
      <c r="D68" s="14">
        <f>D$69*'User costs'!D180</f>
        <v>860.9094905263157</v>
      </c>
      <c r="E68" s="14">
        <f>E$69*'User costs'!E180</f>
        <v>881.4852273498947</v>
      </c>
      <c r="F68" s="14">
        <f>F$69*'User costs'!F180</f>
        <v>902.5527242835572</v>
      </c>
      <c r="G68" s="14">
        <f>G$69*'User costs'!G180</f>
        <v>924.1237343939341</v>
      </c>
      <c r="H68" s="14">
        <f>H$69*'User costs'!H180</f>
        <v>756.9682333167594</v>
      </c>
      <c r="I68" s="47">
        <f>I$69*'User costs'!I180</f>
        <v>581.2948305697726</v>
      </c>
      <c r="J68" s="14">
        <f>J$69*'User costs'!J180</f>
        <v>396.7918513469267</v>
      </c>
      <c r="K68" s="14">
        <f>K$69*'User costs'!K180</f>
        <v>203.13758829705915</v>
      </c>
      <c r="L68" s="14">
        <f>L$69*'User costs'!L180</f>
        <v>4.8390935333450077E-14</v>
      </c>
      <c r="M68" s="14">
        <f>M$69*'User costs'!M180</f>
        <v>0</v>
      </c>
      <c r="N68" s="47">
        <f>N$69*'User costs'!N180</f>
        <v>0</v>
      </c>
      <c r="O68" s="14">
        <f>O$69*'User costs'!O180</f>
        <v>0</v>
      </c>
      <c r="P68" s="14">
        <f>P$69*'User costs'!P180</f>
        <v>0</v>
      </c>
      <c r="Q68" s="14">
        <f>Q$69*'User costs'!Q180</f>
        <v>0</v>
      </c>
      <c r="R68" s="14">
        <f>R$69*'User costs'!R180</f>
        <v>0</v>
      </c>
      <c r="S68" s="47">
        <f>S$69*'User costs'!S180</f>
        <v>0</v>
      </c>
      <c r="T68" s="14">
        <f>T$69*'User costs'!T180</f>
        <v>0</v>
      </c>
      <c r="U68" s="14">
        <f>U$69*'User costs'!U180</f>
        <v>0</v>
      </c>
      <c r="V68" s="14">
        <f>V$69*'User costs'!V180</f>
        <v>0</v>
      </c>
      <c r="W68" s="25">
        <f>W$69*'User costs'!W180</f>
        <v>0</v>
      </c>
    </row>
    <row r="69" spans="1:24" ht="12.75">
      <c r="A69" s="257" t="s">
        <v>55</v>
      </c>
      <c r="B69" s="19" t="s">
        <v>17</v>
      </c>
      <c r="C69" s="58">
        <f>SUM(C62:C68)</f>
        <v>1409.6</v>
      </c>
      <c r="D69" s="26">
        <f>C69+(C69*Assumptions!$C$13)</f>
        <v>1443.28944</v>
      </c>
      <c r="E69" s="26">
        <f>D69+(D69*Assumptions!$C$13)</f>
        <v>1477.784057616</v>
      </c>
      <c r="F69" s="26">
        <f>E69+(E69*Assumptions!$C$13)</f>
        <v>1513.1030965930224</v>
      </c>
      <c r="G69" s="26">
        <f>F69+(F69*Assumptions!$C$13)</f>
        <v>1549.2662606015956</v>
      </c>
      <c r="H69" s="26">
        <f>G69+(G69*Assumptions!$C$13)</f>
        <v>1586.2937242299738</v>
      </c>
      <c r="I69" s="48">
        <f>H69+(H69*Assumptions!$C$13)</f>
        <v>1624.2061442390702</v>
      </c>
      <c r="J69" s="26">
        <f>I69+(I69*Assumptions!$C$13)</f>
        <v>1663.024671086384</v>
      </c>
      <c r="K69" s="26">
        <f>J69+(J69*Assumptions!$C$13)</f>
        <v>1702.7709607253485</v>
      </c>
      <c r="L69" s="26">
        <f>K69+(K69*Assumptions!$C$13)</f>
        <v>1743.4671866866843</v>
      </c>
      <c r="M69" s="26">
        <f>L69+(L69*Assumptions!$C$13)</f>
        <v>1785.136052448496</v>
      </c>
      <c r="N69" s="48">
        <f>M69+(M69*Assumptions!$C$13)</f>
        <v>1827.800804102015</v>
      </c>
      <c r="O69" s="26">
        <f>N69+(N69*Assumptions!$C$13)</f>
        <v>1871.485243320053</v>
      </c>
      <c r="P69" s="26">
        <f>O69+(O69*Assumptions!$C$13)</f>
        <v>1916.2137406354022</v>
      </c>
      <c r="Q69" s="26">
        <f>P69+(P69*Assumptions!$C$13)</f>
        <v>1962.0112490365884</v>
      </c>
      <c r="R69" s="26">
        <f>Q69+(Q69*Assumptions!$C$13)</f>
        <v>2008.903317888563</v>
      </c>
      <c r="S69" s="48">
        <f>R69+(R69*Assumptions!$C$13)</f>
        <v>2056.9161071860995</v>
      </c>
      <c r="T69" s="26">
        <f>S69+(S69*Assumptions!$C$13)</f>
        <v>2106.076402147847</v>
      </c>
      <c r="U69" s="26">
        <f>T69+(T69*Assumptions!$C$13)</f>
        <v>2156.4116281591805</v>
      </c>
      <c r="V69" s="26">
        <f>U69+(U69*Assumptions!$C$13)</f>
        <v>2207.9498660721847</v>
      </c>
      <c r="W69" s="27">
        <f>V69+(V69*Assumptions!$C$13)</f>
        <v>2260.71986787131</v>
      </c>
      <c r="X69" s="11" t="s">
        <v>99</v>
      </c>
    </row>
    <row r="70" spans="1:23" ht="12.75">
      <c r="A70" s="21"/>
      <c r="B70" s="19"/>
      <c r="C70" s="59"/>
      <c r="D70" s="26"/>
      <c r="E70" s="26"/>
      <c r="F70" s="26"/>
      <c r="G70" s="26"/>
      <c r="H70" s="26"/>
      <c r="I70" s="48"/>
      <c r="J70" s="26"/>
      <c r="K70" s="26"/>
      <c r="L70" s="26"/>
      <c r="M70" s="26"/>
      <c r="N70" s="48"/>
      <c r="O70" s="26"/>
      <c r="P70" s="26"/>
      <c r="Q70" s="26"/>
      <c r="R70" s="26"/>
      <c r="S70" s="48"/>
      <c r="T70" s="26"/>
      <c r="U70" s="26"/>
      <c r="V70" s="26"/>
      <c r="W70" s="27"/>
    </row>
    <row r="71" spans="1:23" ht="12.75">
      <c r="A71" s="22" t="s">
        <v>102</v>
      </c>
      <c r="B71" s="19"/>
      <c r="C71" s="59"/>
      <c r="D71" s="26"/>
      <c r="E71" s="26"/>
      <c r="F71" s="26"/>
      <c r="G71" s="26"/>
      <c r="H71" s="26"/>
      <c r="I71" s="48"/>
      <c r="J71" s="26"/>
      <c r="K71" s="26" t="s">
        <v>99</v>
      </c>
      <c r="L71" s="26"/>
      <c r="M71" s="26"/>
      <c r="N71" s="48"/>
      <c r="O71" s="26"/>
      <c r="P71" s="26"/>
      <c r="Q71" s="26"/>
      <c r="R71" s="26"/>
      <c r="S71" s="48"/>
      <c r="T71" s="26"/>
      <c r="U71" s="26"/>
      <c r="V71" s="26"/>
      <c r="W71" s="27"/>
    </row>
    <row r="72" spans="1:23" ht="12.75">
      <c r="A72" s="203" t="s">
        <v>132</v>
      </c>
      <c r="B72" s="11" t="s">
        <v>17</v>
      </c>
      <c r="C72" s="104">
        <f aca="true" t="shared" si="5" ref="C72:W72">C62-C7</f>
        <v>0</v>
      </c>
      <c r="D72" s="148">
        <f t="shared" si="5"/>
        <v>0</v>
      </c>
      <c r="E72" s="148">
        <f t="shared" si="5"/>
        <v>0</v>
      </c>
      <c r="F72" s="148">
        <f t="shared" si="5"/>
        <v>0</v>
      </c>
      <c r="G72" s="148">
        <f t="shared" si="5"/>
        <v>0</v>
      </c>
      <c r="H72" s="148">
        <f t="shared" si="5"/>
        <v>72.99241671327918</v>
      </c>
      <c r="I72" s="159">
        <f t="shared" si="5"/>
        <v>149.47387094545311</v>
      </c>
      <c r="J72" s="148">
        <f t="shared" si="5"/>
        <v>229.56944469157415</v>
      </c>
      <c r="K72" s="148">
        <f t="shared" si="5"/>
        <v>313.408205892937</v>
      </c>
      <c r="L72" s="148">
        <f t="shared" si="5"/>
        <v>401.1233275172227</v>
      </c>
      <c r="M72" s="148">
        <f t="shared" si="5"/>
        <v>410.71017504488447</v>
      </c>
      <c r="N72" s="159">
        <f t="shared" si="5"/>
        <v>420.5261482284572</v>
      </c>
      <c r="O72" s="148">
        <f t="shared" si="5"/>
        <v>430.5767231711173</v>
      </c>
      <c r="P72" s="148">
        <f t="shared" si="5"/>
        <v>440.867506854907</v>
      </c>
      <c r="Q72" s="148">
        <f t="shared" si="5"/>
        <v>451.4042402687392</v>
      </c>
      <c r="R72" s="148">
        <f t="shared" si="5"/>
        <v>462.1928016111621</v>
      </c>
      <c r="S72" s="159">
        <f t="shared" si="5"/>
        <v>473.23920956966884</v>
      </c>
      <c r="T72" s="148">
        <f t="shared" si="5"/>
        <v>484.5496266783839</v>
      </c>
      <c r="U72" s="148">
        <f t="shared" si="5"/>
        <v>496.1303627559973</v>
      </c>
      <c r="V72" s="148">
        <f t="shared" si="5"/>
        <v>507.9878784258655</v>
      </c>
      <c r="W72" s="164">
        <f t="shared" si="5"/>
        <v>520.1287887202437</v>
      </c>
    </row>
    <row r="73" spans="1:23" ht="12.75">
      <c r="A73" s="203" t="s">
        <v>126</v>
      </c>
      <c r="B73" s="11" t="s">
        <v>17</v>
      </c>
      <c r="C73" s="104">
        <f>C63-C8</f>
        <v>0</v>
      </c>
      <c r="D73" s="148">
        <f aca="true" t="shared" si="6" ref="D73:R73">D63-D8</f>
        <v>0</v>
      </c>
      <c r="E73" s="148">
        <f t="shared" si="6"/>
        <v>0</v>
      </c>
      <c r="F73" s="148">
        <f t="shared" si="6"/>
        <v>0</v>
      </c>
      <c r="G73" s="148">
        <f t="shared" si="6"/>
        <v>0</v>
      </c>
      <c r="H73" s="148">
        <f t="shared" si="6"/>
        <v>177.47501342829554</v>
      </c>
      <c r="I73" s="159">
        <f t="shared" si="6"/>
        <v>363.4333324984638</v>
      </c>
      <c r="J73" s="148">
        <f t="shared" si="6"/>
        <v>558.1790837177655</v>
      </c>
      <c r="K73" s="148">
        <f t="shared" si="6"/>
        <v>762.0260850914934</v>
      </c>
      <c r="L73" s="148">
        <f t="shared" si="6"/>
        <v>975.2981356564751</v>
      </c>
      <c r="M73" s="148">
        <f t="shared" si="6"/>
        <v>998.6077610986647</v>
      </c>
      <c r="N73" s="159">
        <f t="shared" si="6"/>
        <v>1022.4744865889229</v>
      </c>
      <c r="O73" s="148">
        <f t="shared" si="6"/>
        <v>1046.911626818398</v>
      </c>
      <c r="P73" s="148">
        <f t="shared" si="6"/>
        <v>1071.9328146993576</v>
      </c>
      <c r="Q73" s="148">
        <f t="shared" si="6"/>
        <v>1097.5520089706724</v>
      </c>
      <c r="R73" s="148">
        <f t="shared" si="6"/>
        <v>1123.7835019850713</v>
      </c>
      <c r="S73" s="159">
        <f aca="true" t="shared" si="7" ref="S73:W77">S63-S8</f>
        <v>1150.6419276825147</v>
      </c>
      <c r="T73" s="148">
        <f t="shared" si="7"/>
        <v>1178.1422697541266</v>
      </c>
      <c r="U73" s="148">
        <f t="shared" si="7"/>
        <v>1206.2998700012502</v>
      </c>
      <c r="V73" s="148">
        <f t="shared" si="7"/>
        <v>1235.13043689428</v>
      </c>
      <c r="W73" s="164">
        <f t="shared" si="7"/>
        <v>1264.650054336053</v>
      </c>
    </row>
    <row r="74" spans="1:23" ht="12.75">
      <c r="A74" s="203" t="s">
        <v>127</v>
      </c>
      <c r="B74" s="11" t="s">
        <v>17</v>
      </c>
      <c r="C74" s="104">
        <f>C64-C9</f>
        <v>0</v>
      </c>
      <c r="D74" s="148">
        <f aca="true" t="shared" si="8" ref="D74:R74">D64-D9</f>
        <v>0</v>
      </c>
      <c r="E74" s="148">
        <f t="shared" si="8"/>
        <v>0</v>
      </c>
      <c r="F74" s="148">
        <f t="shared" si="8"/>
        <v>0</v>
      </c>
      <c r="G74" s="148">
        <f t="shared" si="8"/>
        <v>0</v>
      </c>
      <c r="H74" s="148">
        <f t="shared" si="8"/>
        <v>-8.348914338052495</v>
      </c>
      <c r="I74" s="159">
        <f t="shared" si="8"/>
        <v>-17.096906781463897</v>
      </c>
      <c r="J74" s="148">
        <f t="shared" si="8"/>
        <v>-26.25828428031132</v>
      </c>
      <c r="K74" s="148">
        <f t="shared" si="8"/>
        <v>-35.84780969948102</v>
      </c>
      <c r="L74" s="148">
        <f t="shared" si="8"/>
        <v>-45.880715439123264</v>
      </c>
      <c r="M74" s="148">
        <f t="shared" si="8"/>
        <v>-46.97726453811831</v>
      </c>
      <c r="N74" s="159">
        <f t="shared" si="8"/>
        <v>-48.10002116057934</v>
      </c>
      <c r="O74" s="148">
        <f t="shared" si="8"/>
        <v>-49.249611666317186</v>
      </c>
      <c r="P74" s="148">
        <f t="shared" si="8"/>
        <v>-50.42667738514216</v>
      </c>
      <c r="Q74" s="148">
        <f t="shared" si="8"/>
        <v>-51.63187497464706</v>
      </c>
      <c r="R74" s="148">
        <f t="shared" si="8"/>
        <v>-52.86587678654113</v>
      </c>
      <c r="S74" s="159">
        <f t="shared" si="7"/>
        <v>-54.129371241739456</v>
      </c>
      <c r="T74" s="148">
        <f t="shared" si="7"/>
        <v>-55.42306321441703</v>
      </c>
      <c r="U74" s="148">
        <f t="shared" si="7"/>
        <v>-56.74767442524159</v>
      </c>
      <c r="V74" s="148">
        <f t="shared" si="7"/>
        <v>-58.10394384400486</v>
      </c>
      <c r="W74" s="164">
        <f t="shared" si="7"/>
        <v>-59.49262810187657</v>
      </c>
    </row>
    <row r="75" spans="1:23" ht="12.75">
      <c r="A75" s="203" t="s">
        <v>128</v>
      </c>
      <c r="B75" s="11" t="s">
        <v>17</v>
      </c>
      <c r="C75" s="104">
        <f>C65-C10</f>
        <v>0</v>
      </c>
      <c r="D75" s="148">
        <f aca="true" t="shared" si="9" ref="D75:R75">D65-D10</f>
        <v>0</v>
      </c>
      <c r="E75" s="148">
        <f t="shared" si="9"/>
        <v>0</v>
      </c>
      <c r="F75" s="148">
        <f t="shared" si="9"/>
        <v>0</v>
      </c>
      <c r="G75" s="148">
        <f t="shared" si="9"/>
        <v>0</v>
      </c>
      <c r="H75" s="148">
        <f t="shared" si="9"/>
        <v>-2.7829714460174984</v>
      </c>
      <c r="I75" s="159">
        <f t="shared" si="9"/>
        <v>-5.698968927154633</v>
      </c>
      <c r="J75" s="148">
        <f t="shared" si="9"/>
        <v>-8.75276142677044</v>
      </c>
      <c r="K75" s="148">
        <f t="shared" si="9"/>
        <v>-11.949269899827007</v>
      </c>
      <c r="L75" s="148">
        <f t="shared" si="9"/>
        <v>-15.293571813041089</v>
      </c>
      <c r="M75" s="148">
        <f t="shared" si="9"/>
        <v>-15.659088179372771</v>
      </c>
      <c r="N75" s="159">
        <f t="shared" si="9"/>
        <v>-16.03334038685978</v>
      </c>
      <c r="O75" s="148">
        <f t="shared" si="9"/>
        <v>-16.416537222105728</v>
      </c>
      <c r="P75" s="148">
        <f t="shared" si="9"/>
        <v>-16.808892461714056</v>
      </c>
      <c r="Q75" s="148">
        <f t="shared" si="9"/>
        <v>-17.21062499154902</v>
      </c>
      <c r="R75" s="148">
        <f t="shared" si="9"/>
        <v>-17.621958928847043</v>
      </c>
      <c r="S75" s="159">
        <f t="shared" si="7"/>
        <v>-18.043123747246486</v>
      </c>
      <c r="T75" s="148">
        <f t="shared" si="7"/>
        <v>-18.474354404805677</v>
      </c>
      <c r="U75" s="148">
        <f t="shared" si="7"/>
        <v>-18.915891475080528</v>
      </c>
      <c r="V75" s="148">
        <f t="shared" si="7"/>
        <v>-19.367981281334952</v>
      </c>
      <c r="W75" s="164">
        <f t="shared" si="7"/>
        <v>-19.830876033958855</v>
      </c>
    </row>
    <row r="76" spans="1:23" ht="12.75">
      <c r="A76" s="203" t="s">
        <v>129</v>
      </c>
      <c r="B76" s="11" t="s">
        <v>17</v>
      </c>
      <c r="C76" s="104">
        <f>C66-C11</f>
        <v>0</v>
      </c>
      <c r="D76" s="148">
        <f aca="true" t="shared" si="10" ref="D76:R76">D66-D11</f>
        <v>0</v>
      </c>
      <c r="E76" s="148">
        <f t="shared" si="10"/>
        <v>0</v>
      </c>
      <c r="F76" s="148">
        <f t="shared" si="10"/>
        <v>0</v>
      </c>
      <c r="G76" s="148">
        <f t="shared" si="10"/>
        <v>0</v>
      </c>
      <c r="H76" s="148">
        <f t="shared" si="10"/>
        <v>-11.131885784069993</v>
      </c>
      <c r="I76" s="159">
        <f t="shared" si="10"/>
        <v>-22.79587570861853</v>
      </c>
      <c r="J76" s="148">
        <f t="shared" si="10"/>
        <v>-35.01104570708176</v>
      </c>
      <c r="K76" s="148">
        <f t="shared" si="10"/>
        <v>-47.79707959930803</v>
      </c>
      <c r="L76" s="148">
        <f t="shared" si="10"/>
        <v>-61.174287252164355</v>
      </c>
      <c r="M76" s="148">
        <f t="shared" si="10"/>
        <v>-62.636352717491086</v>
      </c>
      <c r="N76" s="159">
        <f t="shared" si="10"/>
        <v>-64.13336154743912</v>
      </c>
      <c r="O76" s="148">
        <f t="shared" si="10"/>
        <v>-65.66614888842291</v>
      </c>
      <c r="P76" s="148">
        <f t="shared" si="10"/>
        <v>-67.23556984685622</v>
      </c>
      <c r="Q76" s="148">
        <f t="shared" si="10"/>
        <v>-68.84249996619609</v>
      </c>
      <c r="R76" s="148">
        <f t="shared" si="10"/>
        <v>-70.48783571538817</v>
      </c>
      <c r="S76" s="159">
        <f t="shared" si="7"/>
        <v>-72.17249498898595</v>
      </c>
      <c r="T76" s="148">
        <f t="shared" si="7"/>
        <v>-73.89741761922271</v>
      </c>
      <c r="U76" s="148">
        <f t="shared" si="7"/>
        <v>-75.66356590032211</v>
      </c>
      <c r="V76" s="148">
        <f t="shared" si="7"/>
        <v>-77.47192512533981</v>
      </c>
      <c r="W76" s="164">
        <f t="shared" si="7"/>
        <v>-79.32350413583542</v>
      </c>
    </row>
    <row r="77" spans="1:23" ht="12.75">
      <c r="A77" s="203" t="s">
        <v>130</v>
      </c>
      <c r="B77" s="11" t="s">
        <v>17</v>
      </c>
      <c r="C77" s="104">
        <f>C67-C12</f>
        <v>0</v>
      </c>
      <c r="D77" s="148">
        <f aca="true" t="shared" si="11" ref="D77:R77">D67-D12</f>
        <v>0</v>
      </c>
      <c r="E77" s="148">
        <f t="shared" si="11"/>
        <v>0</v>
      </c>
      <c r="F77" s="148">
        <f t="shared" si="11"/>
        <v>0</v>
      </c>
      <c r="G77" s="148">
        <f t="shared" si="11"/>
        <v>0</v>
      </c>
      <c r="H77" s="148">
        <f t="shared" si="11"/>
        <v>-38.96160024424498</v>
      </c>
      <c r="I77" s="159">
        <f t="shared" si="11"/>
        <v>-79.78556498016486</v>
      </c>
      <c r="J77" s="148">
        <f t="shared" si="11"/>
        <v>-122.5386599747862</v>
      </c>
      <c r="K77" s="148">
        <f t="shared" si="11"/>
        <v>-167.2897785975781</v>
      </c>
      <c r="L77" s="148">
        <f t="shared" si="11"/>
        <v>-214.11000538257528</v>
      </c>
      <c r="M77" s="148">
        <f t="shared" si="11"/>
        <v>-219.22723451121882</v>
      </c>
      <c r="N77" s="159">
        <f t="shared" si="11"/>
        <v>-224.46676541603694</v>
      </c>
      <c r="O77" s="148">
        <f t="shared" si="11"/>
        <v>-229.8315211094802</v>
      </c>
      <c r="P77" s="148">
        <f t="shared" si="11"/>
        <v>-235.32449446399679</v>
      </c>
      <c r="Q77" s="148">
        <f t="shared" si="11"/>
        <v>-240.94874988168633</v>
      </c>
      <c r="R77" s="148">
        <f t="shared" si="11"/>
        <v>-246.70742500385862</v>
      </c>
      <c r="S77" s="159">
        <f t="shared" si="7"/>
        <v>-252.60373246145082</v>
      </c>
      <c r="T77" s="148">
        <f t="shared" si="7"/>
        <v>-258.6409616672795</v>
      </c>
      <c r="U77" s="148">
        <f t="shared" si="7"/>
        <v>-264.8224806511274</v>
      </c>
      <c r="V77" s="148">
        <f t="shared" si="7"/>
        <v>-271.1517379386894</v>
      </c>
      <c r="W77" s="164">
        <f t="shared" si="7"/>
        <v>-277.63226447542405</v>
      </c>
    </row>
    <row r="78" spans="1:23" ht="12.75">
      <c r="A78" s="203" t="s">
        <v>131</v>
      </c>
      <c r="B78" s="11" t="s">
        <v>17</v>
      </c>
      <c r="C78" s="58">
        <f>SUM(C72:C77)</f>
        <v>0</v>
      </c>
      <c r="D78" s="26">
        <f aca="true" t="shared" si="12" ref="D78:W78">SUM(D72:D77)</f>
        <v>0</v>
      </c>
      <c r="E78" s="26">
        <f t="shared" si="12"/>
        <v>0</v>
      </c>
      <c r="F78" s="26">
        <f t="shared" si="12"/>
        <v>0</v>
      </c>
      <c r="G78" s="26">
        <f t="shared" si="12"/>
        <v>0</v>
      </c>
      <c r="H78" s="26">
        <f t="shared" si="12"/>
        <v>189.24205832918975</v>
      </c>
      <c r="I78" s="48">
        <f t="shared" si="12"/>
        <v>387.52988704651506</v>
      </c>
      <c r="J78" s="26">
        <f t="shared" si="12"/>
        <v>595.18777702039</v>
      </c>
      <c r="K78" s="26">
        <f t="shared" si="12"/>
        <v>812.5503531882362</v>
      </c>
      <c r="L78" s="26">
        <f t="shared" si="12"/>
        <v>1039.9628832867936</v>
      </c>
      <c r="M78" s="26">
        <f t="shared" si="12"/>
        <v>1064.8179961973483</v>
      </c>
      <c r="N78" s="48">
        <f t="shared" si="12"/>
        <v>1090.2671463064648</v>
      </c>
      <c r="O78" s="26">
        <f t="shared" si="12"/>
        <v>1116.3245311031892</v>
      </c>
      <c r="P78" s="26">
        <f t="shared" si="12"/>
        <v>1143.0046873965553</v>
      </c>
      <c r="Q78" s="26">
        <f t="shared" si="12"/>
        <v>1170.3224994253333</v>
      </c>
      <c r="R78" s="26">
        <f t="shared" si="12"/>
        <v>1198.2932071615985</v>
      </c>
      <c r="S78" s="48">
        <f t="shared" si="12"/>
        <v>1226.932414812761</v>
      </c>
      <c r="T78" s="26">
        <f t="shared" si="12"/>
        <v>1256.2560995267856</v>
      </c>
      <c r="U78" s="26">
        <f t="shared" si="12"/>
        <v>1286.280620305476</v>
      </c>
      <c r="V78" s="26">
        <f t="shared" si="12"/>
        <v>1317.0227271307765</v>
      </c>
      <c r="W78" s="27">
        <f t="shared" si="12"/>
        <v>1348.4995703092018</v>
      </c>
    </row>
    <row r="79" spans="1:23" ht="12.75">
      <c r="A79" s="257" t="s">
        <v>55</v>
      </c>
      <c r="B79" s="19" t="s">
        <v>17</v>
      </c>
      <c r="C79" s="58"/>
      <c r="D79" s="26"/>
      <c r="E79" s="26"/>
      <c r="F79" s="26"/>
      <c r="G79" s="26"/>
      <c r="H79" s="26"/>
      <c r="I79" s="48"/>
      <c r="J79" s="26"/>
      <c r="K79" s="26"/>
      <c r="L79" s="26"/>
      <c r="M79" s="26"/>
      <c r="N79" s="48"/>
      <c r="O79" s="26"/>
      <c r="P79" s="26"/>
      <c r="Q79" s="26"/>
      <c r="R79" s="26"/>
      <c r="S79" s="48"/>
      <c r="T79" s="26"/>
      <c r="U79" s="26"/>
      <c r="V79" s="26"/>
      <c r="W79" s="27"/>
    </row>
    <row r="80" spans="1:23" ht="12.75">
      <c r="A80" s="21"/>
      <c r="B80" s="19"/>
      <c r="C80" s="58"/>
      <c r="D80" s="26"/>
      <c r="E80" s="26"/>
      <c r="F80" s="26"/>
      <c r="G80" s="26"/>
      <c r="H80" s="26"/>
      <c r="I80" s="48"/>
      <c r="J80" s="26"/>
      <c r="K80" s="26"/>
      <c r="L80" s="26"/>
      <c r="M80" s="26"/>
      <c r="N80" s="48"/>
      <c r="O80" s="26"/>
      <c r="P80" s="26"/>
      <c r="Q80" s="26"/>
      <c r="R80" s="26"/>
      <c r="S80" s="48"/>
      <c r="T80" s="26"/>
      <c r="U80" s="26"/>
      <c r="V80" s="26"/>
      <c r="W80" s="27"/>
    </row>
    <row r="81" spans="1:23" ht="12.75">
      <c r="A81" s="22" t="s">
        <v>111</v>
      </c>
      <c r="B81" s="19"/>
      <c r="C81" s="58"/>
      <c r="D81" s="26"/>
      <c r="E81" s="26"/>
      <c r="F81" s="26"/>
      <c r="G81" s="26"/>
      <c r="H81" s="26"/>
      <c r="I81" s="48"/>
      <c r="J81" s="26"/>
      <c r="K81" s="26"/>
      <c r="L81" s="26"/>
      <c r="M81" s="26"/>
      <c r="N81" s="48"/>
      <c r="O81" s="26"/>
      <c r="P81" s="26"/>
      <c r="Q81" s="26"/>
      <c r="R81" s="26"/>
      <c r="S81" s="48"/>
      <c r="T81" s="26"/>
      <c r="U81" s="26"/>
      <c r="V81" s="26"/>
      <c r="W81" s="27"/>
    </row>
    <row r="82" spans="1:23" ht="12.75">
      <c r="A82" s="445" t="s">
        <v>110</v>
      </c>
      <c r="B82" s="16" t="s">
        <v>17</v>
      </c>
      <c r="C82" s="104">
        <f>SUMIF(C72:C77,"&lt;0")</f>
        <v>0</v>
      </c>
      <c r="D82" s="148">
        <f>SUMIF(D72:D77,"&lt;0")</f>
        <v>0</v>
      </c>
      <c r="E82" s="148">
        <f>SUMIF(E72:E77,"&lt;0")</f>
        <v>0</v>
      </c>
      <c r="F82" s="148">
        <f aca="true" t="shared" si="13" ref="F82:W82">SUMIF(F72:F77,"&lt;0")</f>
        <v>0</v>
      </c>
      <c r="G82" s="148">
        <f t="shared" si="13"/>
        <v>0</v>
      </c>
      <c r="H82" s="148">
        <f t="shared" si="13"/>
        <v>-61.225371812384964</v>
      </c>
      <c r="I82" s="159">
        <f t="shared" si="13"/>
        <v>-125.37731639740193</v>
      </c>
      <c r="J82" s="148">
        <f t="shared" si="13"/>
        <v>-192.5607513889497</v>
      </c>
      <c r="K82" s="148">
        <f t="shared" si="13"/>
        <v>-262.8839377961942</v>
      </c>
      <c r="L82" s="148">
        <f t="shared" si="13"/>
        <v>-336.458579886904</v>
      </c>
      <c r="M82" s="148">
        <f t="shared" si="13"/>
        <v>-344.499939946201</v>
      </c>
      <c r="N82" s="159">
        <f t="shared" si="13"/>
        <v>-352.7334885109152</v>
      </c>
      <c r="O82" s="148">
        <f t="shared" si="13"/>
        <v>-361.163818886326</v>
      </c>
      <c r="P82" s="148">
        <f t="shared" si="13"/>
        <v>-369.79563415770923</v>
      </c>
      <c r="Q82" s="148">
        <f t="shared" si="13"/>
        <v>-378.6337498140785</v>
      </c>
      <c r="R82" s="148">
        <f t="shared" si="13"/>
        <v>-387.683096434635</v>
      </c>
      <c r="S82" s="159">
        <f t="shared" si="13"/>
        <v>-396.9487224394227</v>
      </c>
      <c r="T82" s="148">
        <f t="shared" si="13"/>
        <v>-406.43579690572494</v>
      </c>
      <c r="U82" s="148">
        <f t="shared" si="13"/>
        <v>-416.14961245177165</v>
      </c>
      <c r="V82" s="148">
        <f t="shared" si="13"/>
        <v>-426.095588189369</v>
      </c>
      <c r="W82" s="164">
        <f t="shared" si="13"/>
        <v>-436.27927274709486</v>
      </c>
    </row>
    <row r="83" spans="1:23" ht="12.75">
      <c r="A83" s="446" t="s">
        <v>112</v>
      </c>
      <c r="B83" s="16" t="s">
        <v>109</v>
      </c>
      <c r="C83" s="161">
        <f>IF(C72&lt;0,(C72/C$82),0)</f>
        <v>0</v>
      </c>
      <c r="D83" s="149">
        <f>IF(D72&lt;0,(D72/D$82),0)</f>
        <v>0</v>
      </c>
      <c r="E83" s="149">
        <f>IF(E72&lt;0,(E72/E$82),0)</f>
        <v>0</v>
      </c>
      <c r="F83" s="149">
        <f aca="true" t="shared" si="14" ref="F83:W83">IF(F72&lt;0,(F72/F$82),0)</f>
        <v>0</v>
      </c>
      <c r="G83" s="149">
        <f t="shared" si="14"/>
        <v>0</v>
      </c>
      <c r="H83" s="149">
        <f t="shared" si="14"/>
        <v>0</v>
      </c>
      <c r="I83" s="160">
        <f t="shared" si="14"/>
        <v>0</v>
      </c>
      <c r="J83" s="149">
        <f t="shared" si="14"/>
        <v>0</v>
      </c>
      <c r="K83" s="149">
        <f t="shared" si="14"/>
        <v>0</v>
      </c>
      <c r="L83" s="149">
        <f t="shared" si="14"/>
        <v>0</v>
      </c>
      <c r="M83" s="149">
        <f t="shared" si="14"/>
        <v>0</v>
      </c>
      <c r="N83" s="160">
        <f t="shared" si="14"/>
        <v>0</v>
      </c>
      <c r="O83" s="149">
        <f t="shared" si="14"/>
        <v>0</v>
      </c>
      <c r="P83" s="149">
        <f t="shared" si="14"/>
        <v>0</v>
      </c>
      <c r="Q83" s="149">
        <f t="shared" si="14"/>
        <v>0</v>
      </c>
      <c r="R83" s="149">
        <f t="shared" si="14"/>
        <v>0</v>
      </c>
      <c r="S83" s="160">
        <f t="shared" si="14"/>
        <v>0</v>
      </c>
      <c r="T83" s="149">
        <f t="shared" si="14"/>
        <v>0</v>
      </c>
      <c r="U83" s="149">
        <f t="shared" si="14"/>
        <v>0</v>
      </c>
      <c r="V83" s="149">
        <f t="shared" si="14"/>
        <v>0</v>
      </c>
      <c r="W83" s="165">
        <f t="shared" si="14"/>
        <v>0</v>
      </c>
    </row>
    <row r="84" spans="1:23" ht="12.75">
      <c r="A84" s="446" t="s">
        <v>33</v>
      </c>
      <c r="B84" s="16" t="s">
        <v>109</v>
      </c>
      <c r="C84" s="161">
        <f aca="true" t="shared" si="15" ref="C84:W84">IF(C73&lt;0,(C73/C$82),0)</f>
        <v>0</v>
      </c>
      <c r="D84" s="149">
        <f t="shared" si="15"/>
        <v>0</v>
      </c>
      <c r="E84" s="149">
        <f t="shared" si="15"/>
        <v>0</v>
      </c>
      <c r="F84" s="149">
        <f t="shared" si="15"/>
        <v>0</v>
      </c>
      <c r="G84" s="149">
        <f t="shared" si="15"/>
        <v>0</v>
      </c>
      <c r="H84" s="149">
        <f t="shared" si="15"/>
        <v>0</v>
      </c>
      <c r="I84" s="160">
        <f t="shared" si="15"/>
        <v>0</v>
      </c>
      <c r="J84" s="149">
        <f t="shared" si="15"/>
        <v>0</v>
      </c>
      <c r="K84" s="149">
        <f t="shared" si="15"/>
        <v>0</v>
      </c>
      <c r="L84" s="149">
        <f t="shared" si="15"/>
        <v>0</v>
      </c>
      <c r="M84" s="149">
        <f t="shared" si="15"/>
        <v>0</v>
      </c>
      <c r="N84" s="160">
        <f t="shared" si="15"/>
        <v>0</v>
      </c>
      <c r="O84" s="149">
        <f t="shared" si="15"/>
        <v>0</v>
      </c>
      <c r="P84" s="149">
        <f t="shared" si="15"/>
        <v>0</v>
      </c>
      <c r="Q84" s="149">
        <f t="shared" si="15"/>
        <v>0</v>
      </c>
      <c r="R84" s="149">
        <f t="shared" si="15"/>
        <v>0</v>
      </c>
      <c r="S84" s="160">
        <f t="shared" si="15"/>
        <v>0</v>
      </c>
      <c r="T84" s="149">
        <f t="shared" si="15"/>
        <v>0</v>
      </c>
      <c r="U84" s="149">
        <f t="shared" si="15"/>
        <v>0</v>
      </c>
      <c r="V84" s="149">
        <f t="shared" si="15"/>
        <v>0</v>
      </c>
      <c r="W84" s="165">
        <f t="shared" si="15"/>
        <v>0</v>
      </c>
    </row>
    <row r="85" spans="1:23" ht="12.75">
      <c r="A85" s="446" t="s">
        <v>34</v>
      </c>
      <c r="B85" s="16" t="s">
        <v>109</v>
      </c>
      <c r="C85" s="161">
        <f aca="true" t="shared" si="16" ref="C85:W85">IF(C74&lt;0,(C74/C$82),0)</f>
        <v>0</v>
      </c>
      <c r="D85" s="149">
        <f t="shared" si="16"/>
        <v>0</v>
      </c>
      <c r="E85" s="149">
        <f t="shared" si="16"/>
        <v>0</v>
      </c>
      <c r="F85" s="149">
        <f t="shared" si="16"/>
        <v>0</v>
      </c>
      <c r="G85" s="149">
        <f t="shared" si="16"/>
        <v>0</v>
      </c>
      <c r="H85" s="149">
        <f t="shared" si="16"/>
        <v>0.13636363636363635</v>
      </c>
      <c r="I85" s="160">
        <f t="shared" si="16"/>
        <v>0.13636363636363635</v>
      </c>
      <c r="J85" s="149">
        <f t="shared" si="16"/>
        <v>0.13636363636363633</v>
      </c>
      <c r="K85" s="149">
        <f t="shared" si="16"/>
        <v>0.13636363636363635</v>
      </c>
      <c r="L85" s="149">
        <f t="shared" si="16"/>
        <v>0.13636363636363635</v>
      </c>
      <c r="M85" s="149">
        <f t="shared" si="16"/>
        <v>0.13636363636363635</v>
      </c>
      <c r="N85" s="160">
        <f t="shared" si="16"/>
        <v>0.13636363636363635</v>
      </c>
      <c r="O85" s="149">
        <f t="shared" si="16"/>
        <v>0.13636363636363638</v>
      </c>
      <c r="P85" s="149">
        <f t="shared" si="16"/>
        <v>0.13636363636363635</v>
      </c>
      <c r="Q85" s="149">
        <f t="shared" si="16"/>
        <v>0.13636363636363635</v>
      </c>
      <c r="R85" s="149">
        <f t="shared" si="16"/>
        <v>0.13636363636363635</v>
      </c>
      <c r="S85" s="160">
        <f t="shared" si="16"/>
        <v>0.13636363636363635</v>
      </c>
      <c r="T85" s="149">
        <f t="shared" si="16"/>
        <v>0.13636363636363633</v>
      </c>
      <c r="U85" s="149">
        <f t="shared" si="16"/>
        <v>0.13636363636363638</v>
      </c>
      <c r="V85" s="149">
        <f t="shared" si="16"/>
        <v>0.13636363636363635</v>
      </c>
      <c r="W85" s="165">
        <f t="shared" si="16"/>
        <v>0.13636363636363635</v>
      </c>
    </row>
    <row r="86" spans="1:23" ht="12.75">
      <c r="A86" s="446" t="s">
        <v>32</v>
      </c>
      <c r="B86" s="16" t="s">
        <v>109</v>
      </c>
      <c r="C86" s="161">
        <f aca="true" t="shared" si="17" ref="C86:W86">IF(C75&lt;0,(C75/C$82),0)</f>
        <v>0</v>
      </c>
      <c r="D86" s="149">
        <f t="shared" si="17"/>
        <v>0</v>
      </c>
      <c r="E86" s="149">
        <f t="shared" si="17"/>
        <v>0</v>
      </c>
      <c r="F86" s="149">
        <f t="shared" si="17"/>
        <v>0</v>
      </c>
      <c r="G86" s="149">
        <f t="shared" si="17"/>
        <v>0</v>
      </c>
      <c r="H86" s="149">
        <f t="shared" si="17"/>
        <v>0.045454545454545456</v>
      </c>
      <c r="I86" s="160">
        <f t="shared" si="17"/>
        <v>0.045454545454545456</v>
      </c>
      <c r="J86" s="149">
        <f t="shared" si="17"/>
        <v>0.04545454545454545</v>
      </c>
      <c r="K86" s="149">
        <f t="shared" si="17"/>
        <v>0.04545454545454545</v>
      </c>
      <c r="L86" s="149">
        <f t="shared" si="17"/>
        <v>0.04545454545454545</v>
      </c>
      <c r="M86" s="149">
        <f t="shared" si="17"/>
        <v>0.045454545454545456</v>
      </c>
      <c r="N86" s="160">
        <f t="shared" si="17"/>
        <v>0.04545454545454545</v>
      </c>
      <c r="O86" s="149">
        <f t="shared" si="17"/>
        <v>0.045454545454545456</v>
      </c>
      <c r="P86" s="149">
        <f t="shared" si="17"/>
        <v>0.045454545454545456</v>
      </c>
      <c r="Q86" s="149">
        <f t="shared" si="17"/>
        <v>0.04545454545454545</v>
      </c>
      <c r="R86" s="149">
        <f t="shared" si="17"/>
        <v>0.04545454545454545</v>
      </c>
      <c r="S86" s="160">
        <f t="shared" si="17"/>
        <v>0.045454545454545456</v>
      </c>
      <c r="T86" s="149">
        <f t="shared" si="17"/>
        <v>0.04545454545454545</v>
      </c>
      <c r="U86" s="149">
        <f t="shared" si="17"/>
        <v>0.04545454545454545</v>
      </c>
      <c r="V86" s="149">
        <f t="shared" si="17"/>
        <v>0.04545454545454545</v>
      </c>
      <c r="W86" s="165">
        <f t="shared" si="17"/>
        <v>0.04545454545454545</v>
      </c>
    </row>
    <row r="87" spans="1:23" ht="12.75">
      <c r="A87" s="446" t="s">
        <v>35</v>
      </c>
      <c r="B87" s="16" t="s">
        <v>109</v>
      </c>
      <c r="C87" s="161">
        <f aca="true" t="shared" si="18" ref="C87:W87">IF(C76&lt;0,(C76/C$82),0)</f>
        <v>0</v>
      </c>
      <c r="D87" s="149">
        <f t="shared" si="18"/>
        <v>0</v>
      </c>
      <c r="E87" s="149">
        <f t="shared" si="18"/>
        <v>0</v>
      </c>
      <c r="F87" s="149">
        <f t="shared" si="18"/>
        <v>0</v>
      </c>
      <c r="G87" s="149">
        <f t="shared" si="18"/>
        <v>0</v>
      </c>
      <c r="H87" s="149">
        <f t="shared" si="18"/>
        <v>0.18181818181818182</v>
      </c>
      <c r="I87" s="160">
        <f t="shared" si="18"/>
        <v>0.18181818181818182</v>
      </c>
      <c r="J87" s="149">
        <f t="shared" si="18"/>
        <v>0.1818181818181818</v>
      </c>
      <c r="K87" s="149">
        <f t="shared" si="18"/>
        <v>0.1818181818181818</v>
      </c>
      <c r="L87" s="149">
        <f t="shared" si="18"/>
        <v>0.1818181818181818</v>
      </c>
      <c r="M87" s="149">
        <f t="shared" si="18"/>
        <v>0.18181818181818182</v>
      </c>
      <c r="N87" s="160">
        <f t="shared" si="18"/>
        <v>0.1818181818181818</v>
      </c>
      <c r="O87" s="149">
        <f t="shared" si="18"/>
        <v>0.18181818181818182</v>
      </c>
      <c r="P87" s="149">
        <f t="shared" si="18"/>
        <v>0.18181818181818182</v>
      </c>
      <c r="Q87" s="149">
        <f t="shared" si="18"/>
        <v>0.1818181818181818</v>
      </c>
      <c r="R87" s="149">
        <f t="shared" si="18"/>
        <v>0.1818181818181818</v>
      </c>
      <c r="S87" s="160">
        <f t="shared" si="18"/>
        <v>0.18181818181818182</v>
      </c>
      <c r="T87" s="149">
        <f t="shared" si="18"/>
        <v>0.1818181818181818</v>
      </c>
      <c r="U87" s="149">
        <f t="shared" si="18"/>
        <v>0.1818181818181818</v>
      </c>
      <c r="V87" s="149">
        <f t="shared" si="18"/>
        <v>0.1818181818181818</v>
      </c>
      <c r="W87" s="165">
        <f t="shared" si="18"/>
        <v>0.1818181818181818</v>
      </c>
    </row>
    <row r="88" spans="1:23" ht="12.75">
      <c r="A88" s="446" t="s">
        <v>36</v>
      </c>
      <c r="B88" s="16" t="s">
        <v>109</v>
      </c>
      <c r="C88" s="161">
        <f aca="true" t="shared" si="19" ref="C88:W88">IF(C77&lt;0,(C77/C$82),0)</f>
        <v>0</v>
      </c>
      <c r="D88" s="149">
        <f t="shared" si="19"/>
        <v>0</v>
      </c>
      <c r="E88" s="149">
        <f t="shared" si="19"/>
        <v>0</v>
      </c>
      <c r="F88" s="149">
        <f t="shared" si="19"/>
        <v>0</v>
      </c>
      <c r="G88" s="149">
        <f t="shared" si="19"/>
        <v>0</v>
      </c>
      <c r="H88" s="149">
        <f t="shared" si="19"/>
        <v>0.6363636363636364</v>
      </c>
      <c r="I88" s="160">
        <f t="shared" si="19"/>
        <v>0.6363636363636364</v>
      </c>
      <c r="J88" s="149">
        <f t="shared" si="19"/>
        <v>0.6363636363636365</v>
      </c>
      <c r="K88" s="149">
        <f t="shared" si="19"/>
        <v>0.6363636363636364</v>
      </c>
      <c r="L88" s="149">
        <f t="shared" si="19"/>
        <v>0.6363636363636365</v>
      </c>
      <c r="M88" s="149">
        <f t="shared" si="19"/>
        <v>0.6363636363636365</v>
      </c>
      <c r="N88" s="160">
        <f t="shared" si="19"/>
        <v>0.6363636363636364</v>
      </c>
      <c r="O88" s="149">
        <f t="shared" si="19"/>
        <v>0.6363636363636365</v>
      </c>
      <c r="P88" s="149">
        <f t="shared" si="19"/>
        <v>0.6363636363636364</v>
      </c>
      <c r="Q88" s="149">
        <f t="shared" si="19"/>
        <v>0.6363636363636364</v>
      </c>
      <c r="R88" s="149">
        <f t="shared" si="19"/>
        <v>0.6363636363636364</v>
      </c>
      <c r="S88" s="160">
        <f t="shared" si="19"/>
        <v>0.6363636363636365</v>
      </c>
      <c r="T88" s="149">
        <f t="shared" si="19"/>
        <v>0.6363636363636364</v>
      </c>
      <c r="U88" s="149">
        <f t="shared" si="19"/>
        <v>0.6363636363636364</v>
      </c>
      <c r="V88" s="149">
        <f t="shared" si="19"/>
        <v>0.6363636363636365</v>
      </c>
      <c r="W88" s="165">
        <f t="shared" si="19"/>
        <v>0.6363636363636365</v>
      </c>
    </row>
    <row r="89" spans="1:23" ht="12.75">
      <c r="A89" s="445" t="s">
        <v>103</v>
      </c>
      <c r="B89" s="16" t="s">
        <v>90</v>
      </c>
      <c r="C89" s="104">
        <f>C83*$H163+C84*$H164+C85*$H165+C86*'User costs'!$H166+'User costs'!C87*'User costs'!$H167+'User costs'!C88*'User costs'!$H168</f>
        <v>0</v>
      </c>
      <c r="D89" s="148">
        <f>D83*$H163+D84*$H164+D85*$H165+D86*'User costs'!$H166+'User costs'!D87*'User costs'!$H167+'User costs'!D88*'User costs'!$H168</f>
        <v>0</v>
      </c>
      <c r="E89" s="148">
        <f>E83*$H163+E84*$H164+E85*$H165+E86*'User costs'!$H166+'User costs'!E87*'User costs'!$H167+'User costs'!E88*'User costs'!$H168</f>
        <v>0</v>
      </c>
      <c r="F89" s="148">
        <f>F83*$H163+F84*$H164+F85*$H165+F86*'User costs'!$H166+'User costs'!F87*'User costs'!$H167+'User costs'!F88*'User costs'!$H168</f>
        <v>0</v>
      </c>
      <c r="G89" s="148">
        <f>G83*$H163+G84*$H164+G85*$H165+G86*'User costs'!$H166+'User costs'!G87*'User costs'!$H167+'User costs'!G88*'User costs'!$H168</f>
        <v>0</v>
      </c>
      <c r="H89" s="148">
        <f>H83*$H163+H84*$H164+H85*$H165+H86*'User costs'!$H166+'User costs'!H87*'User costs'!$H167+'User costs'!H88*'User costs'!$H168</f>
        <v>31.2</v>
      </c>
      <c r="I89" s="159">
        <f>I83*$H163+I84*$H164+I85*$H165+I86*'User costs'!$H166+'User costs'!I87*'User costs'!$H167+'User costs'!I88*'User costs'!$H168</f>
        <v>31.2</v>
      </c>
      <c r="J89" s="148">
        <f>J83*$H163+J84*$H164+J85*$H165+J86*'User costs'!$H166+'User costs'!J87*'User costs'!$H167+'User costs'!J88*'User costs'!$H168</f>
        <v>31.200000000000003</v>
      </c>
      <c r="K89" s="148">
        <f>K83*$H163+K84*$H164+K85*$H165+K86*'User costs'!$H166+'User costs'!K87*'User costs'!$H167+'User costs'!K88*'User costs'!$H168</f>
        <v>31.2</v>
      </c>
      <c r="L89" s="148">
        <f>L83*$H163+L84*$H164+L85*$H165+L86*'User costs'!$H166+'User costs'!L87*'User costs'!$H167+'User costs'!L88*'User costs'!$H168</f>
        <v>31.200000000000003</v>
      </c>
      <c r="M89" s="148">
        <f>M83*$H163+M84*$H164+M85*$H165+M86*'User costs'!$H166+'User costs'!M87*'User costs'!$H167+'User costs'!M88*'User costs'!$H168</f>
        <v>31.200000000000003</v>
      </c>
      <c r="N89" s="159">
        <f>N83*$H163+N84*$H164+N85*$H165+N86*'User costs'!$H166+'User costs'!N87*'User costs'!$H167+'User costs'!N88*'User costs'!$H168</f>
        <v>31.2</v>
      </c>
      <c r="O89" s="148">
        <f>O83*$H163+O84*$H164+O85*$H165+O86*'User costs'!$H166+'User costs'!O87*'User costs'!$H167+'User costs'!O88*'User costs'!$H168</f>
        <v>31.200000000000003</v>
      </c>
      <c r="P89" s="148">
        <f>P83*$H163+P84*$H164+P85*$H165+P86*'User costs'!$H166+'User costs'!P87*'User costs'!$H167+'User costs'!P88*'User costs'!$H168</f>
        <v>31.2</v>
      </c>
      <c r="Q89" s="148">
        <f>Q83*$H163+Q84*$H164+Q85*$H165+Q86*'User costs'!$H166+'User costs'!Q87*'User costs'!$H167+'User costs'!Q88*'User costs'!$H168</f>
        <v>31.2</v>
      </c>
      <c r="R89" s="148">
        <f>R83*$H163+R84*$H164+R85*$H165+R86*'User costs'!$H166+'User costs'!R87*'User costs'!$H167+'User costs'!R88*'User costs'!$H168</f>
        <v>31.2</v>
      </c>
      <c r="S89" s="159">
        <f>S83*$H163+S84*$H164+S85*$H165+S86*'User costs'!$H166+'User costs'!S87*'User costs'!$H167+'User costs'!S88*'User costs'!$H168</f>
        <v>31.200000000000003</v>
      </c>
      <c r="T89" s="148">
        <f>T83*$H163+T84*$H164+T85*$H165+T86*'User costs'!$H166+'User costs'!T87*'User costs'!$H167+'User costs'!T88*'User costs'!$H168</f>
        <v>31.2</v>
      </c>
      <c r="U89" s="148">
        <f>U83*$H163+U84*$H164+U85*$H165+U86*'User costs'!$H166+'User costs'!U87*'User costs'!$H167+'User costs'!U88*'User costs'!$H168</f>
        <v>31.2</v>
      </c>
      <c r="V89" s="148">
        <f>V83*$H163+V84*$H164+V85*$H165+V86*'User costs'!$H166+'User costs'!V87*'User costs'!$H167+'User costs'!V88*'User costs'!$H168</f>
        <v>31.200000000000003</v>
      </c>
      <c r="W89" s="164">
        <f>W83*$H163+W84*$H164+W85*$H165+W86*'User costs'!$H166+'User costs'!W87*'User costs'!$H167+'User costs'!W88*'User costs'!$H168</f>
        <v>31.200000000000003</v>
      </c>
    </row>
    <row r="90" spans="1:23" ht="12.75">
      <c r="A90" s="15"/>
      <c r="B90" s="16"/>
      <c r="C90" s="104"/>
      <c r="D90" s="148"/>
      <c r="E90" s="148"/>
      <c r="F90" s="148"/>
      <c r="G90" s="148"/>
      <c r="H90" s="148"/>
      <c r="I90" s="159"/>
      <c r="J90" s="148"/>
      <c r="K90" s="148"/>
      <c r="L90" s="148"/>
      <c r="M90" s="148"/>
      <c r="N90" s="159"/>
      <c r="O90" s="148"/>
      <c r="P90" s="148"/>
      <c r="Q90" s="148"/>
      <c r="R90" s="148"/>
      <c r="S90" s="159"/>
      <c r="T90" s="148"/>
      <c r="U90" s="148"/>
      <c r="V90" s="148"/>
      <c r="W90" s="164"/>
    </row>
    <row r="91" spans="1:23" ht="12.75">
      <c r="A91" s="21"/>
      <c r="B91" s="19"/>
      <c r="C91" s="58"/>
      <c r="D91" s="26"/>
      <c r="E91" s="26"/>
      <c r="F91" s="26"/>
      <c r="G91" s="26"/>
      <c r="H91" s="26"/>
      <c r="I91" s="48"/>
      <c r="J91" s="26"/>
      <c r="K91" s="26"/>
      <c r="L91" s="26"/>
      <c r="M91" s="26"/>
      <c r="N91" s="48"/>
      <c r="O91" s="26"/>
      <c r="P91" s="26"/>
      <c r="Q91" s="26"/>
      <c r="R91" s="26"/>
      <c r="S91" s="48"/>
      <c r="T91" s="26"/>
      <c r="U91" s="26"/>
      <c r="V91" s="26"/>
      <c r="W91" s="27"/>
    </row>
    <row r="92" spans="1:23" ht="12.75">
      <c r="A92" s="22" t="s">
        <v>49</v>
      </c>
      <c r="C92" s="105"/>
      <c r="I92" s="17"/>
      <c r="N92" s="17"/>
      <c r="S92" s="17"/>
      <c r="W92" s="13"/>
    </row>
    <row r="93" spans="1:23" ht="12.75">
      <c r="A93" s="203" t="s">
        <v>132</v>
      </c>
      <c r="B93" s="16" t="s">
        <v>52</v>
      </c>
      <c r="C93" s="104">
        <f>C62*Assumptions!$C$14*'User costs'!$H163*365</f>
        <v>1936159.7894736843</v>
      </c>
      <c r="D93" s="104">
        <f>D62*Assumptions!$C$14*'User costs'!$H163*365</f>
        <v>1982434.008442105</v>
      </c>
      <c r="E93" s="104">
        <f>E62*Assumptions!$C$14*'User costs'!$H163*365</f>
        <v>2029814.1812438716</v>
      </c>
      <c r="F93" s="104">
        <f>F62*Assumptions!$C$14*'User costs'!$H163*365</f>
        <v>2078326.7401756004</v>
      </c>
      <c r="G93" s="104">
        <f>G62*Assumptions!$C$14*'User costs'!$H163*365</f>
        <v>2127998.7492657965</v>
      </c>
      <c r="H93" s="104">
        <f>H62*Assumptions!$C$14*'User costs'!$H163*365</f>
        <v>13608375.49042207</v>
      </c>
      <c r="I93" s="104">
        <f>I62*Assumptions!$C$14*'User costs'!$H163*365</f>
        <v>25636298.705640048</v>
      </c>
      <c r="J93" s="104">
        <f>J62*Assumptions!$C$14*'User costs'!$H163*365</f>
        <v>38231383.410381556</v>
      </c>
      <c r="K93" s="104">
        <f>K62*Assumptions!$C$14*'User costs'!$H163*365</f>
        <v>51413869.45382606</v>
      </c>
      <c r="L93" s="104">
        <f>L62*Assumptions!$C$14*'User costs'!$H163*365</f>
        <v>65204640.18162936</v>
      </c>
      <c r="M93" s="104">
        <f>M62*Assumptions!$C$14*'User costs'!$H163*365</f>
        <v>66763031.08197031</v>
      </c>
      <c r="N93" s="104">
        <f>N62*Assumptions!$C$14*'User costs'!$H163*365</f>
        <v>68358667.5248294</v>
      </c>
      <c r="O93" s="104">
        <f>O62*Assumptions!$C$14*'User costs'!$H163*365</f>
        <v>69992439.67867282</v>
      </c>
      <c r="P93" s="104">
        <f>P62*Assumptions!$C$14*'User costs'!$H163*365</f>
        <v>71665258.9869931</v>
      </c>
      <c r="Q93" s="104">
        <f>Q62*Assumptions!$C$14*'User costs'!$H163*365</f>
        <v>73378058.67678224</v>
      </c>
      <c r="R93" s="104">
        <f>R62*Assumptions!$C$14*'User costs'!$H163*365</f>
        <v>75131794.27915733</v>
      </c>
      <c r="S93" s="104">
        <f>S62*Assumptions!$C$14*'User costs'!$H163*365</f>
        <v>76927444.16242918</v>
      </c>
      <c r="T93" s="104">
        <f>T62*Assumptions!$C$14*'User costs'!$H163*365</f>
        <v>78766010.07791124</v>
      </c>
      <c r="U93" s="104">
        <f>U62*Assumptions!$C$14*'User costs'!$H163*365</f>
        <v>80648517.7187733</v>
      </c>
      <c r="V93" s="104">
        <f>V62*Assumptions!$C$14*'User costs'!$H163*365</f>
        <v>82576017.29225197</v>
      </c>
      <c r="W93" s="104">
        <f>W62*Assumptions!$C$14*'User costs'!$H163*365</f>
        <v>84549584.1055368</v>
      </c>
    </row>
    <row r="94" spans="1:23" ht="12.75">
      <c r="A94" s="203" t="s">
        <v>126</v>
      </c>
      <c r="B94" s="16" t="s">
        <v>52</v>
      </c>
      <c r="C94" s="104">
        <f>C63*Assumptions!$C$14*'User costs'!$H164*365</f>
        <v>44531675.15789473</v>
      </c>
      <c r="D94" s="104">
        <f>D63*Assumptions!$C$14*'User costs'!$H164*365</f>
        <v>45595982.19416842</v>
      </c>
      <c r="E94" s="104">
        <f>E63*Assumptions!$C$14*'User costs'!$H164*365</f>
        <v>46685726.16860905</v>
      </c>
      <c r="F94" s="104">
        <f>F63*Assumptions!$C$14*'User costs'!$H164*365</f>
        <v>47801515.02403879</v>
      </c>
      <c r="G94" s="104">
        <f>G63*Assumptions!$C$14*'User costs'!$H164*365</f>
        <v>48943971.233113326</v>
      </c>
      <c r="H94" s="104">
        <f>H63*Assumptions!$C$14*'User costs'!$H164*365</f>
        <v>77903657.1232544</v>
      </c>
      <c r="I94" s="104">
        <f>I63*Assumptions!$C$14*'User costs'!$H164*365</f>
        <v>108219658.71313615</v>
      </c>
      <c r="J94" s="104">
        <f>J63*Assumptions!$C$14*'User costs'!$H164*365</f>
        <v>139940265.83102888</v>
      </c>
      <c r="K94" s="104">
        <f>K63*Assumptions!$C$14*'User costs'!$H164*365</f>
        <v>173115301.81790334</v>
      </c>
      <c r="L94" s="104">
        <f>L63*Assumptions!$C$14*'User costs'!$H164*365</f>
        <v>207796169.245705</v>
      </c>
      <c r="M94" s="104">
        <f>M63*Assumptions!$C$14*'User costs'!$H164*365</f>
        <v>212762497.69067737</v>
      </c>
      <c r="N94" s="104">
        <f>N63*Assumptions!$C$14*'User costs'!$H164*365</f>
        <v>217847521.38548455</v>
      </c>
      <c r="O94" s="104">
        <f>O63*Assumptions!$C$14*'User costs'!$H164*365</f>
        <v>223054077.14659765</v>
      </c>
      <c r="P94" s="104">
        <f>P63*Assumptions!$C$14*'User costs'!$H164*365</f>
        <v>228385069.5904013</v>
      </c>
      <c r="Q94" s="104">
        <f>Q63*Assumptions!$C$14*'User costs'!$H164*365</f>
        <v>233843472.75361192</v>
      </c>
      <c r="R94" s="104">
        <f>R63*Assumptions!$C$14*'User costs'!$H164*365</f>
        <v>239432331.75242326</v>
      </c>
      <c r="S94" s="104">
        <f>S63*Assumptions!$C$14*'User costs'!$H164*365</f>
        <v>245154764.48130617</v>
      </c>
      <c r="T94" s="104">
        <f>T63*Assumptions!$C$14*'User costs'!$H164*365</f>
        <v>251013963.35240933</v>
      </c>
      <c r="U94" s="104">
        <f>U63*Assumptions!$C$14*'User costs'!$H164*365</f>
        <v>257013197.0765319</v>
      </c>
      <c r="V94" s="104">
        <f>V63*Assumptions!$C$14*'User costs'!$H164*365</f>
        <v>263155812.486661</v>
      </c>
      <c r="W94" s="104">
        <f>W63*Assumptions!$C$14*'User costs'!$H164*365</f>
        <v>269445236.4050921</v>
      </c>
    </row>
    <row r="95" spans="1:23" ht="12.75">
      <c r="A95" s="203" t="s">
        <v>127</v>
      </c>
      <c r="B95" s="16" t="s">
        <v>52</v>
      </c>
      <c r="C95" s="104">
        <f>C64*Assumptions!$C$14*'User costs'!$H165*365</f>
        <v>5808479.368421052</v>
      </c>
      <c r="D95" s="104">
        <f>D64*Assumptions!$C$14*'User costs'!$H165*365</f>
        <v>5947302.025326316</v>
      </c>
      <c r="E95" s="104">
        <f>E64*Assumptions!$C$14*'User costs'!$H165*365</f>
        <v>6089442.543731615</v>
      </c>
      <c r="F95" s="104">
        <f>F64*Assumptions!$C$14*'User costs'!$H165*365</f>
        <v>6234980.220526799</v>
      </c>
      <c r="G95" s="104">
        <f>G64*Assumptions!$C$14*'User costs'!$H165*365</f>
        <v>6383996.2477973895</v>
      </c>
      <c r="H95" s="104">
        <f>H64*Assumptions!$C$14*'User costs'!$H165*365</f>
        <v>5229259.006495799</v>
      </c>
      <c r="I95" s="104">
        <f>I64*Assumptions!$C$14*'User costs'!$H165*365</f>
        <v>4015678.7225632863</v>
      </c>
      <c r="J95" s="104">
        <f>J64*Assumptions!$C$14*'User costs'!$H165*365</f>
        <v>2741102.2960216994</v>
      </c>
      <c r="K95" s="104">
        <f>K64*Assumptions!$C$14*'User costs'!$H165*365</f>
        <v>1403307.3204483094</v>
      </c>
      <c r="L95" s="104">
        <f>L64*Assumptions!$C$14*'User costs'!$H165*365</f>
        <v>4.735809130742675E-10</v>
      </c>
      <c r="M95" s="104">
        <f>M64*Assumptions!$C$14*'User costs'!$H165*365</f>
        <v>0</v>
      </c>
      <c r="N95" s="104">
        <f>N64*Assumptions!$C$14*'User costs'!$H165*365</f>
        <v>0</v>
      </c>
      <c r="O95" s="104">
        <f>O64*Assumptions!$C$14*'User costs'!$H165*365</f>
        <v>0</v>
      </c>
      <c r="P95" s="104">
        <f>P64*Assumptions!$C$14*'User costs'!$H165*365</f>
        <v>0</v>
      </c>
      <c r="Q95" s="104">
        <f>Q64*Assumptions!$C$14*'User costs'!$H165*365</f>
        <v>0</v>
      </c>
      <c r="R95" s="104">
        <f>R64*Assumptions!$C$14*'User costs'!$H165*365</f>
        <v>0</v>
      </c>
      <c r="S95" s="104">
        <f>S64*Assumptions!$C$14*'User costs'!$H165*365</f>
        <v>0</v>
      </c>
      <c r="T95" s="104">
        <f>T64*Assumptions!$C$14*'User costs'!$H165*365</f>
        <v>0</v>
      </c>
      <c r="U95" s="104">
        <f>U64*Assumptions!$C$14*'User costs'!$H165*365</f>
        <v>0</v>
      </c>
      <c r="V95" s="104">
        <f>V64*Assumptions!$C$14*'User costs'!$H165*365</f>
        <v>0</v>
      </c>
      <c r="W95" s="104">
        <f>W64*Assumptions!$C$14*'User costs'!$H165*365</f>
        <v>0</v>
      </c>
    </row>
    <row r="96" spans="1:23" ht="12.75">
      <c r="A96" s="203" t="s">
        <v>128</v>
      </c>
      <c r="B96" s="16" t="s">
        <v>52</v>
      </c>
      <c r="C96" s="104">
        <f>C65*Assumptions!$C$14*'User costs'!$H166*365</f>
        <v>1936159.7894736843</v>
      </c>
      <c r="D96" s="104">
        <f>D65*Assumptions!$C$14*'User costs'!$H166*365</f>
        <v>1982434.008442105</v>
      </c>
      <c r="E96" s="104">
        <f>E65*Assumptions!$C$14*'User costs'!$H166*365</f>
        <v>2029814.1812438716</v>
      </c>
      <c r="F96" s="104">
        <f>F65*Assumptions!$C$14*'User costs'!$H166*365</f>
        <v>2078326.7401756004</v>
      </c>
      <c r="G96" s="104">
        <f>G65*Assumptions!$C$14*'User costs'!$H166*365</f>
        <v>2127998.7492657965</v>
      </c>
      <c r="H96" s="104">
        <f>H65*Assumptions!$C$14*'User costs'!$H166*365</f>
        <v>1743086.3354985993</v>
      </c>
      <c r="I96" s="104">
        <f>I65*Assumptions!$C$14*'User costs'!$H166*365</f>
        <v>1338559.5741877619</v>
      </c>
      <c r="J96" s="104">
        <f>J65*Assumptions!$C$14*'User costs'!$H166*365</f>
        <v>913700.7653405662</v>
      </c>
      <c r="K96" s="104">
        <f>K65*Assumptions!$C$14*'User costs'!$H166*365</f>
        <v>467769.1068161028</v>
      </c>
      <c r="L96" s="104">
        <f>L65*Assumptions!$C$14*'User costs'!$H166*365</f>
        <v>-1.1839522826856687E-10</v>
      </c>
      <c r="M96" s="104">
        <f>M65*Assumptions!$C$14*'User costs'!$H166*365</f>
        <v>0</v>
      </c>
      <c r="N96" s="104">
        <f>N65*Assumptions!$C$14*'User costs'!$H166*365</f>
        <v>0</v>
      </c>
      <c r="O96" s="104">
        <f>O65*Assumptions!$C$14*'User costs'!$H166*365</f>
        <v>0</v>
      </c>
      <c r="P96" s="104">
        <f>P65*Assumptions!$C$14*'User costs'!$H166*365</f>
        <v>0</v>
      </c>
      <c r="Q96" s="104">
        <f>Q65*Assumptions!$C$14*'User costs'!$H166*365</f>
        <v>0</v>
      </c>
      <c r="R96" s="104">
        <f>R65*Assumptions!$C$14*'User costs'!$H166*365</f>
        <v>0</v>
      </c>
      <c r="S96" s="104">
        <f>S65*Assumptions!$C$14*'User costs'!$H166*365</f>
        <v>0</v>
      </c>
      <c r="T96" s="104">
        <f>T65*Assumptions!$C$14*'User costs'!$H166*365</f>
        <v>0</v>
      </c>
      <c r="U96" s="104">
        <f>U65*Assumptions!$C$14*'User costs'!$H166*365</f>
        <v>0</v>
      </c>
      <c r="V96" s="104">
        <f>V65*Assumptions!$C$14*'User costs'!$H166*365</f>
        <v>0</v>
      </c>
      <c r="W96" s="104">
        <f>W65*Assumptions!$C$14*'User costs'!$H166*365</f>
        <v>0</v>
      </c>
    </row>
    <row r="97" spans="1:23" ht="12.75">
      <c r="A97" s="203" t="s">
        <v>129</v>
      </c>
      <c r="B97" s="16" t="s">
        <v>52</v>
      </c>
      <c r="C97" s="104">
        <f>C66*Assumptions!$C$14*'User costs'!$H167*365</f>
        <v>7744639.157894737</v>
      </c>
      <c r="D97" s="104">
        <f>D66*Assumptions!$C$14*'User costs'!$H167*365</f>
        <v>7929736.03376842</v>
      </c>
      <c r="E97" s="104">
        <f>E66*Assumptions!$C$14*'User costs'!$H167*365</f>
        <v>8119256.724975486</v>
      </c>
      <c r="F97" s="104">
        <f>F66*Assumptions!$C$14*'User costs'!$H167*365</f>
        <v>8313306.960702402</v>
      </c>
      <c r="G97" s="104">
        <f>G66*Assumptions!$C$14*'User costs'!$H167*365</f>
        <v>8511994.997063186</v>
      </c>
      <c r="H97" s="104">
        <f>H66*Assumptions!$C$14*'User costs'!$H167*365</f>
        <v>6972345.341994397</v>
      </c>
      <c r="I97" s="104">
        <f>I66*Assumptions!$C$14*'User costs'!$H167*365</f>
        <v>5354238.2967510475</v>
      </c>
      <c r="J97" s="104">
        <f>J66*Assumptions!$C$14*'User costs'!$H167*365</f>
        <v>3654803.0613622647</v>
      </c>
      <c r="K97" s="104">
        <f>K66*Assumptions!$C$14*'User costs'!$H167*365</f>
        <v>1871076.4272644112</v>
      </c>
      <c r="L97" s="104">
        <f>L66*Assumptions!$C$14*'User costs'!$H167*365</f>
        <v>-4.735809130742675E-10</v>
      </c>
      <c r="M97" s="104">
        <f>M66*Assumptions!$C$14*'User costs'!$H167*365</f>
        <v>0</v>
      </c>
      <c r="N97" s="104">
        <f>N66*Assumptions!$C$14*'User costs'!$H167*365</f>
        <v>0</v>
      </c>
      <c r="O97" s="104">
        <f>O66*Assumptions!$C$14*'User costs'!$H167*365</f>
        <v>0</v>
      </c>
      <c r="P97" s="104">
        <f>P66*Assumptions!$C$14*'User costs'!$H167*365</f>
        <v>0</v>
      </c>
      <c r="Q97" s="104">
        <f>Q66*Assumptions!$C$14*'User costs'!$H167*365</f>
        <v>0</v>
      </c>
      <c r="R97" s="104">
        <f>R66*Assumptions!$C$14*'User costs'!$H167*365</f>
        <v>0</v>
      </c>
      <c r="S97" s="104">
        <f>S66*Assumptions!$C$14*'User costs'!$H167*365</f>
        <v>0</v>
      </c>
      <c r="T97" s="104">
        <f>T66*Assumptions!$C$14*'User costs'!$H167*365</f>
        <v>0</v>
      </c>
      <c r="U97" s="104">
        <f>U66*Assumptions!$C$14*'User costs'!$H167*365</f>
        <v>0</v>
      </c>
      <c r="V97" s="104">
        <f>V66*Assumptions!$C$14*'User costs'!$H167*365</f>
        <v>0</v>
      </c>
      <c r="W97" s="104">
        <f>W66*Assumptions!$C$14*'User costs'!$H167*365</f>
        <v>0</v>
      </c>
    </row>
    <row r="98" spans="1:23" ht="12.75">
      <c r="A98" s="203" t="s">
        <v>130</v>
      </c>
      <c r="B98" s="16" t="s">
        <v>52</v>
      </c>
      <c r="C98" s="104">
        <f>C67*Assumptions!$C$14*'User costs'!$H168*365</f>
        <v>27106237.05263158</v>
      </c>
      <c r="D98" s="104">
        <f>D67*Assumptions!$C$14*'User costs'!$H168*365</f>
        <v>27754076.118189473</v>
      </c>
      <c r="E98" s="104">
        <f>E67*Assumptions!$C$14*'User costs'!$H168*365</f>
        <v>28417398.5374142</v>
      </c>
      <c r="F98" s="104">
        <f>F67*Assumptions!$C$14*'User costs'!$H168*365</f>
        <v>29096574.362458404</v>
      </c>
      <c r="G98" s="104">
        <f>G67*Assumptions!$C$14*'User costs'!$H168*365</f>
        <v>29791982.48972116</v>
      </c>
      <c r="H98" s="104">
        <f>H67*Assumptions!$C$14*'User costs'!$H168*365</f>
        <v>24403208.69698039</v>
      </c>
      <c r="I98" s="104">
        <f>I67*Assumptions!$C$14*'User costs'!$H168*365</f>
        <v>18739834.03862867</v>
      </c>
      <c r="J98" s="104">
        <f>J67*Assumptions!$C$14*'User costs'!$H168*365</f>
        <v>12791810.71476793</v>
      </c>
      <c r="K98" s="104">
        <f>K67*Assumptions!$C$14*'User costs'!$H168*365</f>
        <v>6548767.495425442</v>
      </c>
      <c r="L98" s="104">
        <f>L67*Assumptions!$C$14*'User costs'!$H168*365</f>
        <v>1.89432365229707E-09</v>
      </c>
      <c r="M98" s="104">
        <f>M67*Assumptions!$C$14*'User costs'!$H168*365</f>
        <v>0</v>
      </c>
      <c r="N98" s="104">
        <f>N67*Assumptions!$C$14*'User costs'!$H168*365</f>
        <v>0</v>
      </c>
      <c r="O98" s="104">
        <f>O67*Assumptions!$C$14*'User costs'!$H168*365</f>
        <v>0</v>
      </c>
      <c r="P98" s="104">
        <f>P67*Assumptions!$C$14*'User costs'!$H168*365</f>
        <v>0</v>
      </c>
      <c r="Q98" s="104">
        <f>Q67*Assumptions!$C$14*'User costs'!$H168*365</f>
        <v>0</v>
      </c>
      <c r="R98" s="104">
        <f>R67*Assumptions!$C$14*'User costs'!$H168*365</f>
        <v>0</v>
      </c>
      <c r="S98" s="104">
        <f>S67*Assumptions!$C$14*'User costs'!$H168*365</f>
        <v>0</v>
      </c>
      <c r="T98" s="104">
        <f>T67*Assumptions!$C$14*'User costs'!$H168*365</f>
        <v>0</v>
      </c>
      <c r="U98" s="104">
        <f>U67*Assumptions!$C$14*'User costs'!$H168*365</f>
        <v>0</v>
      </c>
      <c r="V98" s="104">
        <f>V67*Assumptions!$C$14*'User costs'!$H168*365</f>
        <v>0</v>
      </c>
      <c r="W98" s="104">
        <f>W67*Assumptions!$C$14*'User costs'!$H168*365</f>
        <v>0</v>
      </c>
    </row>
    <row r="99" spans="1:23" s="19" customFormat="1" ht="12.75">
      <c r="A99" s="203" t="s">
        <v>131</v>
      </c>
      <c r="B99" s="16" t="s">
        <v>52</v>
      </c>
      <c r="C99" s="104">
        <f>C68*Assumptions!$C$14*'User costs'!$H169*365</f>
        <v>131658865.68421052</v>
      </c>
      <c r="D99" s="104">
        <f>D68*Assumptions!$C$14*'User costs'!$H169*365</f>
        <v>134805512.57406315</v>
      </c>
      <c r="E99" s="104">
        <f>E68*Assumptions!$C$14*'User costs'!$H169*365</f>
        <v>138027364.32458323</v>
      </c>
      <c r="F99" s="104">
        <f>F68*Assumptions!$C$14*'User costs'!$H169*365</f>
        <v>141326218.3319408</v>
      </c>
      <c r="G99" s="104">
        <f>G68*Assumptions!$C$14*'User costs'!$H169*365</f>
        <v>144703914.95007417</v>
      </c>
      <c r="H99" s="104">
        <f>H68*Assumptions!$C$14*'User costs'!$H169*365</f>
        <v>118529870.81390478</v>
      </c>
      <c r="I99" s="104">
        <f>I68*Assumptions!$C$14*'User costs'!$H169*365</f>
        <v>91022051.04476783</v>
      </c>
      <c r="J99" s="104">
        <f>J68*Assumptions!$C$14*'User costs'!$H169*365</f>
        <v>62131652.043158524</v>
      </c>
      <c r="K99" s="104">
        <f>K68*Assumptions!$C$14*'User costs'!$H169*365</f>
        <v>31808299.263495006</v>
      </c>
      <c r="L99" s="104">
        <f>L68*Assumptions!$C$14*'User costs'!$H169*365</f>
        <v>7.57729460918828E-09</v>
      </c>
      <c r="M99" s="104">
        <f>M68*Assumptions!$C$14*'User costs'!$H169*365</f>
        <v>0</v>
      </c>
      <c r="N99" s="104">
        <f>N68*Assumptions!$C$14*'User costs'!$H169*365</f>
        <v>0</v>
      </c>
      <c r="O99" s="104">
        <f>O68*Assumptions!$C$14*'User costs'!$H169*365</f>
        <v>0</v>
      </c>
      <c r="P99" s="104">
        <f>P68*Assumptions!$C$14*'User costs'!$H169*365</f>
        <v>0</v>
      </c>
      <c r="Q99" s="104">
        <f>Q68*Assumptions!$C$14*'User costs'!$H169*365</f>
        <v>0</v>
      </c>
      <c r="R99" s="104">
        <f>R68*Assumptions!$C$14*'User costs'!$H169*365</f>
        <v>0</v>
      </c>
      <c r="S99" s="104">
        <f>S68*Assumptions!$C$14*'User costs'!$H169*365</f>
        <v>0</v>
      </c>
      <c r="T99" s="104">
        <f>T68*Assumptions!$C$14*'User costs'!$H169*365</f>
        <v>0</v>
      </c>
      <c r="U99" s="104">
        <f>U68*Assumptions!$C$14*'User costs'!$H169*365</f>
        <v>0</v>
      </c>
      <c r="V99" s="104">
        <f>V68*Assumptions!$C$14*'User costs'!$H169*365</f>
        <v>0</v>
      </c>
      <c r="W99" s="104">
        <f>W68*Assumptions!$C$14*'User costs'!$H169*365</f>
        <v>0</v>
      </c>
    </row>
    <row r="100" spans="1:23" s="19" customFormat="1" ht="12.75">
      <c r="A100" s="257" t="s">
        <v>55</v>
      </c>
      <c r="B100" s="19" t="s">
        <v>52</v>
      </c>
      <c r="C100" s="104">
        <f>SUM(C93:C99)</f>
        <v>220722216</v>
      </c>
      <c r="D100" s="104">
        <f aca="true" t="shared" si="20" ref="D100:W100">SUM(D93:D99)</f>
        <v>225997476.9624</v>
      </c>
      <c r="E100" s="104">
        <f t="shared" si="20"/>
        <v>231398816.66180134</v>
      </c>
      <c r="F100" s="104">
        <f t="shared" si="20"/>
        <v>236929248.3800184</v>
      </c>
      <c r="G100" s="104">
        <f t="shared" si="20"/>
        <v>242591857.41630083</v>
      </c>
      <c r="H100" s="104">
        <f t="shared" si="20"/>
        <v>248389802.80855042</v>
      </c>
      <c r="I100" s="104">
        <f t="shared" si="20"/>
        <v>254326319.09567478</v>
      </c>
      <c r="J100" s="104">
        <f t="shared" si="20"/>
        <v>260404718.12206143</v>
      </c>
      <c r="K100" s="104">
        <f t="shared" si="20"/>
        <v>266628390.8851787</v>
      </c>
      <c r="L100" s="104">
        <f t="shared" si="20"/>
        <v>273000809.42733437</v>
      </c>
      <c r="M100" s="104">
        <f t="shared" si="20"/>
        <v>279525528.7726477</v>
      </c>
      <c r="N100" s="104">
        <f t="shared" si="20"/>
        <v>286206188.91031396</v>
      </c>
      <c r="O100" s="104">
        <f t="shared" si="20"/>
        <v>293046516.8252705</v>
      </c>
      <c r="P100" s="104">
        <f t="shared" si="20"/>
        <v>300050328.57739437</v>
      </c>
      <c r="Q100" s="104">
        <f t="shared" si="20"/>
        <v>307221531.4303942</v>
      </c>
      <c r="R100" s="104">
        <f t="shared" si="20"/>
        <v>314564126.03158057</v>
      </c>
      <c r="S100" s="104">
        <f t="shared" si="20"/>
        <v>322082208.64373535</v>
      </c>
      <c r="T100" s="104">
        <f t="shared" si="20"/>
        <v>329779973.43032056</v>
      </c>
      <c r="U100" s="104">
        <f t="shared" si="20"/>
        <v>337661714.7953052</v>
      </c>
      <c r="V100" s="104">
        <f t="shared" si="20"/>
        <v>345731829.77891296</v>
      </c>
      <c r="W100" s="104">
        <f t="shared" si="20"/>
        <v>353994820.51062894</v>
      </c>
    </row>
    <row r="101" spans="1:23" ht="12.75">
      <c r="A101" s="12"/>
      <c r="C101" s="18"/>
      <c r="E101" s="14"/>
      <c r="F101" s="14"/>
      <c r="G101" s="14"/>
      <c r="H101" s="14"/>
      <c r="I101" s="47"/>
      <c r="J101" s="14"/>
      <c r="K101" s="14"/>
      <c r="L101" s="14"/>
      <c r="M101" s="14"/>
      <c r="N101" s="47"/>
      <c r="O101" s="14"/>
      <c r="P101" s="14"/>
      <c r="Q101" s="14"/>
      <c r="R101" s="14"/>
      <c r="S101" s="47"/>
      <c r="T101" s="14"/>
      <c r="U101" s="14"/>
      <c r="V101" s="14"/>
      <c r="W101" s="25"/>
    </row>
    <row r="102" spans="1:23" ht="12.75">
      <c r="A102" s="22" t="s">
        <v>4</v>
      </c>
      <c r="C102" s="18"/>
      <c r="D102" s="11" t="s">
        <v>99</v>
      </c>
      <c r="E102" s="14" t="s">
        <v>99</v>
      </c>
      <c r="F102" s="11" t="s">
        <v>99</v>
      </c>
      <c r="I102" s="17"/>
      <c r="N102" s="17"/>
      <c r="S102" s="17"/>
      <c r="W102" s="13"/>
    </row>
    <row r="103" spans="1:23" ht="12.75">
      <c r="A103" s="203" t="s">
        <v>132</v>
      </c>
      <c r="B103" s="11" t="s">
        <v>20</v>
      </c>
      <c r="C103" s="57">
        <f>IF(C$172="Yes",IF(C$173="Partial",((($L$163-($L$163-$K$163)/$C$157*(C$3-$C$155))*C62*365)),C62*'User costs'!$K163*365),C27)</f>
        <v>117250.60991754386</v>
      </c>
      <c r="D103" s="57">
        <f>IF(D$172="Yes",IF(D$173="Partial",((($L$163-($L$163-$K$163)/$C$157*(D$3-$C$155))*D62*365)),D62*'User costs'!$K163*365),D27)</f>
        <v>120052.89949457315</v>
      </c>
      <c r="E103" s="57">
        <f>IF(E$172="Yes",IF(E$173="Partial",((($L$163-($L$163-$K$163)/$C$157*(E$3-$C$155))*E62*365)),E62*'User costs'!$K163*365),E27)</f>
        <v>122922.16379249345</v>
      </c>
      <c r="F103" s="57">
        <f>IF(F$172="Yes",IF(F$173="Partial",((($L$163-($L$163-$K$163)/$C$157*(F$3-$C$155))*F62*365)),F62*'User costs'!$K163*365),F27)</f>
        <v>125860.00350713404</v>
      </c>
      <c r="G103" s="57">
        <f>IF(G$172="Yes",IF(G$173="Partial",((($L$163-($L$163-$K$163)/$C$157*(G$3-$C$155))*G62*365)),G62*'User costs'!$K163*365),G27)</f>
        <v>128868.05759095453</v>
      </c>
      <c r="H103" s="57">
        <f>IF(H$172="Yes",IF(H$173="Partial",((($L$163-($L$163-$K$163)/$C$157*(H$3-$C$155))*H62*365)),H62*'User costs'!$K163*365),H27)</f>
        <v>824100.5390741433</v>
      </c>
      <c r="I103" s="57">
        <f>IF(I$172="Yes",IF(I$173="Partial",((($L$163-($L$163-$K$163)/$C$157*(I$3-$C$155))*I62*365)),I62*'User costs'!$K163*365),I27)</f>
        <v>1377310.1479605115</v>
      </c>
      <c r="J103" s="57">
        <f>IF(J$172="Yes",IF(J$173="Partial",((($L$163-($L$163-$K$163)/$C$157*(J$3-$C$155))*J62*365)),J62*'User costs'!$K163*365),J27)</f>
        <v>1792733.2870851418</v>
      </c>
      <c r="K103" s="57">
        <f>IF(K$172="Yes",IF(K$173="Partial",((($L$163-($L$163-$K$163)/$C$157*(K$3-$C$155))*K62*365)),K62*'User costs'!$K163*365),K27)</f>
        <v>2059553.9205378483</v>
      </c>
      <c r="L103" s="57">
        <f>IF(L$172="Yes",IF(L$173="Partial",((($L$163-($L$163-$K$163)/$C$157*(L$3-$C$155))*L62*365)),L62*'User costs'!$K163*365),L27)</f>
        <v>2166424.170034635</v>
      </c>
      <c r="M103" s="57">
        <f>IF(M$172="Yes",IF(M$173="Partial",((($L$163-($L$163-$K$163)/$C$157*(M$3-$C$155))*M62*365)),M62*'User costs'!$K163*365),M27)</f>
        <v>1761987.6619716664</v>
      </c>
      <c r="N103" s="57">
        <f>IF(N$172="Yes",IF(N$173="Partial",((($L$163-($L$163-$K$163)/$C$157*(N$3-$C$155))*N62*365)),N62*'User costs'!$K163*365),N27)</f>
        <v>1804099.1670927894</v>
      </c>
      <c r="O103" s="57">
        <f>IF(O$172="Yes",IF(O$173="Partial",((($L$163-($L$163-$K$163)/$C$157*(O$3-$C$155))*O62*365)),O62*'User costs'!$K163*365),O27)</f>
        <v>1847217.1371863065</v>
      </c>
      <c r="P103" s="57">
        <f>IF(P$172="Yes",IF(P$173="Partial",((($L$163-($L$163-$K$163)/$C$157*(P$3-$C$155))*P62*365)),P62*'User costs'!$K163*365),P27)</f>
        <v>1891365.6267650595</v>
      </c>
      <c r="Q103" s="57">
        <f>IF(Q$172="Yes",IF(Q$173="Partial",((($L$163-($L$163-$K$163)/$C$157*(Q$3-$C$155))*Q62*365)),Q62*'User costs'!$K163*365),Q27)</f>
        <v>1936569.2652447443</v>
      </c>
      <c r="R103" s="57">
        <f>IF(R$172="Yes",IF(R$173="Partial",((($L$163-($L$163-$K$163)/$C$157*(R$3-$C$155))*R62*365)),R62*'User costs'!$K163*365),R27)</f>
        <v>1982853.2706840937</v>
      </c>
      <c r="S103" s="57">
        <f>IF(S$172="Yes",IF(S$173="Partial",((($L$163-($L$163-$K$163)/$C$157*(S$3-$C$155))*S62*365)),S62*'User costs'!$K163*365),S27)</f>
        <v>2030243.4638534433</v>
      </c>
      <c r="T103" s="57">
        <f>IF(T$172="Yes",IF(T$173="Partial",((($L$163-($L$163-$K$163)/$C$157*(T$3-$C$155))*T62*365)),T62*'User costs'!$K163*365),T27)</f>
        <v>2078766.2826395407</v>
      </c>
      <c r="U103" s="57">
        <f>IF(U$172="Yes",IF(U$173="Partial",((($L$163-($L$163-$K$163)/$C$157*(U$3-$C$155))*U62*365)),U62*'User costs'!$K163*365),U27)</f>
        <v>2128448.7967946255</v>
      </c>
      <c r="V103" s="57">
        <f>IF(V$172="Yes",IF(V$173="Partial",((($L$163-($L$163-$K$163)/$C$157*(V$3-$C$155))*V62*365)),V62*'User costs'!$K163*365),V27)</f>
        <v>2179318.723038017</v>
      </c>
      <c r="W103" s="57">
        <f>IF(W$172="Yes",IF(W$173="Partial",((($L$163-($L$163-$K$163)/$C$157*(W$3-$C$155))*W62*365)),W62*'User costs'!$K163*365),W27)</f>
        <v>2231404.440518625</v>
      </c>
    </row>
    <row r="104" spans="1:23" ht="12.75">
      <c r="A104" s="203" t="s">
        <v>126</v>
      </c>
      <c r="B104" s="11" t="s">
        <v>20</v>
      </c>
      <c r="C104" s="57">
        <f>IF(C$172="Yes",IF(C$173="Partial",((($L$163-($L$163-$K$163)/$C$157*(C$3-$C$155))*C63*365)),C63*'User costs'!$K164*365),C28)</f>
        <v>2696764.028103508</v>
      </c>
      <c r="D104" s="57">
        <f>IF(D$172="Yes",IF(D$173="Partial",((($L$163-($L$163-$K$163)/$C$157*(D$3-$C$155))*D63*365)),D63*'User costs'!$K164*365),D28)</f>
        <v>2761216.6883751824</v>
      </c>
      <c r="E104" s="57">
        <f>IF(E$172="Yes",IF(E$173="Partial",((($L$163-($L$163-$K$163)/$C$157*(E$3-$C$155))*E63*365)),E63*'User costs'!$K164*365),E28)</f>
        <v>2827209.7672273493</v>
      </c>
      <c r="F104" s="57">
        <f>IF(F$172="Yes",IF(F$173="Partial",((($L$163-($L$163-$K$163)/$C$157*(F$3-$C$155))*F63*365)),F63*'User costs'!$K164*365),F28)</f>
        <v>2894780.080664083</v>
      </c>
      <c r="G104" s="57">
        <f>IF(G$172="Yes",IF(G$173="Partial",((($L$163-($L$163-$K$163)/$C$157*(G$3-$C$155))*G63*365)),G63*'User costs'!$K164*365),G28)</f>
        <v>2963965.3245919547</v>
      </c>
      <c r="H104" s="57">
        <f>IF(H$172="Yes",IF(H$173="Partial",((($L$163-($L$163-$K$163)/$C$157*(H$3-$C$155))*H63*365)),H63*'User costs'!$K164*365),H28)</f>
        <v>4717715.635955747</v>
      </c>
      <c r="I104" s="57">
        <f>IF(I$172="Yes",IF(I$173="Partial",((($L$163-($L$163-$K$163)/$C$157*(I$3-$C$155))*I63*365)),I63*'User costs'!$K164*365),I28)</f>
        <v>5814101.164363241</v>
      </c>
      <c r="J104" s="57">
        <f>IF(J$172="Yes",IF(J$173="Partial",((($L$163-($L$163-$K$163)/$C$157*(J$3-$C$155))*J63*365)),J63*'User costs'!$K164*365),J28)</f>
        <v>6562032.298593328</v>
      </c>
      <c r="K104" s="57">
        <f>IF(K$172="Yes",IF(K$173="Partial",((($L$163-($L$163-$K$163)/$C$157*(K$3-$C$155))*K63*365)),K63*'User costs'!$K164*365),K28)</f>
        <v>6934710.465322176</v>
      </c>
      <c r="L104" s="57">
        <f>IF(L$172="Yes",IF(L$173="Partial",((($L$163-($L$163-$K$163)/$C$157*(L$3-$C$155))*L63*365)),L63*'User costs'!$K164*365),L28)</f>
        <v>6904027.723188549</v>
      </c>
      <c r="M104" s="57">
        <f>IF(M$172="Yes",IF(M$173="Partial",((($L$163-($L$163-$K$163)/$C$157*(M$3-$C$155))*M63*365)),M63*'User costs'!$K164*365),M28)</f>
        <v>5615156.918219793</v>
      </c>
      <c r="N104" s="57">
        <f>IF(N$172="Yes",IF(N$173="Partial",((($L$163-($L$163-$K$163)/$C$157*(N$3-$C$155))*N63*365)),N63*'User costs'!$K164*365),N28)</f>
        <v>5749359.168565246</v>
      </c>
      <c r="O104" s="57">
        <f>IF(O$172="Yes",IF(O$173="Partial",((($L$163-($L$163-$K$163)/$C$157*(O$3-$C$155))*O63*365)),O63*'User costs'!$K164*365),O28)</f>
        <v>5886768.8526939545</v>
      </c>
      <c r="P104" s="57">
        <f>IF(P$172="Yes",IF(P$173="Partial",((($L$163-($L$163-$K$163)/$C$157*(P$3-$C$155))*P63*365)),P63*'User costs'!$K164*365),P28)</f>
        <v>6027462.62827334</v>
      </c>
      <c r="Q104" s="57">
        <f>IF(Q$172="Yes",IF(Q$173="Partial",((($L$163-($L$163-$K$163)/$C$157*(Q$3-$C$155))*Q63*365)),Q63*'User costs'!$K164*365),Q28)</f>
        <v>6171518.985089073</v>
      </c>
      <c r="R104" s="57">
        <f>IF(R$172="Yes",IF(R$173="Partial",((($L$163-($L$163-$K$163)/$C$157*(R$3-$C$155))*R63*365)),R63*'User costs'!$K164*365),R28)</f>
        <v>6319018.288832702</v>
      </c>
      <c r="S104" s="57">
        <f>IF(S$172="Yes",IF(S$173="Partial",((($L$163-($L$163-$K$163)/$C$157*(S$3-$C$155))*S63*365)),S63*'User costs'!$K164*365),S28)</f>
        <v>6470042.825935804</v>
      </c>
      <c r="T104" s="57">
        <f>IF(T$172="Yes",IF(T$173="Partial",((($L$163-($L$163-$K$163)/$C$157*(T$3-$C$155))*T63*365)),T63*'User costs'!$K164*365),T28)</f>
        <v>6624676.849475669</v>
      </c>
      <c r="U104" s="57">
        <f>IF(U$172="Yes",IF(U$173="Partial",((($L$163-($L$163-$K$163)/$C$157*(U$3-$C$155))*U63*365)),U63*'User costs'!$K164*365),U28)</f>
        <v>6783006.626178137</v>
      </c>
      <c r="V104" s="57">
        <f>IF(V$172="Yes",IF(V$173="Partial",((($L$163-($L$163-$K$163)/$C$157*(V$3-$C$155))*V63*365)),V63*'User costs'!$K164*365),V28)</f>
        <v>6945120.484543794</v>
      </c>
      <c r="W104" s="57">
        <f>IF(W$172="Yes",IF(W$173="Partial",((($L$163-($L$163-$K$163)/$C$157*(W$3-$C$155))*W63*365)),W63*'User costs'!$K164*365),W28)</f>
        <v>7111108.864124389</v>
      </c>
    </row>
    <row r="105" spans="1:23" ht="12.75">
      <c r="A105" s="203" t="s">
        <v>127</v>
      </c>
      <c r="B105" s="11" t="s">
        <v>20</v>
      </c>
      <c r="C105" s="57">
        <f>IF(C$172="Yes",IF(C$173="Partial",((($L$163-($L$163-$K$163)/$C$157*(C$3-$C$155))*C64*365)),C64*'User costs'!$K165*365),C29)</f>
        <v>351751.8297526315</v>
      </c>
      <c r="D105" s="57">
        <f>IF(D$172="Yes",IF(D$173="Partial",((($L$163-($L$163-$K$163)/$C$157*(D$3-$C$155))*D64*365)),D64*'User costs'!$K165*365),D29)</f>
        <v>360158.69848371943</v>
      </c>
      <c r="E105" s="57">
        <f>IF(E$172="Yes",IF(E$173="Partial",((($L$163-($L$163-$K$163)/$C$157*(E$3-$C$155))*E64*365)),E64*'User costs'!$K165*365),E29)</f>
        <v>368766.4913774803</v>
      </c>
      <c r="F105" s="57">
        <f>IF(F$172="Yes",IF(F$173="Partial",((($L$163-($L$163-$K$163)/$C$157*(F$3-$C$155))*F64*365)),F64*'User costs'!$K165*365),F29)</f>
        <v>377580.01052140206</v>
      </c>
      <c r="G105" s="57">
        <f>IF(G$172="Yes",IF(G$173="Partial",((($L$163-($L$163-$K$163)/$C$157*(G$3-$C$155))*G64*365)),G64*'User costs'!$K165*365),G29)</f>
        <v>386604.1727728636</v>
      </c>
      <c r="H105" s="57">
        <f>IF(H$172="Yes",IF(H$173="Partial",((($L$163-($L$163-$K$163)/$C$157*(H$3-$C$155))*H64*365)),H64*'User costs'!$K165*365),H29)</f>
        <v>316675.21000170807</v>
      </c>
      <c r="I105" s="57">
        <f>IF(I$172="Yes",IF(I$173="Partial",((($L$163-($L$163-$K$163)/$C$157*(I$3-$C$155))*I64*365)),I64*'User costs'!$K165*365),I29)</f>
        <v>215742.3393697126</v>
      </c>
      <c r="J105" s="57">
        <f>IF(J$172="Yes",IF(J$173="Partial",((($L$163-($L$163-$K$163)/$C$157*(J$3-$C$155))*J64*365)),J64*'User costs'!$K165*365),J29)</f>
        <v>128534.85516428418</v>
      </c>
      <c r="K105" s="57">
        <f>IF(K$172="Yes",IF(K$173="Partial",((($L$163-($L$163-$K$163)/$C$157*(K$3-$C$155))*K64*365)),K64*'User costs'!$K165*365),K29)</f>
        <v>56214.152411625175</v>
      </c>
      <c r="L105" s="57">
        <f>IF(L$172="Yes",IF(L$173="Partial",((($L$163-($L$163-$K$163)/$C$157*(L$3-$C$155))*L64*365)),L64*'User costs'!$K165*365),L29)</f>
        <v>1.5734725836892538E-11</v>
      </c>
      <c r="M105" s="57">
        <f>IF(M$172="Yes",IF(M$173="Partial",((($L$163-($L$163-$K$163)/$C$157*(M$3-$C$155))*M64*365)),M64*'User costs'!$K165*365),M29)</f>
        <v>0</v>
      </c>
      <c r="N105" s="57">
        <f>IF(N$172="Yes",IF(N$173="Partial",((($L$163-($L$163-$K$163)/$C$157*(N$3-$C$155))*N64*365)),N64*'User costs'!$K165*365),N29)</f>
        <v>0</v>
      </c>
      <c r="O105" s="57">
        <f>IF(O$172="Yes",IF(O$173="Partial",((($L$163-($L$163-$K$163)/$C$157*(O$3-$C$155))*O64*365)),O64*'User costs'!$K165*365),O29)</f>
        <v>0</v>
      </c>
      <c r="P105" s="57">
        <f>IF(P$172="Yes",IF(P$173="Partial",((($L$163-($L$163-$K$163)/$C$157*(P$3-$C$155))*P64*365)),P64*'User costs'!$K165*365),P29)</f>
        <v>0</v>
      </c>
      <c r="Q105" s="57">
        <f>IF(Q$172="Yes",IF(Q$173="Partial",((($L$163-($L$163-$K$163)/$C$157*(Q$3-$C$155))*Q64*365)),Q64*'User costs'!$K165*365),Q29)</f>
        <v>0</v>
      </c>
      <c r="R105" s="57">
        <f>IF(R$172="Yes",IF(R$173="Partial",((($L$163-($L$163-$K$163)/$C$157*(R$3-$C$155))*R64*365)),R64*'User costs'!$K165*365),R29)</f>
        <v>0</v>
      </c>
      <c r="S105" s="57">
        <f>IF(S$172="Yes",IF(S$173="Partial",((($L$163-($L$163-$K$163)/$C$157*(S$3-$C$155))*S64*365)),S64*'User costs'!$K165*365),S29)</f>
        <v>0</v>
      </c>
      <c r="T105" s="57">
        <f>IF(T$172="Yes",IF(T$173="Partial",((($L$163-($L$163-$K$163)/$C$157*(T$3-$C$155))*T64*365)),T64*'User costs'!$K165*365),T29)</f>
        <v>0</v>
      </c>
      <c r="U105" s="57">
        <f>IF(U$172="Yes",IF(U$173="Partial",((($L$163-($L$163-$K$163)/$C$157*(U$3-$C$155))*U64*365)),U64*'User costs'!$K165*365),U29)</f>
        <v>0</v>
      </c>
      <c r="V105" s="57">
        <f>IF(V$172="Yes",IF(V$173="Partial",((($L$163-($L$163-$K$163)/$C$157*(V$3-$C$155))*V64*365)),V64*'User costs'!$K165*365),V29)</f>
        <v>0</v>
      </c>
      <c r="W105" s="57">
        <f>IF(W$172="Yes",IF(W$173="Partial",((($L$163-($L$163-$K$163)/$C$157*(W$3-$C$155))*W64*365)),W64*'User costs'!$K165*365),W29)</f>
        <v>0</v>
      </c>
    </row>
    <row r="106" spans="1:23" ht="12.75">
      <c r="A106" s="203" t="s">
        <v>128</v>
      </c>
      <c r="B106" s="11" t="s">
        <v>20</v>
      </c>
      <c r="C106" s="57">
        <f>IF(C$172="Yes",IF(C$173="Partial",((($L$163-($L$163-$K$163)/$C$157*(C$3-$C$155))*C65*365)),C65*'User costs'!$K166*365),C30)</f>
        <v>117250.60991754386</v>
      </c>
      <c r="D106" s="57">
        <f>IF(D$172="Yes",IF(D$173="Partial",((($L$163-($L$163-$K$163)/$C$157*(D$3-$C$155))*D65*365)),D65*'User costs'!$K166*365),D30)</f>
        <v>120052.89949457315</v>
      </c>
      <c r="E106" s="57">
        <f>IF(E$172="Yes",IF(E$173="Partial",((($L$163-($L$163-$K$163)/$C$157*(E$3-$C$155))*E65*365)),E65*'User costs'!$K166*365),E30)</f>
        <v>122922.16379249345</v>
      </c>
      <c r="F106" s="57">
        <f>IF(F$172="Yes",IF(F$173="Partial",((($L$163-($L$163-$K$163)/$C$157*(F$3-$C$155))*F65*365)),F65*'User costs'!$K166*365),F30)</f>
        <v>125860.00350713404</v>
      </c>
      <c r="G106" s="57">
        <f>IF(G$172="Yes",IF(G$173="Partial",((($L$163-($L$163-$K$163)/$C$157*(G$3-$C$155))*G65*365)),G65*'User costs'!$K166*365),G30)</f>
        <v>128868.05759095453</v>
      </c>
      <c r="H106" s="57">
        <f>IF(H$172="Yes",IF(H$173="Partial",((($L$163-($L$163-$K$163)/$C$157*(H$3-$C$155))*H65*365)),H65*'User costs'!$K166*365),H30)</f>
        <v>105558.40333390266</v>
      </c>
      <c r="I106" s="57">
        <f>IF(I$172="Yes",IF(I$173="Partial",((($L$163-($L$163-$K$163)/$C$157*(I$3-$C$155))*I65*365)),I65*'User costs'!$K166*365),I30)</f>
        <v>71914.1131232375</v>
      </c>
      <c r="J106" s="57">
        <f>IF(J$172="Yes",IF(J$173="Partial",((($L$163-($L$163-$K$163)/$C$157*(J$3-$C$155))*J65*365)),J65*'User costs'!$K166*365),J30)</f>
        <v>42844.95172142805</v>
      </c>
      <c r="K106" s="57">
        <f>IF(K$172="Yes",IF(K$173="Partial",((($L$163-($L$163-$K$163)/$C$157*(K$3-$C$155))*K65*365)),K65*'User costs'!$K166*365),K30)</f>
        <v>18738.05080387505</v>
      </c>
      <c r="L106" s="57">
        <f>IF(L$172="Yes",IF(L$173="Partial",((($L$163-($L$163-$K$163)/$C$157*(L$3-$C$155))*L65*365)),L65*'User costs'!$K166*365),L30)</f>
        <v>-3.933681459223134E-12</v>
      </c>
      <c r="M106" s="57">
        <f>IF(M$172="Yes",IF(M$173="Partial",((($L$163-($L$163-$K$163)/$C$157*(M$3-$C$155))*M65*365)),M65*'User costs'!$K166*365),M30)</f>
        <v>0</v>
      </c>
      <c r="N106" s="57">
        <f>IF(N$172="Yes",IF(N$173="Partial",((($L$163-($L$163-$K$163)/$C$157*(N$3-$C$155))*N65*365)),N65*'User costs'!$K166*365),N30)</f>
        <v>0</v>
      </c>
      <c r="O106" s="57">
        <f>IF(O$172="Yes",IF(O$173="Partial",((($L$163-($L$163-$K$163)/$C$157*(O$3-$C$155))*O65*365)),O65*'User costs'!$K166*365),O30)</f>
        <v>0</v>
      </c>
      <c r="P106" s="57">
        <f>IF(P$172="Yes",IF(P$173="Partial",((($L$163-($L$163-$K$163)/$C$157*(P$3-$C$155))*P65*365)),P65*'User costs'!$K166*365),P30)</f>
        <v>0</v>
      </c>
      <c r="Q106" s="57">
        <f>IF(Q$172="Yes",IF(Q$173="Partial",((($L$163-($L$163-$K$163)/$C$157*(Q$3-$C$155))*Q65*365)),Q65*'User costs'!$K166*365),Q30)</f>
        <v>0</v>
      </c>
      <c r="R106" s="57">
        <f>IF(R$172="Yes",IF(R$173="Partial",((($L$163-($L$163-$K$163)/$C$157*(R$3-$C$155))*R65*365)),R65*'User costs'!$K166*365),R30)</f>
        <v>0</v>
      </c>
      <c r="S106" s="57">
        <f>IF(S$172="Yes",IF(S$173="Partial",((($L$163-($L$163-$K$163)/$C$157*(S$3-$C$155))*S65*365)),S65*'User costs'!$K166*365),S30)</f>
        <v>0</v>
      </c>
      <c r="T106" s="57">
        <f>IF(T$172="Yes",IF(T$173="Partial",((($L$163-($L$163-$K$163)/$C$157*(T$3-$C$155))*T65*365)),T65*'User costs'!$K166*365),T30)</f>
        <v>0</v>
      </c>
      <c r="U106" s="57">
        <f>IF(U$172="Yes",IF(U$173="Partial",((($L$163-($L$163-$K$163)/$C$157*(U$3-$C$155))*U65*365)),U65*'User costs'!$K166*365),U30)</f>
        <v>0</v>
      </c>
      <c r="V106" s="57">
        <f>IF(V$172="Yes",IF(V$173="Partial",((($L$163-($L$163-$K$163)/$C$157*(V$3-$C$155))*V65*365)),V65*'User costs'!$K166*365),V30)</f>
        <v>0</v>
      </c>
      <c r="W106" s="57">
        <f>IF(W$172="Yes",IF(W$173="Partial",((($L$163-($L$163-$K$163)/$C$157*(W$3-$C$155))*W65*365)),W65*'User costs'!$K166*365),W30)</f>
        <v>0</v>
      </c>
    </row>
    <row r="107" spans="1:23" ht="12.75">
      <c r="A107" s="203" t="s">
        <v>129</v>
      </c>
      <c r="B107" s="11" t="s">
        <v>20</v>
      </c>
      <c r="C107" s="57">
        <f>IF(C$172="Yes",IF(C$173="Partial",((($L$163-($L$163-$K$163)/$C$157*(C$3-$C$155))*C66*365)),C66*'User costs'!$K167*365),C31)</f>
        <v>469002.43967017543</v>
      </c>
      <c r="D107" s="57">
        <f>IF(D$172="Yes",IF(D$173="Partial",((($L$163-($L$163-$K$163)/$C$157*(D$3-$C$155))*D66*365)),D66*'User costs'!$K167*365),D31)</f>
        <v>480211.5979782926</v>
      </c>
      <c r="E107" s="57">
        <f>IF(E$172="Yes",IF(E$173="Partial",((($L$163-($L$163-$K$163)/$C$157*(E$3-$C$155))*E66*365)),E66*'User costs'!$K167*365),E31)</f>
        <v>491688.6551699738</v>
      </c>
      <c r="F107" s="57">
        <f>IF(F$172="Yes",IF(F$173="Partial",((($L$163-($L$163-$K$163)/$C$157*(F$3-$C$155))*F66*365)),F66*'User costs'!$K167*365),F31)</f>
        <v>503440.01402853616</v>
      </c>
      <c r="G107" s="57">
        <f>IF(G$172="Yes",IF(G$173="Partial",((($L$163-($L$163-$K$163)/$C$157*(G$3-$C$155))*G66*365)),G66*'User costs'!$K167*365),G31)</f>
        <v>515472.2303638181</v>
      </c>
      <c r="H107" s="57">
        <f>IF(H$172="Yes",IF(H$173="Partial",((($L$163-($L$163-$K$163)/$C$157*(H$3-$C$155))*H66*365)),H66*'User costs'!$K167*365),H31)</f>
        <v>422233.61333561066</v>
      </c>
      <c r="I107" s="57">
        <f>IF(I$172="Yes",IF(I$173="Partial",((($L$163-($L$163-$K$163)/$C$157*(I$3-$C$155))*I66*365)),I66*'User costs'!$K167*365),I31)</f>
        <v>287656.45249295</v>
      </c>
      <c r="J107" s="57">
        <f>IF(J$172="Yes",IF(J$173="Partial",((($L$163-($L$163-$K$163)/$C$157*(J$3-$C$155))*J66*365)),J66*'User costs'!$K167*365),J31)</f>
        <v>171379.8068857122</v>
      </c>
      <c r="K107" s="57">
        <f>IF(K$172="Yes",IF(K$173="Partial",((($L$163-($L$163-$K$163)/$C$157*(K$3-$C$155))*K66*365)),K66*'User costs'!$K167*365),K31)</f>
        <v>74952.2032155002</v>
      </c>
      <c r="L107" s="57">
        <f>IF(L$172="Yes",IF(L$173="Partial",((($L$163-($L$163-$K$163)/$C$157*(L$3-$C$155))*L66*365)),L66*'User costs'!$K167*365),L31)</f>
        <v>-1.5734725836892538E-11</v>
      </c>
      <c r="M107" s="57">
        <f>IF(M$172="Yes",IF(M$173="Partial",((($L$163-($L$163-$K$163)/$C$157*(M$3-$C$155))*M66*365)),M66*'User costs'!$K167*365),M31)</f>
        <v>0</v>
      </c>
      <c r="N107" s="57">
        <f>IF(N$172="Yes",IF(N$173="Partial",((($L$163-($L$163-$K$163)/$C$157*(N$3-$C$155))*N66*365)),N66*'User costs'!$K167*365),N31)</f>
        <v>0</v>
      </c>
      <c r="O107" s="57">
        <f>IF(O$172="Yes",IF(O$173="Partial",((($L$163-($L$163-$K$163)/$C$157*(O$3-$C$155))*O66*365)),O66*'User costs'!$K167*365),O31)</f>
        <v>0</v>
      </c>
      <c r="P107" s="57">
        <f>IF(P$172="Yes",IF(P$173="Partial",((($L$163-($L$163-$K$163)/$C$157*(P$3-$C$155))*P66*365)),P66*'User costs'!$K167*365),P31)</f>
        <v>0</v>
      </c>
      <c r="Q107" s="57">
        <f>IF(Q$172="Yes",IF(Q$173="Partial",((($L$163-($L$163-$K$163)/$C$157*(Q$3-$C$155))*Q66*365)),Q66*'User costs'!$K167*365),Q31)</f>
        <v>0</v>
      </c>
      <c r="R107" s="57">
        <f>IF(R$172="Yes",IF(R$173="Partial",((($L$163-($L$163-$K$163)/$C$157*(R$3-$C$155))*R66*365)),R66*'User costs'!$K167*365),R31)</f>
        <v>0</v>
      </c>
      <c r="S107" s="57">
        <f>IF(S$172="Yes",IF(S$173="Partial",((($L$163-($L$163-$K$163)/$C$157*(S$3-$C$155))*S66*365)),S66*'User costs'!$K167*365),S31)</f>
        <v>0</v>
      </c>
      <c r="T107" s="57">
        <f>IF(T$172="Yes",IF(T$173="Partial",((($L$163-($L$163-$K$163)/$C$157*(T$3-$C$155))*T66*365)),T66*'User costs'!$K167*365),T31)</f>
        <v>0</v>
      </c>
      <c r="U107" s="57">
        <f>IF(U$172="Yes",IF(U$173="Partial",((($L$163-($L$163-$K$163)/$C$157*(U$3-$C$155))*U66*365)),U66*'User costs'!$K167*365),U31)</f>
        <v>0</v>
      </c>
      <c r="V107" s="57">
        <f>IF(V$172="Yes",IF(V$173="Partial",((($L$163-($L$163-$K$163)/$C$157*(V$3-$C$155))*V66*365)),V66*'User costs'!$K167*365),V31)</f>
        <v>0</v>
      </c>
      <c r="W107" s="57">
        <f>IF(W$172="Yes",IF(W$173="Partial",((($L$163-($L$163-$K$163)/$C$157*(W$3-$C$155))*W66*365)),W66*'User costs'!$K167*365),W31)</f>
        <v>0</v>
      </c>
    </row>
    <row r="108" spans="1:23" ht="12.75">
      <c r="A108" s="203" t="s">
        <v>130</v>
      </c>
      <c r="B108" s="11" t="s">
        <v>20</v>
      </c>
      <c r="C108" s="57">
        <f>IF(C$172="Yes",IF(C$173="Partial",((($L$163-($L$163-$K$163)/$C$157*(C$3-$C$155))*C67*365)),C67*'User costs'!$K168*365),C32)</f>
        <v>1641508.538845614</v>
      </c>
      <c r="D108" s="57">
        <f>IF(D$172="Yes",IF(D$173="Partial",((($L$163-($L$163-$K$163)/$C$157*(D$3-$C$155))*D67*365)),D67*'User costs'!$K168*365),D32)</f>
        <v>1680740.5929240242</v>
      </c>
      <c r="E108" s="57">
        <f>IF(E$172="Yes",IF(E$173="Partial",((($L$163-($L$163-$K$163)/$C$157*(E$3-$C$155))*E67*365)),E67*'User costs'!$K168*365),E32)</f>
        <v>1720910.2930949084</v>
      </c>
      <c r="F108" s="57">
        <f>IF(F$172="Yes",IF(F$173="Partial",((($L$163-($L$163-$K$163)/$C$157*(F$3-$C$155))*F67*365)),F67*'User costs'!$K168*365),F32)</f>
        <v>1762040.0490998765</v>
      </c>
      <c r="G108" s="57">
        <f>IF(G$172="Yes",IF(G$173="Partial",((($L$163-($L$163-$K$163)/$C$157*(G$3-$C$155))*G67*365)),G67*'User costs'!$K168*365),G32)</f>
        <v>1804152.8062733638</v>
      </c>
      <c r="H108" s="57">
        <f>IF(H$172="Yes",IF(H$173="Partial",((($L$163-($L$163-$K$163)/$C$157*(H$3-$C$155))*H67*365)),H67*'User costs'!$K168*365),H32)</f>
        <v>1477817.6466746377</v>
      </c>
      <c r="I108" s="57">
        <f>IF(I$172="Yes",IF(I$173="Partial",((($L$163-($L$163-$K$163)/$C$157*(I$3-$C$155))*I67*365)),I67*'User costs'!$K168*365),I32)</f>
        <v>1006797.5837253254</v>
      </c>
      <c r="J108" s="57">
        <f>IF(J$172="Yes",IF(J$173="Partial",((($L$163-($L$163-$K$163)/$C$157*(J$3-$C$155))*J67*365)),J67*'User costs'!$K168*365),J32)</f>
        <v>599829.3240999929</v>
      </c>
      <c r="K108" s="57">
        <f>IF(K$172="Yes",IF(K$173="Partial",((($L$163-($L$163-$K$163)/$C$157*(K$3-$C$155))*K67*365)),K67*'User costs'!$K168*365),K32)</f>
        <v>262332.71125425084</v>
      </c>
      <c r="L108" s="57">
        <f>IF(L$172="Yes",IF(L$173="Partial",((($L$163-($L$163-$K$163)/$C$157*(L$3-$C$155))*L67*365)),L67*'User costs'!$K168*365),L32)</f>
        <v>6.293890334757015E-11</v>
      </c>
      <c r="M108" s="57">
        <f>IF(M$172="Yes",IF(M$173="Partial",((($L$163-($L$163-$K$163)/$C$157*(M$3-$C$155))*M67*365)),M67*'User costs'!$K168*365),M32)</f>
        <v>0</v>
      </c>
      <c r="N108" s="57">
        <f>IF(N$172="Yes",IF(N$173="Partial",((($L$163-($L$163-$K$163)/$C$157*(N$3-$C$155))*N67*365)),N67*'User costs'!$K168*365),N32)</f>
        <v>0</v>
      </c>
      <c r="O108" s="57">
        <f>IF(O$172="Yes",IF(O$173="Partial",((($L$163-($L$163-$K$163)/$C$157*(O$3-$C$155))*O67*365)),O67*'User costs'!$K168*365),O32)</f>
        <v>0</v>
      </c>
      <c r="P108" s="57">
        <f>IF(P$172="Yes",IF(P$173="Partial",((($L$163-($L$163-$K$163)/$C$157*(P$3-$C$155))*P67*365)),P67*'User costs'!$K168*365),P32)</f>
        <v>0</v>
      </c>
      <c r="Q108" s="57">
        <f>IF(Q$172="Yes",IF(Q$173="Partial",((($L$163-($L$163-$K$163)/$C$157*(Q$3-$C$155))*Q67*365)),Q67*'User costs'!$K168*365),Q32)</f>
        <v>0</v>
      </c>
      <c r="R108" s="57">
        <f>IF(R$172="Yes",IF(R$173="Partial",((($L$163-($L$163-$K$163)/$C$157*(R$3-$C$155))*R67*365)),R67*'User costs'!$K168*365),R32)</f>
        <v>0</v>
      </c>
      <c r="S108" s="57">
        <f>IF(S$172="Yes",IF(S$173="Partial",((($L$163-($L$163-$K$163)/$C$157*(S$3-$C$155))*S67*365)),S67*'User costs'!$K168*365),S32)</f>
        <v>0</v>
      </c>
      <c r="T108" s="57">
        <f>IF(T$172="Yes",IF(T$173="Partial",((($L$163-($L$163-$K$163)/$C$157*(T$3-$C$155))*T67*365)),T67*'User costs'!$K168*365),T32)</f>
        <v>0</v>
      </c>
      <c r="U108" s="57">
        <f>IF(U$172="Yes",IF(U$173="Partial",((($L$163-($L$163-$K$163)/$C$157*(U$3-$C$155))*U67*365)),U67*'User costs'!$K168*365),U32)</f>
        <v>0</v>
      </c>
      <c r="V108" s="57">
        <f>IF(V$172="Yes",IF(V$173="Partial",((($L$163-($L$163-$K$163)/$C$157*(V$3-$C$155))*V67*365)),V67*'User costs'!$K168*365),V32)</f>
        <v>0</v>
      </c>
      <c r="W108" s="57">
        <f>IF(W$172="Yes",IF(W$173="Partial",((($L$163-($L$163-$K$163)/$C$157*(W$3-$C$155))*W67*365)),W67*'User costs'!$K168*365),W32)</f>
        <v>0</v>
      </c>
    </row>
    <row r="109" spans="1:23" s="19" customFormat="1" ht="12.75">
      <c r="A109" s="203" t="s">
        <v>131</v>
      </c>
      <c r="B109" s="19" t="s">
        <v>20</v>
      </c>
      <c r="C109" s="57">
        <f>IF(C$172="Yes",IF(C$173="Partial",((($L$163-($L$163-$K$163)/$C$157*(C$3-$C$155))*C68*365)),C68*'User costs'!$K169*365),C33)</f>
        <v>7973041.474392981</v>
      </c>
      <c r="D109" s="57">
        <f>IF(D$172="Yes",IF(D$173="Partial",((($L$163-($L$163-$K$163)/$C$157*(D$3-$C$155))*D68*365)),D68*'User costs'!$K169*365),D33)</f>
        <v>8163597.165630974</v>
      </c>
      <c r="E109" s="57">
        <f>IF(E$172="Yes",IF(E$173="Partial",((($L$163-($L$163-$K$163)/$C$157*(E$3-$C$155))*E68*365)),E68*'User costs'!$K169*365),E33)</f>
        <v>8358707.137889554</v>
      </c>
      <c r="F109" s="57">
        <f>IF(F$172="Yes",IF(F$173="Partial",((($L$163-($L$163-$K$163)/$C$157*(F$3-$C$155))*F68*365)),F68*'User costs'!$K169*365),F33)</f>
        <v>8558480.238485115</v>
      </c>
      <c r="G109" s="57">
        <f>IF(G$172="Yes",IF(G$173="Partial",((($L$163-($L$163-$K$163)/$C$157*(G$3-$C$155))*G68*365)),G68*'User costs'!$K169*365),G33)</f>
        <v>8763027.916184908</v>
      </c>
      <c r="H109" s="57">
        <f>IF(H$172="Yes",IF(H$173="Partial",((($L$163-($L$163-$K$163)/$C$157*(H$3-$C$155))*H68*365)),H68*'User costs'!$K169*365),H33)</f>
        <v>7177971.426705383</v>
      </c>
      <c r="I109" s="57">
        <f>IF(I$172="Yes",IF(I$173="Partial",((($L$163-($L$163-$K$163)/$C$157*(I$3-$C$155))*I68*365)),I68*'User costs'!$K169*365),I33)</f>
        <v>4890159.692380152</v>
      </c>
      <c r="J109" s="57">
        <f>IF(J$172="Yes",IF(J$173="Partial",((($L$163-($L$163-$K$163)/$C$157*(J$3-$C$155))*J68*365)),J68*'User costs'!$K169*365),J33)</f>
        <v>2913456.717057108</v>
      </c>
      <c r="K109" s="57">
        <f>IF(K$172="Yes",IF(K$173="Partial",((($L$163-($L$163-$K$163)/$C$157*(K$3-$C$155))*K68*365)),K68*'User costs'!$K169*365),K33)</f>
        <v>1274187.454663504</v>
      </c>
      <c r="L109" s="57">
        <f>IF(L$172="Yes",IF(L$173="Partial",((($L$163-($L$163-$K$163)/$C$157*(L$3-$C$155))*L68*365)),L68*'User costs'!$K169*365),L33)</f>
        <v>2.517556133902806E-10</v>
      </c>
      <c r="M109" s="57">
        <f>IF(M$172="Yes",IF(M$173="Partial",((($L$163-($L$163-$K$163)/$C$157*(M$3-$C$155))*M68*365)),M68*'User costs'!$K169*365),M33)</f>
        <v>0</v>
      </c>
      <c r="N109" s="57">
        <f>IF(N$172="Yes",IF(N$173="Partial",((($L$163-($L$163-$K$163)/$C$157*(N$3-$C$155))*N68*365)),N68*'User costs'!$K169*365),N33)</f>
        <v>0</v>
      </c>
      <c r="O109" s="57">
        <f>IF(O$172="Yes",IF(O$173="Partial",((($L$163-($L$163-$K$163)/$C$157*(O$3-$C$155))*O68*365)),O68*'User costs'!$K169*365),O33)</f>
        <v>0</v>
      </c>
      <c r="P109" s="57">
        <f>IF(P$172="Yes",IF(P$173="Partial",((($L$163-($L$163-$K$163)/$C$157*(P$3-$C$155))*P68*365)),P68*'User costs'!$K169*365),P33)</f>
        <v>0</v>
      </c>
      <c r="Q109" s="57">
        <f>IF(Q$172="Yes",IF(Q$173="Partial",((($L$163-($L$163-$K$163)/$C$157*(Q$3-$C$155))*Q68*365)),Q68*'User costs'!$K169*365),Q33)</f>
        <v>0</v>
      </c>
      <c r="R109" s="57">
        <f>IF(R$172="Yes",IF(R$173="Partial",((($L$163-($L$163-$K$163)/$C$157*(R$3-$C$155))*R68*365)),R68*'User costs'!$K169*365),R33)</f>
        <v>0</v>
      </c>
      <c r="S109" s="57">
        <f>IF(S$172="Yes",IF(S$173="Partial",((($L$163-($L$163-$K$163)/$C$157*(S$3-$C$155))*S68*365)),S68*'User costs'!$K169*365),S33)</f>
        <v>0</v>
      </c>
      <c r="T109" s="57">
        <f>IF(T$172="Yes",IF(T$173="Partial",((($L$163-($L$163-$K$163)/$C$157*(T$3-$C$155))*T68*365)),T68*'User costs'!$K169*365),T33)</f>
        <v>0</v>
      </c>
      <c r="U109" s="57">
        <f>IF(U$172="Yes",IF(U$173="Partial",((($L$163-($L$163-$K$163)/$C$157*(U$3-$C$155))*U68*365)),U68*'User costs'!$K169*365),U33)</f>
        <v>0</v>
      </c>
      <c r="V109" s="57">
        <f>IF(V$172="Yes",IF(V$173="Partial",((($L$163-($L$163-$K$163)/$C$157*(V$3-$C$155))*V68*365)),V68*'User costs'!$K169*365),V33)</f>
        <v>0</v>
      </c>
      <c r="W109" s="57">
        <f>IF(W$172="Yes",IF(W$173="Partial",((($L$163-($L$163-$K$163)/$C$157*(W$3-$C$155))*W68*365)),W68*'User costs'!$K169*365),W33)</f>
        <v>0</v>
      </c>
    </row>
    <row r="110" spans="1:23" s="19" customFormat="1" ht="12.75">
      <c r="A110" s="257" t="s">
        <v>55</v>
      </c>
      <c r="B110" s="19" t="s">
        <v>20</v>
      </c>
      <c r="C110" s="58">
        <f>SUM(C103:C109)</f>
        <v>13366569.530599996</v>
      </c>
      <c r="D110" s="58">
        <f aca="true" t="shared" si="21" ref="D110:W110">SUM(D103:D109)</f>
        <v>13686030.542381339</v>
      </c>
      <c r="E110" s="58">
        <f t="shared" si="21"/>
        <v>14013126.672344252</v>
      </c>
      <c r="F110" s="58">
        <f t="shared" si="21"/>
        <v>14348040.39981328</v>
      </c>
      <c r="G110" s="58">
        <f t="shared" si="21"/>
        <v>14690958.565368816</v>
      </c>
      <c r="H110" s="58">
        <f t="shared" si="21"/>
        <v>15042072.47508113</v>
      </c>
      <c r="I110" s="58">
        <f t="shared" si="21"/>
        <v>13663681.493415128</v>
      </c>
      <c r="J110" s="58">
        <f t="shared" si="21"/>
        <v>12210811.240606997</v>
      </c>
      <c r="K110" s="58">
        <f t="shared" si="21"/>
        <v>10680688.958208779</v>
      </c>
      <c r="L110" s="58">
        <f t="shared" si="21"/>
        <v>9070451.893223185</v>
      </c>
      <c r="M110" s="58">
        <f t="shared" si="21"/>
        <v>7377144.5801914595</v>
      </c>
      <c r="N110" s="58">
        <f t="shared" si="21"/>
        <v>7553458.335658036</v>
      </c>
      <c r="O110" s="58">
        <f t="shared" si="21"/>
        <v>7733985.989880261</v>
      </c>
      <c r="P110" s="58">
        <f t="shared" si="21"/>
        <v>7918828.255038399</v>
      </c>
      <c r="Q110" s="58">
        <f t="shared" si="21"/>
        <v>8108088.250333818</v>
      </c>
      <c r="R110" s="58">
        <f t="shared" si="21"/>
        <v>8301871.559516795</v>
      </c>
      <c r="S110" s="58">
        <f t="shared" si="21"/>
        <v>8500286.289789248</v>
      </c>
      <c r="T110" s="58">
        <f t="shared" si="21"/>
        <v>8703443.13211521</v>
      </c>
      <c r="U110" s="58">
        <f t="shared" si="21"/>
        <v>8911455.422972763</v>
      </c>
      <c r="V110" s="58">
        <f t="shared" si="21"/>
        <v>9124439.20758181</v>
      </c>
      <c r="W110" s="58">
        <f t="shared" si="21"/>
        <v>9342513.304643014</v>
      </c>
    </row>
    <row r="111" spans="1:23" ht="12.75">
      <c r="A111" s="12"/>
      <c r="C111" s="18"/>
      <c r="I111" s="17"/>
      <c r="N111" s="17"/>
      <c r="S111" s="17"/>
      <c r="W111" s="13"/>
    </row>
    <row r="112" spans="1:23" ht="12.75">
      <c r="A112" s="22" t="s">
        <v>5</v>
      </c>
      <c r="C112" s="18"/>
      <c r="I112" s="17"/>
      <c r="N112" s="17"/>
      <c r="S112" s="17"/>
      <c r="W112" s="13"/>
    </row>
    <row r="113" spans="1:23" ht="12.75">
      <c r="A113" s="203" t="s">
        <v>132</v>
      </c>
      <c r="B113" s="11" t="s">
        <v>16</v>
      </c>
      <c r="C113" s="60">
        <f>C93*'User costs'!$I163/1000</f>
        <v>2.0704116686157428</v>
      </c>
      <c r="D113" s="28">
        <f>D93*'User costs'!$I163/1000</f>
        <v>2.1198945074956588</v>
      </c>
      <c r="E113" s="28">
        <f>E93*'User costs'!$I163/1000</f>
        <v>2.170559986224805</v>
      </c>
      <c r="F113" s="28">
        <f>F93*'User costs'!$I163/1000</f>
        <v>2.2224363698955787</v>
      </c>
      <c r="G113" s="28">
        <f>G93*'User costs'!$I163/1000</f>
        <v>2.275552599136082</v>
      </c>
      <c r="H113" s="28">
        <f>H93*'User costs'!$I163/1000</f>
        <v>14.551970121191943</v>
      </c>
      <c r="I113" s="119">
        <f>I93*'User costs'!$I163/1000</f>
        <v>27.413900582401922</v>
      </c>
      <c r="J113" s="28">
        <f>J93*'User costs'!$I163/1000</f>
        <v>40.88231908880481</v>
      </c>
      <c r="K113" s="28">
        <f>K93*'User costs'!$I163/1000</f>
        <v>54.978868905662075</v>
      </c>
      <c r="L113" s="28">
        <f>L93*'User costs'!$I163/1000</f>
        <v>69.7258814142784</v>
      </c>
      <c r="M113" s="28">
        <f>M93*'User costs'!$I163/1000</f>
        <v>71.39232998007967</v>
      </c>
      <c r="N113" s="119">
        <f>N93*'User costs'!$I163/1000</f>
        <v>73.09860666660357</v>
      </c>
      <c r="O113" s="28">
        <f>O93*'User costs'!$I163/1000</f>
        <v>74.8456633659354</v>
      </c>
      <c r="P113" s="28">
        <f>P93*'User costs'!$I163/1000</f>
        <v>76.63447472038126</v>
      </c>
      <c r="Q113" s="28">
        <f>Q93*'User costs'!$I163/1000</f>
        <v>78.46603866619836</v>
      </c>
      <c r="R113" s="28">
        <f>R93*'User costs'!$I163/1000</f>
        <v>80.3413769903205</v>
      </c>
      <c r="S113" s="119">
        <f>S93*'User costs'!$I163/1000</f>
        <v>82.26153590038915</v>
      </c>
      <c r="T113" s="28">
        <f>T93*'User costs'!$I163/1000</f>
        <v>84.22758660840846</v>
      </c>
      <c r="U113" s="28">
        <f>U93*'User costs'!$I163/1000</f>
        <v>86.2406259283494</v>
      </c>
      <c r="V113" s="28">
        <f>V93*'User costs'!$I163/1000</f>
        <v>88.30177688803694</v>
      </c>
      <c r="W113" s="29">
        <f>W93*'User costs'!$I163/1000</f>
        <v>90.41218935566103</v>
      </c>
    </row>
    <row r="114" spans="1:23" ht="12.75">
      <c r="A114" s="203" t="s">
        <v>126</v>
      </c>
      <c r="B114" s="11" t="s">
        <v>16</v>
      </c>
      <c r="C114" s="60">
        <f>C94*'User costs'!$I164/1000</f>
        <v>47.619468378162075</v>
      </c>
      <c r="D114" s="28">
        <f>D94*'User costs'!$I164/1000</f>
        <v>48.757573672400156</v>
      </c>
      <c r="E114" s="28">
        <f>E94*'User costs'!$I164/1000</f>
        <v>49.92287968317053</v>
      </c>
      <c r="F114" s="28">
        <f>F94*'User costs'!$I164/1000</f>
        <v>51.11603650759828</v>
      </c>
      <c r="G114" s="28">
        <f>G94*'User costs'!$I164/1000</f>
        <v>52.337709780129885</v>
      </c>
      <c r="H114" s="28">
        <f>H94*'User costs'!$I164/1000</f>
        <v>83.30543874153632</v>
      </c>
      <c r="I114" s="119">
        <f>I94*'User costs'!$I164/1000</f>
        <v>115.72352932409444</v>
      </c>
      <c r="J114" s="28">
        <f>J94*'User costs'!$I164/1000</f>
        <v>149.6436197368353</v>
      </c>
      <c r="K114" s="28">
        <f>K94*'User costs'!$I164/1000</f>
        <v>185.11898803411995</v>
      </c>
      <c r="L114" s="28">
        <f>L94*'User costs'!$I164/1000</f>
        <v>222.2046010039849</v>
      </c>
      <c r="M114" s="28">
        <f>M94*'User costs'!$I164/1000</f>
        <v>227.51529096798015</v>
      </c>
      <c r="N114" s="119">
        <f>N94*'User costs'!$I164/1000</f>
        <v>232.95290642211484</v>
      </c>
      <c r="O114" s="28">
        <f>O94*'User costs'!$I164/1000</f>
        <v>238.52048088560343</v>
      </c>
      <c r="P114" s="28">
        <f>P94*'User costs'!$I164/1000</f>
        <v>244.22112037876929</v>
      </c>
      <c r="Q114" s="28">
        <f>Q94*'User costs'!$I164/1000</f>
        <v>250.05800515582192</v>
      </c>
      <c r="R114" s="28">
        <f>R94*'User costs'!$I164/1000</f>
        <v>256.03439147904606</v>
      </c>
      <c r="S114" s="119">
        <f>S94*'User costs'!$I164/1000</f>
        <v>262.1536134353953</v>
      </c>
      <c r="T114" s="28">
        <f>T94*'User costs'!$I164/1000</f>
        <v>268.4190847965011</v>
      </c>
      <c r="U114" s="28">
        <f>U94*'User costs'!$I164/1000</f>
        <v>274.8343009231375</v>
      </c>
      <c r="V114" s="28">
        <f>V94*'User costs'!$I164/1000</f>
        <v>281.40284071520045</v>
      </c>
      <c r="W114" s="29">
        <f>W94*'User costs'!$I164/1000</f>
        <v>288.1283686082937</v>
      </c>
    </row>
    <row r="115" spans="1:23" ht="12.75">
      <c r="A115" s="203" t="s">
        <v>127</v>
      </c>
      <c r="B115" s="11" t="s">
        <v>16</v>
      </c>
      <c r="C115" s="60">
        <f>C95*'User costs'!$I165/1000</f>
        <v>0</v>
      </c>
      <c r="D115" s="28">
        <f>D95*'User costs'!$I165/1000</f>
        <v>0</v>
      </c>
      <c r="E115" s="28">
        <f>E95*'User costs'!$I165/1000</f>
        <v>0</v>
      </c>
      <c r="F115" s="28">
        <f>F95*'User costs'!$I165/1000</f>
        <v>0</v>
      </c>
      <c r="G115" s="28">
        <f>G95*'User costs'!$I165/1000</f>
        <v>0</v>
      </c>
      <c r="H115" s="28">
        <f>H95*'User costs'!$I165/1000</f>
        <v>0</v>
      </c>
      <c r="I115" s="119">
        <f>I95*'User costs'!$I165/1000</f>
        <v>0</v>
      </c>
      <c r="J115" s="28">
        <f>J95*'User costs'!$I165/1000</f>
        <v>0</v>
      </c>
      <c r="K115" s="28">
        <f>K95*'User costs'!$I165/1000</f>
        <v>0</v>
      </c>
      <c r="L115" s="28">
        <f>L95*'User costs'!$I165/1000</f>
        <v>0</v>
      </c>
      <c r="M115" s="28">
        <f>M95*'User costs'!$I165/1000</f>
        <v>0</v>
      </c>
      <c r="N115" s="119">
        <f>N95*'User costs'!$I165/1000</f>
        <v>0</v>
      </c>
      <c r="O115" s="28">
        <f>O95*'User costs'!$I165/1000</f>
        <v>0</v>
      </c>
      <c r="P115" s="28">
        <f>P95*'User costs'!$I165/1000</f>
        <v>0</v>
      </c>
      <c r="Q115" s="28">
        <f>Q95*'User costs'!$I165/1000</f>
        <v>0</v>
      </c>
      <c r="R115" s="28">
        <f>R95*'User costs'!$I165/1000</f>
        <v>0</v>
      </c>
      <c r="S115" s="119">
        <f>S95*'User costs'!$I165/1000</f>
        <v>0</v>
      </c>
      <c r="T115" s="28">
        <f>T95*'User costs'!$I165/1000</f>
        <v>0</v>
      </c>
      <c r="U115" s="28">
        <f>U95*'User costs'!$I165/1000</f>
        <v>0</v>
      </c>
      <c r="V115" s="28">
        <f>V95*'User costs'!$I165/1000</f>
        <v>0</v>
      </c>
      <c r="W115" s="29">
        <f>W95*'User costs'!$I165/1000</f>
        <v>0</v>
      </c>
    </row>
    <row r="116" spans="1:23" ht="12.75">
      <c r="A116" s="203" t="s">
        <v>128</v>
      </c>
      <c r="B116" s="11" t="s">
        <v>16</v>
      </c>
      <c r="C116" s="60">
        <f>C96*'User costs'!$I166/1000</f>
        <v>0</v>
      </c>
      <c r="D116" s="28">
        <f>D96*'User costs'!$I166/1000</f>
        <v>0</v>
      </c>
      <c r="E116" s="28">
        <f>E96*'User costs'!$I166/1000</f>
        <v>0</v>
      </c>
      <c r="F116" s="28">
        <f>F96*'User costs'!$I166/1000</f>
        <v>0</v>
      </c>
      <c r="G116" s="28">
        <f>G96*'User costs'!$I166/1000</f>
        <v>0</v>
      </c>
      <c r="H116" s="28">
        <f>H96*'User costs'!$I166/1000</f>
        <v>0</v>
      </c>
      <c r="I116" s="119">
        <f>I96*'User costs'!$I166/1000</f>
        <v>0</v>
      </c>
      <c r="J116" s="28">
        <f>J96*'User costs'!$I166/1000</f>
        <v>0</v>
      </c>
      <c r="K116" s="28">
        <f>K96*'User costs'!$I166/1000</f>
        <v>0</v>
      </c>
      <c r="L116" s="28">
        <f>L96*'User costs'!$I166/1000</f>
        <v>0</v>
      </c>
      <c r="M116" s="28">
        <f>M96*'User costs'!$I166/1000</f>
        <v>0</v>
      </c>
      <c r="N116" s="119">
        <f>N96*'User costs'!$I166/1000</f>
        <v>0</v>
      </c>
      <c r="O116" s="28">
        <f>O96*'User costs'!$I166/1000</f>
        <v>0</v>
      </c>
      <c r="P116" s="28">
        <f>P96*'User costs'!$I166/1000</f>
        <v>0</v>
      </c>
      <c r="Q116" s="28">
        <f>Q96*'User costs'!$I166/1000</f>
        <v>0</v>
      </c>
      <c r="R116" s="28">
        <f>R96*'User costs'!$I166/1000</f>
        <v>0</v>
      </c>
      <c r="S116" s="119">
        <f>S96*'User costs'!$I166/1000</f>
        <v>0</v>
      </c>
      <c r="T116" s="28">
        <f>T96*'User costs'!$I166/1000</f>
        <v>0</v>
      </c>
      <c r="U116" s="28">
        <f>U96*'User costs'!$I166/1000</f>
        <v>0</v>
      </c>
      <c r="V116" s="28">
        <f>V96*'User costs'!$I166/1000</f>
        <v>0</v>
      </c>
      <c r="W116" s="29">
        <f>W96*'User costs'!$I166/1000</f>
        <v>0</v>
      </c>
    </row>
    <row r="117" spans="1:23" ht="12.75">
      <c r="A117" s="203" t="s">
        <v>129</v>
      </c>
      <c r="B117" s="11" t="s">
        <v>16</v>
      </c>
      <c r="C117" s="60">
        <f>C97*'User costs'!$I167/1000</f>
        <v>0</v>
      </c>
      <c r="D117" s="28">
        <f>D97*'User costs'!$I167/1000</f>
        <v>0</v>
      </c>
      <c r="E117" s="28">
        <f>E97*'User costs'!$I167/1000</f>
        <v>0</v>
      </c>
      <c r="F117" s="28">
        <f>F97*'User costs'!$I167/1000</f>
        <v>0</v>
      </c>
      <c r="G117" s="28">
        <f>G97*'User costs'!$I167/1000</f>
        <v>0</v>
      </c>
      <c r="H117" s="28">
        <f>H97*'User costs'!$I167/1000</f>
        <v>0</v>
      </c>
      <c r="I117" s="119">
        <f>I97*'User costs'!$I167/1000</f>
        <v>0</v>
      </c>
      <c r="J117" s="28">
        <f>J97*'User costs'!$I167/1000</f>
        <v>0</v>
      </c>
      <c r="K117" s="28">
        <f>K97*'User costs'!$I167/1000</f>
        <v>0</v>
      </c>
      <c r="L117" s="28">
        <f>L97*'User costs'!$I167/1000</f>
        <v>0</v>
      </c>
      <c r="M117" s="28">
        <f>M97*'User costs'!$I167/1000</f>
        <v>0</v>
      </c>
      <c r="N117" s="119">
        <f>N97*'User costs'!$I167/1000</f>
        <v>0</v>
      </c>
      <c r="O117" s="28">
        <f>O97*'User costs'!$I167/1000</f>
        <v>0</v>
      </c>
      <c r="P117" s="28">
        <f>P97*'User costs'!$I167/1000</f>
        <v>0</v>
      </c>
      <c r="Q117" s="28">
        <f>Q97*'User costs'!$I167/1000</f>
        <v>0</v>
      </c>
      <c r="R117" s="28">
        <f>R97*'User costs'!$I167/1000</f>
        <v>0</v>
      </c>
      <c r="S117" s="119">
        <f>S97*'User costs'!$I167/1000</f>
        <v>0</v>
      </c>
      <c r="T117" s="28">
        <f>T97*'User costs'!$I167/1000</f>
        <v>0</v>
      </c>
      <c r="U117" s="28">
        <f>U97*'User costs'!$I167/1000</f>
        <v>0</v>
      </c>
      <c r="V117" s="28">
        <f>V97*'User costs'!$I167/1000</f>
        <v>0</v>
      </c>
      <c r="W117" s="29">
        <f>W97*'User costs'!$I167/1000</f>
        <v>0</v>
      </c>
    </row>
    <row r="118" spans="1:23" ht="12.75">
      <c r="A118" s="203" t="s">
        <v>130</v>
      </c>
      <c r="B118" s="11" t="s">
        <v>16</v>
      </c>
      <c r="C118" s="60">
        <f>C98*'User costs'!$I168/1000</f>
        <v>0</v>
      </c>
      <c r="D118" s="28">
        <f>D98*'User costs'!$I168/1000</f>
        <v>0</v>
      </c>
      <c r="E118" s="28">
        <f>E98*'User costs'!$I168/1000</f>
        <v>0</v>
      </c>
      <c r="F118" s="28">
        <f>F98*'User costs'!$I168/1000</f>
        <v>0</v>
      </c>
      <c r="G118" s="28">
        <f>G98*'User costs'!$I168/1000</f>
        <v>0</v>
      </c>
      <c r="H118" s="28">
        <f>H98*'User costs'!$I168/1000</f>
        <v>0</v>
      </c>
      <c r="I118" s="119">
        <f>I98*'User costs'!$I168/1000</f>
        <v>0</v>
      </c>
      <c r="J118" s="28">
        <f>J98*'User costs'!$I168/1000</f>
        <v>0</v>
      </c>
      <c r="K118" s="28">
        <f>K98*'User costs'!$I168/1000</f>
        <v>0</v>
      </c>
      <c r="L118" s="28">
        <f>L98*'User costs'!$I168/1000</f>
        <v>0</v>
      </c>
      <c r="M118" s="28">
        <f>M98*'User costs'!$I168/1000</f>
        <v>0</v>
      </c>
      <c r="N118" s="119">
        <f>N98*'User costs'!$I168/1000</f>
        <v>0</v>
      </c>
      <c r="O118" s="28">
        <f>O98*'User costs'!$I168/1000</f>
        <v>0</v>
      </c>
      <c r="P118" s="28">
        <f>P98*'User costs'!$I168/1000</f>
        <v>0</v>
      </c>
      <c r="Q118" s="28">
        <f>Q98*'User costs'!$I168/1000</f>
        <v>0</v>
      </c>
      <c r="R118" s="28">
        <f>R98*'User costs'!$I168/1000</f>
        <v>0</v>
      </c>
      <c r="S118" s="119">
        <f>S98*'User costs'!$I168/1000</f>
        <v>0</v>
      </c>
      <c r="T118" s="28">
        <f>T98*'User costs'!$I168/1000</f>
        <v>0</v>
      </c>
      <c r="U118" s="28">
        <f>U98*'User costs'!$I168/1000</f>
        <v>0</v>
      </c>
      <c r="V118" s="28">
        <f>V98*'User costs'!$I168/1000</f>
        <v>0</v>
      </c>
      <c r="W118" s="29">
        <f>W98*'User costs'!$I168/1000</f>
        <v>0</v>
      </c>
    </row>
    <row r="119" spans="1:23" s="19" customFormat="1" ht="12.75">
      <c r="A119" s="203" t="s">
        <v>131</v>
      </c>
      <c r="B119" s="16" t="s">
        <v>16</v>
      </c>
      <c r="C119" s="60">
        <f>C99*'User costs'!$I169/1000</f>
        <v>45.86994880437895</v>
      </c>
      <c r="D119" s="28">
        <f>D99*'User costs'!$I169/1000</f>
        <v>46.966240580803614</v>
      </c>
      <c r="E119" s="28">
        <f>E99*'User costs'!$I169/1000</f>
        <v>48.08873373068481</v>
      </c>
      <c r="F119" s="28">
        <f>F99*'User costs'!$I169/1000</f>
        <v>49.23805446684818</v>
      </c>
      <c r="G119" s="28">
        <f>G99*'User costs'!$I169/1000</f>
        <v>50.41484396860585</v>
      </c>
      <c r="H119" s="28">
        <f>H99*'User costs'!$I169/1000</f>
        <v>41.29580699156443</v>
      </c>
      <c r="I119" s="119">
        <f>I99*'User costs'!$I169/1000</f>
        <v>31.71208258399712</v>
      </c>
      <c r="J119" s="28">
        <f>J99*'User costs'!$I169/1000</f>
        <v>21.646667571836435</v>
      </c>
      <c r="K119" s="28">
        <f>K99*'User costs'!$I169/1000</f>
        <v>11.082011463401663</v>
      </c>
      <c r="L119" s="28">
        <f>L99*'User costs'!$I169/1000</f>
        <v>2.639929441841197E-15</v>
      </c>
      <c r="M119" s="28">
        <f>M99*'User costs'!$I169/1000</f>
        <v>0</v>
      </c>
      <c r="N119" s="119">
        <f>N99*'User costs'!$I169/1000</f>
        <v>0</v>
      </c>
      <c r="O119" s="28">
        <f>O99*'User costs'!$I169/1000</f>
        <v>0</v>
      </c>
      <c r="P119" s="28">
        <f>P99*'User costs'!$I169/1000</f>
        <v>0</v>
      </c>
      <c r="Q119" s="28">
        <f>Q99*'User costs'!$I169/1000</f>
        <v>0</v>
      </c>
      <c r="R119" s="28">
        <f>R99*'User costs'!$I169/1000</f>
        <v>0</v>
      </c>
      <c r="S119" s="119">
        <f>S99*'User costs'!$I169/1000</f>
        <v>0</v>
      </c>
      <c r="T119" s="28">
        <f>T99*'User costs'!$I169/1000</f>
        <v>0</v>
      </c>
      <c r="U119" s="28">
        <f>U99*'User costs'!$I169/1000</f>
        <v>0</v>
      </c>
      <c r="V119" s="28">
        <f>V99*'User costs'!$I169/1000</f>
        <v>0</v>
      </c>
      <c r="W119" s="29">
        <f>W99*'User costs'!$I169/1000</f>
        <v>0</v>
      </c>
    </row>
    <row r="120" spans="1:23" s="19" customFormat="1" ht="12.75">
      <c r="A120" s="257" t="s">
        <v>55</v>
      </c>
      <c r="B120" s="19" t="s">
        <v>16</v>
      </c>
      <c r="C120" s="61">
        <f>SUM(C113:C119)</f>
        <v>95.55982885115677</v>
      </c>
      <c r="D120" s="61">
        <f aca="true" t="shared" si="22" ref="D120:W120">SUM(D113:D119)</f>
        <v>97.84370876069943</v>
      </c>
      <c r="E120" s="61">
        <f t="shared" si="22"/>
        <v>100.18217340008013</v>
      </c>
      <c r="F120" s="61">
        <f t="shared" si="22"/>
        <v>102.57652734434204</v>
      </c>
      <c r="G120" s="61">
        <f t="shared" si="22"/>
        <v>105.02810634787181</v>
      </c>
      <c r="H120" s="61">
        <f t="shared" si="22"/>
        <v>139.15321585429268</v>
      </c>
      <c r="I120" s="61">
        <f t="shared" si="22"/>
        <v>174.8495124904935</v>
      </c>
      <c r="J120" s="61">
        <f t="shared" si="22"/>
        <v>212.17260639747656</v>
      </c>
      <c r="K120" s="61">
        <f t="shared" si="22"/>
        <v>251.1798684031837</v>
      </c>
      <c r="L120" s="61">
        <f t="shared" si="22"/>
        <v>291.9304824182633</v>
      </c>
      <c r="M120" s="61">
        <f t="shared" si="22"/>
        <v>298.90762094805984</v>
      </c>
      <c r="N120" s="61">
        <f t="shared" si="22"/>
        <v>306.0515130887184</v>
      </c>
      <c r="O120" s="61">
        <f t="shared" si="22"/>
        <v>313.3661442515388</v>
      </c>
      <c r="P120" s="61">
        <f t="shared" si="22"/>
        <v>320.85559509915055</v>
      </c>
      <c r="Q120" s="61">
        <f t="shared" si="22"/>
        <v>328.5240438220203</v>
      </c>
      <c r="R120" s="61">
        <f t="shared" si="22"/>
        <v>336.37576846936656</v>
      </c>
      <c r="S120" s="61">
        <f t="shared" si="22"/>
        <v>344.41514933578446</v>
      </c>
      <c r="T120" s="61">
        <f t="shared" si="22"/>
        <v>352.64667140490957</v>
      </c>
      <c r="U120" s="61">
        <f t="shared" si="22"/>
        <v>361.0749268514869</v>
      </c>
      <c r="V120" s="61">
        <f t="shared" si="22"/>
        <v>369.7046176032374</v>
      </c>
      <c r="W120" s="61">
        <f t="shared" si="22"/>
        <v>378.54055796395477</v>
      </c>
    </row>
    <row r="121" spans="1:23" ht="12.75">
      <c r="A121" s="12"/>
      <c r="C121" s="18"/>
      <c r="I121" s="17"/>
      <c r="N121" s="17"/>
      <c r="S121" s="17"/>
      <c r="W121" s="13"/>
    </row>
    <row r="122" spans="1:23" ht="12.75">
      <c r="A122" s="22" t="s">
        <v>53</v>
      </c>
      <c r="C122" s="18"/>
      <c r="I122" s="17"/>
      <c r="N122" s="17"/>
      <c r="S122" s="17"/>
      <c r="W122" s="13"/>
    </row>
    <row r="123" spans="1:23" ht="12.75">
      <c r="A123" s="203" t="s">
        <v>132</v>
      </c>
      <c r="B123" s="11" t="s">
        <v>16</v>
      </c>
      <c r="C123" s="60">
        <f>C103*Assumptions!$C$20/1000</f>
        <v>17.00133843804386</v>
      </c>
      <c r="D123" s="119">
        <f>D103*Assumptions!$C$20/1000</f>
        <v>17.407670426713107</v>
      </c>
      <c r="E123" s="28">
        <f>E103*Assumptions!$C$20/1000</f>
        <v>17.823713749911548</v>
      </c>
      <c r="F123" s="28">
        <f>F103*Assumptions!$C$20/1000</f>
        <v>18.249700508534435</v>
      </c>
      <c r="G123" s="28">
        <f>G103*Assumptions!$C$20/1000</f>
        <v>18.685868350688406</v>
      </c>
      <c r="H123" s="52">
        <f>H103*Assumptions!$C$20/1000</f>
        <v>119.49457816575077</v>
      </c>
      <c r="I123" s="119">
        <f>I103*Assumptions!$C$20/1000</f>
        <v>199.70997145427415</v>
      </c>
      <c r="J123" s="28">
        <f>J103*Assumptions!$C$20/1000</f>
        <v>259.9463266273455</v>
      </c>
      <c r="K123" s="28">
        <f>K103*Assumptions!$C$20/1000</f>
        <v>298.63531847798794</v>
      </c>
      <c r="L123" s="28">
        <f>L103*Assumptions!$C$20/1000</f>
        <v>314.13150465502207</v>
      </c>
      <c r="M123" s="52">
        <f>M103*Assumptions!$C$20/1000</f>
        <v>255.4882109858916</v>
      </c>
      <c r="N123" s="119">
        <f>N103*Assumptions!$C$20/1000</f>
        <v>261.59437922845444</v>
      </c>
      <c r="O123" s="28">
        <f>O103*Assumptions!$C$20/1000</f>
        <v>267.8464848920144</v>
      </c>
      <c r="P123" s="28">
        <f>P103*Assumptions!$C$20/1000</f>
        <v>274.2480158809336</v>
      </c>
      <c r="Q123" s="28">
        <f>Q103*Assumptions!$C$20/1000</f>
        <v>280.8025434604879</v>
      </c>
      <c r="R123" s="52">
        <f>R103*Assumptions!$C$20/1000</f>
        <v>287.51372424919356</v>
      </c>
      <c r="S123" s="119">
        <f>S103*Assumptions!$C$20/1000</f>
        <v>294.3853022587493</v>
      </c>
      <c r="T123" s="28">
        <f>T103*Assumptions!$C$20/1000</f>
        <v>301.42111098273335</v>
      </c>
      <c r="U123" s="28">
        <f>U103*Assumptions!$C$20/1000</f>
        <v>308.6250755352207</v>
      </c>
      <c r="V123" s="28">
        <f>V103*Assumptions!$C$20/1000</f>
        <v>316.00121484051243</v>
      </c>
      <c r="W123" s="29">
        <f>W103*Assumptions!$C$20/1000</f>
        <v>323.5536438752006</v>
      </c>
    </row>
    <row r="124" spans="1:23" ht="12.75">
      <c r="A124" s="203" t="s">
        <v>126</v>
      </c>
      <c r="B124" s="11" t="s">
        <v>16</v>
      </c>
      <c r="C124" s="60">
        <f>C104*Assumptions!$C$20/1000</f>
        <v>391.0307840750086</v>
      </c>
      <c r="D124" s="119">
        <f>D104*Assumptions!$C$20/1000</f>
        <v>400.3764198144014</v>
      </c>
      <c r="E124" s="28">
        <f>E104*Assumptions!$C$20/1000</f>
        <v>409.9454162479656</v>
      </c>
      <c r="F124" s="28">
        <f>F104*Assumptions!$C$20/1000</f>
        <v>419.74311169629203</v>
      </c>
      <c r="G124" s="28">
        <f>G104*Assumptions!$C$20/1000</f>
        <v>429.7749720658334</v>
      </c>
      <c r="H124" s="52">
        <f>H104*Assumptions!$C$20/1000</f>
        <v>684.0687672135833</v>
      </c>
      <c r="I124" s="119">
        <f>I104*Assumptions!$C$20/1000</f>
        <v>843.0446688326698</v>
      </c>
      <c r="J124" s="28">
        <f>J104*Assumptions!$C$20/1000</f>
        <v>951.4946832960326</v>
      </c>
      <c r="K124" s="28">
        <f>K104*Assumptions!$C$20/1000</f>
        <v>1005.5330174717154</v>
      </c>
      <c r="L124" s="28">
        <f>L104*Assumptions!$C$20/1000</f>
        <v>1001.0840198623396</v>
      </c>
      <c r="M124" s="52">
        <f>M104*Assumptions!$C$20/1000</f>
        <v>814.19775314187</v>
      </c>
      <c r="N124" s="119">
        <f>N104*Assumptions!$C$20/1000</f>
        <v>833.6570794419607</v>
      </c>
      <c r="O124" s="28">
        <f>O104*Assumptions!$C$20/1000</f>
        <v>853.5814836406234</v>
      </c>
      <c r="P124" s="28">
        <f>P104*Assumptions!$C$20/1000</f>
        <v>873.9820810996342</v>
      </c>
      <c r="Q124" s="28">
        <f>Q104*Assumptions!$C$20/1000</f>
        <v>894.8702528379156</v>
      </c>
      <c r="R124" s="52">
        <f>R104*Assumptions!$C$20/1000</f>
        <v>916.2576518807417</v>
      </c>
      <c r="S124" s="119">
        <f>S104*Assumptions!$C$20/1000</f>
        <v>938.1562097606915</v>
      </c>
      <c r="T124" s="28">
        <f>T104*Assumptions!$C$20/1000</f>
        <v>960.578143173972</v>
      </c>
      <c r="U124" s="28">
        <f>U104*Assumptions!$C$20/1000</f>
        <v>983.5359607958297</v>
      </c>
      <c r="V124" s="28">
        <f>V104*Assumptions!$C$20/1000</f>
        <v>1007.04247025885</v>
      </c>
      <c r="W124" s="29">
        <f>W104*Assumptions!$C$20/1000</f>
        <v>1031.1107852980365</v>
      </c>
    </row>
    <row r="125" spans="1:23" ht="12.75">
      <c r="A125" s="203" t="s">
        <v>127</v>
      </c>
      <c r="B125" s="11" t="s">
        <v>16</v>
      </c>
      <c r="C125" s="60">
        <f>C105*Assumptions!$C$20/1000</f>
        <v>51.00401531413156</v>
      </c>
      <c r="D125" s="119">
        <f>D105*Assumptions!$C$20/1000</f>
        <v>52.22301128013931</v>
      </c>
      <c r="E125" s="28">
        <f>E105*Assumptions!$C$20/1000</f>
        <v>53.47114124973464</v>
      </c>
      <c r="F125" s="28">
        <f>F105*Assumptions!$C$20/1000</f>
        <v>54.749101525603294</v>
      </c>
      <c r="G125" s="28">
        <f>G105*Assumptions!$C$20/1000</f>
        <v>56.05760505206521</v>
      </c>
      <c r="H125" s="52">
        <f>H105*Assumptions!$C$20/1000</f>
        <v>45.917905450247666</v>
      </c>
      <c r="I125" s="119">
        <f>I105*Assumptions!$C$20/1000</f>
        <v>31.282639208608327</v>
      </c>
      <c r="J125" s="28">
        <f>J105*Assumptions!$C$20/1000</f>
        <v>18.637553998821204</v>
      </c>
      <c r="K125" s="28">
        <f>K105*Assumptions!$C$20/1000</f>
        <v>8.15105209968565</v>
      </c>
      <c r="L125" s="28">
        <f>L105*Assumptions!$C$20/1000</f>
        <v>2.2815352463494176E-15</v>
      </c>
      <c r="M125" s="52">
        <f>M105*Assumptions!$C$20/1000</f>
        <v>0</v>
      </c>
      <c r="N125" s="119">
        <f>N105*Assumptions!$C$20/1000</f>
        <v>0</v>
      </c>
      <c r="O125" s="28">
        <f>O105*Assumptions!$C$20/1000</f>
        <v>0</v>
      </c>
      <c r="P125" s="28">
        <f>P105*Assumptions!$C$20/1000</f>
        <v>0</v>
      </c>
      <c r="Q125" s="28">
        <f>Q105*Assumptions!$C$20/1000</f>
        <v>0</v>
      </c>
      <c r="R125" s="52">
        <f>R105*Assumptions!$C$20/1000</f>
        <v>0</v>
      </c>
      <c r="S125" s="119">
        <f>S105*Assumptions!$C$20/1000</f>
        <v>0</v>
      </c>
      <c r="T125" s="28">
        <f>T105*Assumptions!$C$20/1000</f>
        <v>0</v>
      </c>
      <c r="U125" s="28">
        <f>U105*Assumptions!$C$20/1000</f>
        <v>0</v>
      </c>
      <c r="V125" s="28">
        <f>V105*Assumptions!$C$20/1000</f>
        <v>0</v>
      </c>
      <c r="W125" s="29">
        <f>W105*Assumptions!$C$20/1000</f>
        <v>0</v>
      </c>
    </row>
    <row r="126" spans="1:23" ht="12.75">
      <c r="A126" s="203" t="s">
        <v>128</v>
      </c>
      <c r="B126" s="11" t="s">
        <v>16</v>
      </c>
      <c r="C126" s="60">
        <f>C106*Assumptions!$C$20/1000</f>
        <v>17.00133843804386</v>
      </c>
      <c r="D126" s="119">
        <f>D106*Assumptions!$C$20/1000</f>
        <v>17.407670426713107</v>
      </c>
      <c r="E126" s="28">
        <f>E106*Assumptions!$C$20/1000</f>
        <v>17.823713749911548</v>
      </c>
      <c r="F126" s="28">
        <f>F106*Assumptions!$C$20/1000</f>
        <v>18.249700508534435</v>
      </c>
      <c r="G126" s="28">
        <f>G106*Assumptions!$C$20/1000</f>
        <v>18.685868350688406</v>
      </c>
      <c r="H126" s="52">
        <f>H106*Assumptions!$C$20/1000</f>
        <v>15.305968483415885</v>
      </c>
      <c r="I126" s="119">
        <f>I106*Assumptions!$C$20/1000</f>
        <v>10.427546402869437</v>
      </c>
      <c r="J126" s="28">
        <f>J106*Assumptions!$C$20/1000</f>
        <v>6.2125179996070665</v>
      </c>
      <c r="K126" s="28">
        <f>K106*Assumptions!$C$20/1000</f>
        <v>2.717017366561882</v>
      </c>
      <c r="L126" s="28">
        <f>L106*Assumptions!$C$20/1000</f>
        <v>-5.703838115873544E-16</v>
      </c>
      <c r="M126" s="52">
        <f>M106*Assumptions!$C$20/1000</f>
        <v>0</v>
      </c>
      <c r="N126" s="119">
        <f>N106*Assumptions!$C$20/1000</f>
        <v>0</v>
      </c>
      <c r="O126" s="28">
        <f>O106*Assumptions!$C$20/1000</f>
        <v>0</v>
      </c>
      <c r="P126" s="28">
        <f>P106*Assumptions!$C$20/1000</f>
        <v>0</v>
      </c>
      <c r="Q126" s="28">
        <f>Q106*Assumptions!$C$20/1000</f>
        <v>0</v>
      </c>
      <c r="R126" s="52">
        <f>R106*Assumptions!$C$20/1000</f>
        <v>0</v>
      </c>
      <c r="S126" s="119">
        <f>S106*Assumptions!$C$20/1000</f>
        <v>0</v>
      </c>
      <c r="T126" s="28">
        <f>T106*Assumptions!$C$20/1000</f>
        <v>0</v>
      </c>
      <c r="U126" s="28">
        <f>U106*Assumptions!$C$20/1000</f>
        <v>0</v>
      </c>
      <c r="V126" s="28">
        <f>V106*Assumptions!$C$20/1000</f>
        <v>0</v>
      </c>
      <c r="W126" s="29">
        <f>W106*Assumptions!$C$20/1000</f>
        <v>0</v>
      </c>
    </row>
    <row r="127" spans="1:23" ht="12.75">
      <c r="A127" s="203" t="s">
        <v>129</v>
      </c>
      <c r="B127" s="11" t="s">
        <v>16</v>
      </c>
      <c r="C127" s="60">
        <f>C107*Assumptions!$C$20/1000</f>
        <v>68.00535375217544</v>
      </c>
      <c r="D127" s="119">
        <f>D107*Assumptions!$C$20/1000</f>
        <v>69.63068170685243</v>
      </c>
      <c r="E127" s="28">
        <f>E107*Assumptions!$C$20/1000</f>
        <v>71.29485499964619</v>
      </c>
      <c r="F127" s="28">
        <f>F107*Assumptions!$C$20/1000</f>
        <v>72.99880203413774</v>
      </c>
      <c r="G127" s="28">
        <f>G107*Assumptions!$C$20/1000</f>
        <v>74.74347340275362</v>
      </c>
      <c r="H127" s="52">
        <f>H107*Assumptions!$C$20/1000</f>
        <v>61.22387393366354</v>
      </c>
      <c r="I127" s="119">
        <f>I107*Assumptions!$C$20/1000</f>
        <v>41.71018561147775</v>
      </c>
      <c r="J127" s="28">
        <f>J107*Assumptions!$C$20/1000</f>
        <v>24.850071998428266</v>
      </c>
      <c r="K127" s="28">
        <f>K107*Assumptions!$C$20/1000</f>
        <v>10.868069466247528</v>
      </c>
      <c r="L127" s="28">
        <f>L107*Assumptions!$C$20/1000</f>
        <v>-2.2815352463494176E-15</v>
      </c>
      <c r="M127" s="52">
        <f>M107*Assumptions!$C$20/1000</f>
        <v>0</v>
      </c>
      <c r="N127" s="119">
        <f>N107*Assumptions!$C$20/1000</f>
        <v>0</v>
      </c>
      <c r="O127" s="28">
        <f>O107*Assumptions!$C$20/1000</f>
        <v>0</v>
      </c>
      <c r="P127" s="28">
        <f>P107*Assumptions!$C$20/1000</f>
        <v>0</v>
      </c>
      <c r="Q127" s="28">
        <f>Q107*Assumptions!$C$20/1000</f>
        <v>0</v>
      </c>
      <c r="R127" s="52">
        <f>R107*Assumptions!$C$20/1000</f>
        <v>0</v>
      </c>
      <c r="S127" s="119">
        <f>S107*Assumptions!$C$20/1000</f>
        <v>0</v>
      </c>
      <c r="T127" s="28">
        <f>T107*Assumptions!$C$20/1000</f>
        <v>0</v>
      </c>
      <c r="U127" s="28">
        <f>U107*Assumptions!$C$20/1000</f>
        <v>0</v>
      </c>
      <c r="V127" s="28">
        <f>V107*Assumptions!$C$20/1000</f>
        <v>0</v>
      </c>
      <c r="W127" s="29">
        <f>W107*Assumptions!$C$20/1000</f>
        <v>0</v>
      </c>
    </row>
    <row r="128" spans="1:23" ht="12.75">
      <c r="A128" s="203" t="s">
        <v>130</v>
      </c>
      <c r="B128" s="11" t="s">
        <v>16</v>
      </c>
      <c r="C128" s="60">
        <f>C108*Assumptions!$C$20/1000</f>
        <v>238.01873813261403</v>
      </c>
      <c r="D128" s="119">
        <f>D108*Assumptions!$C$20/1000</f>
        <v>243.7073859739835</v>
      </c>
      <c r="E128" s="28">
        <f>E108*Assumptions!$C$20/1000</f>
        <v>249.5319924987617</v>
      </c>
      <c r="F128" s="28">
        <f>F108*Assumptions!$C$20/1000</f>
        <v>255.4958071194821</v>
      </c>
      <c r="G128" s="28">
        <f>G108*Assumptions!$C$20/1000</f>
        <v>261.60215690963776</v>
      </c>
      <c r="H128" s="52">
        <f>H108*Assumptions!$C$20/1000</f>
        <v>214.28355876782246</v>
      </c>
      <c r="I128" s="119">
        <f>I108*Assumptions!$C$20/1000</f>
        <v>145.98564964017217</v>
      </c>
      <c r="J128" s="28">
        <f>J108*Assumptions!$C$20/1000</f>
        <v>86.97525199449896</v>
      </c>
      <c r="K128" s="28">
        <f>K108*Assumptions!$C$20/1000</f>
        <v>38.038243131866366</v>
      </c>
      <c r="L128" s="28">
        <f>L108*Assumptions!$C$20/1000</f>
        <v>9.12614098539767E-15</v>
      </c>
      <c r="M128" s="52">
        <f>M108*Assumptions!$C$20/1000</f>
        <v>0</v>
      </c>
      <c r="N128" s="119">
        <f>N108*Assumptions!$C$20/1000</f>
        <v>0</v>
      </c>
      <c r="O128" s="28">
        <f>O108*Assumptions!$C$20/1000</f>
        <v>0</v>
      </c>
      <c r="P128" s="28">
        <f>P108*Assumptions!$C$20/1000</f>
        <v>0</v>
      </c>
      <c r="Q128" s="28">
        <f>Q108*Assumptions!$C$20/1000</f>
        <v>0</v>
      </c>
      <c r="R128" s="52">
        <f>R108*Assumptions!$C$20/1000</f>
        <v>0</v>
      </c>
      <c r="S128" s="119">
        <f>S108*Assumptions!$C$20/1000</f>
        <v>0</v>
      </c>
      <c r="T128" s="28">
        <f>T108*Assumptions!$C$20/1000</f>
        <v>0</v>
      </c>
      <c r="U128" s="28">
        <f>U108*Assumptions!$C$20/1000</f>
        <v>0</v>
      </c>
      <c r="V128" s="28">
        <f>V108*Assumptions!$C$20/1000</f>
        <v>0</v>
      </c>
      <c r="W128" s="29">
        <f>W108*Assumptions!$C$20/1000</f>
        <v>0</v>
      </c>
    </row>
    <row r="129" spans="1:23" s="19" customFormat="1" ht="12.75">
      <c r="A129" s="203" t="s">
        <v>131</v>
      </c>
      <c r="B129" s="11" t="s">
        <v>16</v>
      </c>
      <c r="C129" s="60">
        <f>C109*Assumptions!$C$20/1000</f>
        <v>1156.0910137869823</v>
      </c>
      <c r="D129" s="119">
        <f>D109*Assumptions!$C$20/1000</f>
        <v>1183.7215890164912</v>
      </c>
      <c r="E129" s="28">
        <f>E109*Assumptions!$C$20/1000</f>
        <v>1212.0125349939851</v>
      </c>
      <c r="F129" s="28">
        <f>F109*Assumptions!$C$20/1000</f>
        <v>1240.9796345803416</v>
      </c>
      <c r="G129" s="28">
        <f>G109*Assumptions!$C$20/1000</f>
        <v>1270.6390478468115</v>
      </c>
      <c r="H129" s="52">
        <f>H109*Assumptions!$C$20/1000</f>
        <v>1040.8058568722804</v>
      </c>
      <c r="I129" s="119">
        <f>I109*Assumptions!$C$20/1000</f>
        <v>709.073155395122</v>
      </c>
      <c r="J129" s="28">
        <f>J109*Assumptions!$C$20/1000</f>
        <v>422.45122397328066</v>
      </c>
      <c r="K129" s="28">
        <f>K109*Assumptions!$C$20/1000</f>
        <v>184.75718092620806</v>
      </c>
      <c r="L129" s="28">
        <f>L109*Assumptions!$C$20/1000</f>
        <v>3.650456394159068E-14</v>
      </c>
      <c r="M129" s="52">
        <f>M109*Assumptions!$C$20/1000</f>
        <v>0</v>
      </c>
      <c r="N129" s="119">
        <f>N109*Assumptions!$C$20/1000</f>
        <v>0</v>
      </c>
      <c r="O129" s="28">
        <f>O109*Assumptions!$C$20/1000</f>
        <v>0</v>
      </c>
      <c r="P129" s="28">
        <f>P109*Assumptions!$C$20/1000</f>
        <v>0</v>
      </c>
      <c r="Q129" s="28">
        <f>Q109*Assumptions!$C$20/1000</f>
        <v>0</v>
      </c>
      <c r="R129" s="52">
        <f>R109*Assumptions!$C$20/1000</f>
        <v>0</v>
      </c>
      <c r="S129" s="119">
        <f>S109*Assumptions!$C$20/1000</f>
        <v>0</v>
      </c>
      <c r="T129" s="28">
        <f>T109*Assumptions!$C$20/1000</f>
        <v>0</v>
      </c>
      <c r="U129" s="28">
        <f>U109*Assumptions!$C$20/1000</f>
        <v>0</v>
      </c>
      <c r="V129" s="28">
        <f>V109*Assumptions!$C$20/1000</f>
        <v>0</v>
      </c>
      <c r="W129" s="29">
        <f>W109*Assumptions!$C$20/1000</f>
        <v>0</v>
      </c>
    </row>
    <row r="130" spans="1:23" s="19" customFormat="1" ht="12.75">
      <c r="A130" s="257" t="s">
        <v>55</v>
      </c>
      <c r="B130" s="19" t="s">
        <v>16</v>
      </c>
      <c r="C130" s="61">
        <f>SUM(C123:C129)</f>
        <v>1938.1525819369997</v>
      </c>
      <c r="D130" s="61">
        <f aca="true" t="shared" si="23" ref="D130:W130">SUM(D123:D129)</f>
        <v>1984.474428645294</v>
      </c>
      <c r="E130" s="61">
        <f t="shared" si="23"/>
        <v>2031.9033674899165</v>
      </c>
      <c r="F130" s="61">
        <f t="shared" si="23"/>
        <v>2080.4658579729257</v>
      </c>
      <c r="G130" s="61">
        <f t="shared" si="23"/>
        <v>2130.1889919784785</v>
      </c>
      <c r="H130" s="61">
        <f t="shared" si="23"/>
        <v>2181.100508886764</v>
      </c>
      <c r="I130" s="61">
        <f t="shared" si="23"/>
        <v>1981.2338165451933</v>
      </c>
      <c r="J130" s="61">
        <f t="shared" si="23"/>
        <v>1770.5676298880144</v>
      </c>
      <c r="K130" s="61">
        <f t="shared" si="23"/>
        <v>1548.6998989402728</v>
      </c>
      <c r="L130" s="61">
        <f t="shared" si="23"/>
        <v>1315.2155245173617</v>
      </c>
      <c r="M130" s="61">
        <f t="shared" si="23"/>
        <v>1069.6859641277615</v>
      </c>
      <c r="N130" s="61">
        <f t="shared" si="23"/>
        <v>1095.251458670415</v>
      </c>
      <c r="O130" s="61">
        <f t="shared" si="23"/>
        <v>1121.4279685326378</v>
      </c>
      <c r="P130" s="61">
        <f t="shared" si="23"/>
        <v>1148.2300969805679</v>
      </c>
      <c r="Q130" s="61">
        <f t="shared" si="23"/>
        <v>1175.6727962984035</v>
      </c>
      <c r="R130" s="61">
        <f t="shared" si="23"/>
        <v>1203.7713761299353</v>
      </c>
      <c r="S130" s="61">
        <f t="shared" si="23"/>
        <v>1232.5415120194407</v>
      </c>
      <c r="T130" s="61">
        <f t="shared" si="23"/>
        <v>1261.9992541567053</v>
      </c>
      <c r="U130" s="61">
        <f t="shared" si="23"/>
        <v>1292.1610363310504</v>
      </c>
      <c r="V130" s="61">
        <f t="shared" si="23"/>
        <v>1323.0436850993624</v>
      </c>
      <c r="W130" s="61">
        <f t="shared" si="23"/>
        <v>1354.664429173237</v>
      </c>
    </row>
    <row r="131" spans="1:23" ht="12.75">
      <c r="A131" s="12"/>
      <c r="C131" s="18"/>
      <c r="I131" s="17"/>
      <c r="N131" s="17"/>
      <c r="S131" s="17"/>
      <c r="W131" s="13"/>
    </row>
    <row r="132" spans="1:23" s="20" customFormat="1" ht="13.5" thickBot="1">
      <c r="A132" s="23" t="s">
        <v>57</v>
      </c>
      <c r="B132" s="24" t="s">
        <v>16</v>
      </c>
      <c r="C132" s="62">
        <f aca="true" t="shared" si="24" ref="C132:W132">C120+C130</f>
        <v>2033.7124107881564</v>
      </c>
      <c r="D132" s="30">
        <f t="shared" si="24"/>
        <v>2082.318137405993</v>
      </c>
      <c r="E132" s="30">
        <f t="shared" si="24"/>
        <v>2132.0855408899965</v>
      </c>
      <c r="F132" s="30">
        <f t="shared" si="24"/>
        <v>2183.042385317268</v>
      </c>
      <c r="G132" s="30">
        <f t="shared" si="24"/>
        <v>2235.2170983263504</v>
      </c>
      <c r="H132" s="30">
        <f t="shared" si="24"/>
        <v>2320.253724741057</v>
      </c>
      <c r="I132" s="163">
        <f t="shared" si="24"/>
        <v>2156.083329035687</v>
      </c>
      <c r="J132" s="30">
        <f t="shared" si="24"/>
        <v>1982.740236285491</v>
      </c>
      <c r="K132" s="30">
        <f t="shared" si="24"/>
        <v>1799.8797673434565</v>
      </c>
      <c r="L132" s="30">
        <f t="shared" si="24"/>
        <v>1607.1460069356249</v>
      </c>
      <c r="M132" s="30">
        <f t="shared" si="24"/>
        <v>1368.5935850758215</v>
      </c>
      <c r="N132" s="163">
        <f t="shared" si="24"/>
        <v>1401.3029717591335</v>
      </c>
      <c r="O132" s="30">
        <f t="shared" si="24"/>
        <v>1434.7941127841766</v>
      </c>
      <c r="P132" s="30">
        <f t="shared" si="24"/>
        <v>1469.0856920797185</v>
      </c>
      <c r="Q132" s="30">
        <f t="shared" si="24"/>
        <v>1504.1968401204238</v>
      </c>
      <c r="R132" s="30">
        <f t="shared" si="24"/>
        <v>1540.147144599302</v>
      </c>
      <c r="S132" s="163">
        <f t="shared" si="24"/>
        <v>1576.9566613552252</v>
      </c>
      <c r="T132" s="30">
        <f t="shared" si="24"/>
        <v>1614.6459255616148</v>
      </c>
      <c r="U132" s="30">
        <f t="shared" si="24"/>
        <v>1653.2359631825373</v>
      </c>
      <c r="V132" s="30">
        <f t="shared" si="24"/>
        <v>1692.7483027025999</v>
      </c>
      <c r="W132" s="31">
        <f t="shared" si="24"/>
        <v>1733.204987137192</v>
      </c>
    </row>
    <row r="133" spans="3:23" s="20" customFormat="1" ht="12.75">
      <c r="C133" s="32"/>
      <c r="D133" s="32"/>
      <c r="E133" s="32"/>
      <c r="F133" s="32"/>
      <c r="G133" s="32"/>
      <c r="H133" s="32"/>
      <c r="I133" s="32"/>
      <c r="J133" s="32"/>
      <c r="K133" s="32"/>
      <c r="L133" s="32"/>
      <c r="M133" s="32"/>
      <c r="N133" s="32"/>
      <c r="O133" s="32"/>
      <c r="P133" s="32"/>
      <c r="Q133" s="32"/>
      <c r="R133" s="32"/>
      <c r="S133" s="32"/>
      <c r="T133" s="32"/>
      <c r="U133" s="32"/>
      <c r="V133" s="32"/>
      <c r="W133" s="32"/>
    </row>
    <row r="134" spans="3:23" s="20" customFormat="1" ht="13.5" thickBot="1">
      <c r="C134" s="32"/>
      <c r="D134" s="32"/>
      <c r="E134" s="32"/>
      <c r="F134" s="32"/>
      <c r="G134" s="32"/>
      <c r="H134" s="32"/>
      <c r="I134" s="32"/>
      <c r="J134" s="32"/>
      <c r="K134" s="32"/>
      <c r="L134" s="32"/>
      <c r="M134" s="32"/>
      <c r="N134" s="32"/>
      <c r="O134" s="32"/>
      <c r="P134" s="32"/>
      <c r="Q134" s="32"/>
      <c r="R134" s="32"/>
      <c r="S134" s="32"/>
      <c r="T134" s="32"/>
      <c r="U134" s="32"/>
      <c r="V134" s="32"/>
      <c r="W134" s="32"/>
    </row>
    <row r="135" spans="1:23" s="20" customFormat="1" ht="18">
      <c r="A135" s="167" t="s">
        <v>50</v>
      </c>
      <c r="B135" s="168"/>
      <c r="C135" s="169"/>
      <c r="D135" s="169"/>
      <c r="E135" s="169"/>
      <c r="F135" s="169"/>
      <c r="G135" s="169"/>
      <c r="H135" s="169"/>
      <c r="I135" s="169"/>
      <c r="J135" s="169"/>
      <c r="K135" s="169"/>
      <c r="L135" s="169"/>
      <c r="M135" s="169"/>
      <c r="N135" s="169"/>
      <c r="O135" s="169"/>
      <c r="P135" s="169"/>
      <c r="Q135" s="169"/>
      <c r="R135" s="169"/>
      <c r="S135" s="169"/>
      <c r="T135" s="169"/>
      <c r="U135" s="169"/>
      <c r="V135" s="169"/>
      <c r="W135" s="170"/>
    </row>
    <row r="136" spans="1:23" s="20" customFormat="1" ht="12.75" customHeight="1">
      <c r="A136" s="33"/>
      <c r="C136" s="166"/>
      <c r="D136" s="32"/>
      <c r="E136" s="32"/>
      <c r="F136" s="32"/>
      <c r="G136" s="32"/>
      <c r="H136" s="54"/>
      <c r="I136" s="32"/>
      <c r="J136" s="32"/>
      <c r="K136" s="32"/>
      <c r="L136" s="32"/>
      <c r="M136" s="32"/>
      <c r="N136" s="32"/>
      <c r="O136" s="32"/>
      <c r="P136" s="32"/>
      <c r="Q136" s="32"/>
      <c r="R136" s="54"/>
      <c r="S136" s="32"/>
      <c r="T136" s="32"/>
      <c r="U136" s="32"/>
      <c r="V136" s="32"/>
      <c r="W136" s="34"/>
    </row>
    <row r="137" spans="1:23" s="16" customFormat="1" ht="12.75">
      <c r="A137" s="15" t="s">
        <v>331</v>
      </c>
      <c r="B137" s="16" t="s">
        <v>16</v>
      </c>
      <c r="C137" s="63">
        <f aca="true" t="shared" si="25" ref="C137:W137">C44-C120</f>
        <v>0</v>
      </c>
      <c r="D137" s="35">
        <f t="shared" si="25"/>
        <v>0</v>
      </c>
      <c r="E137" s="35">
        <f t="shared" si="25"/>
        <v>0</v>
      </c>
      <c r="F137" s="35">
        <f t="shared" si="25"/>
        <v>0</v>
      </c>
      <c r="G137" s="35">
        <f t="shared" si="25"/>
        <v>0</v>
      </c>
      <c r="H137" s="55">
        <f t="shared" si="25"/>
        <v>-31.614937764706724</v>
      </c>
      <c r="I137" s="35">
        <f t="shared" si="25"/>
        <v>-64.74106955456642</v>
      </c>
      <c r="J137" s="35">
        <f t="shared" si="25"/>
        <v>-99.43257167538083</v>
      </c>
      <c r="K137" s="35">
        <f t="shared" si="25"/>
        <v>-135.7453468512299</v>
      </c>
      <c r="L137" s="35">
        <f t="shared" si="25"/>
        <v>-173.73707580121777</v>
      </c>
      <c r="M137" s="35">
        <f t="shared" si="25"/>
        <v>-177.88939191286693</v>
      </c>
      <c r="N137" s="35">
        <f t="shared" si="25"/>
        <v>-182.14094837958442</v>
      </c>
      <c r="O137" s="35">
        <f t="shared" si="25"/>
        <v>-186.4941170458565</v>
      </c>
      <c r="P137" s="35">
        <f t="shared" si="25"/>
        <v>-190.95132644325247</v>
      </c>
      <c r="Q137" s="35">
        <f t="shared" si="25"/>
        <v>-195.51506314524624</v>
      </c>
      <c r="R137" s="55">
        <f t="shared" si="25"/>
        <v>-200.18787315441762</v>
      </c>
      <c r="S137" s="35">
        <f t="shared" si="25"/>
        <v>-204.97236332280823</v>
      </c>
      <c r="T137" s="35">
        <f t="shared" si="25"/>
        <v>-209.8712028062232</v>
      </c>
      <c r="U137" s="35">
        <f t="shared" si="25"/>
        <v>-214.88712455329193</v>
      </c>
      <c r="V137" s="35">
        <f t="shared" si="25"/>
        <v>-220.0229268301156</v>
      </c>
      <c r="W137" s="36">
        <f t="shared" si="25"/>
        <v>-225.28147478135534</v>
      </c>
    </row>
    <row r="138" spans="1:23" s="16" customFormat="1" ht="12.75">
      <c r="A138" s="15" t="s">
        <v>62</v>
      </c>
      <c r="B138" s="16" t="s">
        <v>16</v>
      </c>
      <c r="C138" s="63">
        <f aca="true" t="shared" si="26" ref="C138:W138">C54-C130</f>
        <v>0</v>
      </c>
      <c r="D138" s="35">
        <f t="shared" si="26"/>
        <v>0</v>
      </c>
      <c r="E138" s="35">
        <f t="shared" si="26"/>
        <v>0</v>
      </c>
      <c r="F138" s="35">
        <f t="shared" si="26"/>
        <v>0</v>
      </c>
      <c r="G138" s="35">
        <f t="shared" si="26"/>
        <v>0</v>
      </c>
      <c r="H138" s="55">
        <f t="shared" si="26"/>
        <v>0</v>
      </c>
      <c r="I138" s="35">
        <f t="shared" si="26"/>
        <v>251.9949945039648</v>
      </c>
      <c r="J138" s="35">
        <f t="shared" si="26"/>
        <v>516.0353497452184</v>
      </c>
      <c r="K138" s="35">
        <f t="shared" si="26"/>
        <v>792.552891906194</v>
      </c>
      <c r="L138" s="35">
        <f t="shared" si="26"/>
        <v>1081.9932080303352</v>
      </c>
      <c r="M138" s="35">
        <f t="shared" si="26"/>
        <v>1384.8160571278258</v>
      </c>
      <c r="N138" s="35">
        <f t="shared" si="26"/>
        <v>1417.9131608931807</v>
      </c>
      <c r="O138" s="35">
        <f t="shared" si="26"/>
        <v>1451.8012854385274</v>
      </c>
      <c r="P138" s="35">
        <f t="shared" si="26"/>
        <v>1486.4993361605084</v>
      </c>
      <c r="Q138" s="35">
        <f t="shared" si="26"/>
        <v>1522.026670294745</v>
      </c>
      <c r="R138" s="55">
        <f t="shared" si="26"/>
        <v>1558.403107714789</v>
      </c>
      <c r="S138" s="35">
        <f t="shared" si="26"/>
        <v>1595.6489419891723</v>
      </c>
      <c r="T138" s="35">
        <f t="shared" si="26"/>
        <v>1633.7849517027134</v>
      </c>
      <c r="U138" s="35">
        <f t="shared" si="26"/>
        <v>1672.8324120484083</v>
      </c>
      <c r="V138" s="35">
        <f t="shared" si="26"/>
        <v>1712.8131066963656</v>
      </c>
      <c r="W138" s="36">
        <f t="shared" si="26"/>
        <v>1753.749339946408</v>
      </c>
    </row>
    <row r="139" spans="1:23" s="20" customFormat="1" ht="13.5" thickBot="1">
      <c r="A139" s="23" t="s">
        <v>61</v>
      </c>
      <c r="B139" s="24" t="s">
        <v>16</v>
      </c>
      <c r="C139" s="62">
        <f>SUM(C137:C138)</f>
        <v>0</v>
      </c>
      <c r="D139" s="30">
        <f aca="true" t="shared" si="27" ref="D139:W139">SUM(D137:D138)</f>
        <v>0</v>
      </c>
      <c r="E139" s="30">
        <f t="shared" si="27"/>
        <v>0</v>
      </c>
      <c r="F139" s="30">
        <f t="shared" si="27"/>
        <v>0</v>
      </c>
      <c r="G139" s="30">
        <f t="shared" si="27"/>
        <v>0</v>
      </c>
      <c r="H139" s="53">
        <f t="shared" si="27"/>
        <v>-31.614937764706724</v>
      </c>
      <c r="I139" s="30">
        <f t="shared" si="27"/>
        <v>187.25392494939837</v>
      </c>
      <c r="J139" s="30">
        <f t="shared" si="27"/>
        <v>416.60277806983754</v>
      </c>
      <c r="K139" s="30">
        <f t="shared" si="27"/>
        <v>656.8075450549641</v>
      </c>
      <c r="L139" s="30">
        <f t="shared" si="27"/>
        <v>908.2561322291174</v>
      </c>
      <c r="M139" s="30">
        <f t="shared" si="27"/>
        <v>1206.926665214959</v>
      </c>
      <c r="N139" s="30">
        <f t="shared" si="27"/>
        <v>1235.7722125135963</v>
      </c>
      <c r="O139" s="30">
        <f t="shared" si="27"/>
        <v>1265.307168392671</v>
      </c>
      <c r="P139" s="30">
        <f t="shared" si="27"/>
        <v>1295.5480097172558</v>
      </c>
      <c r="Q139" s="30">
        <f t="shared" si="27"/>
        <v>1326.5116071494986</v>
      </c>
      <c r="R139" s="53">
        <f t="shared" si="27"/>
        <v>1358.2152345603713</v>
      </c>
      <c r="S139" s="30">
        <f t="shared" si="27"/>
        <v>1390.676578666364</v>
      </c>
      <c r="T139" s="30">
        <f t="shared" si="27"/>
        <v>1423.9137488964902</v>
      </c>
      <c r="U139" s="30">
        <f t="shared" si="27"/>
        <v>1457.9452874951164</v>
      </c>
      <c r="V139" s="30">
        <f t="shared" si="27"/>
        <v>1492.79017986625</v>
      </c>
      <c r="W139" s="31">
        <f t="shared" si="27"/>
        <v>1528.4678651650527</v>
      </c>
    </row>
    <row r="140" spans="1:2" ht="12.75">
      <c r="A140" s="523" t="s">
        <v>330</v>
      </c>
      <c r="B140" s="524"/>
    </row>
    <row r="141" spans="1:2" ht="30" customHeight="1" thickBot="1">
      <c r="A141" s="525"/>
      <c r="B141" s="525"/>
    </row>
    <row r="142" spans="1:2" ht="30" customHeight="1" thickBot="1">
      <c r="A142" s="491"/>
      <c r="B142" s="491"/>
    </row>
    <row r="143" spans="1:23" s="120" customFormat="1" ht="18">
      <c r="A143" s="123" t="s">
        <v>107</v>
      </c>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5"/>
    </row>
    <row r="144" spans="1:23" s="236" customFormat="1" ht="12.75">
      <c r="A144" s="235"/>
      <c r="C144" s="237"/>
      <c r="W144" s="238"/>
    </row>
    <row r="145" spans="1:23" ht="12.75">
      <c r="A145" s="22" t="s">
        <v>108</v>
      </c>
      <c r="C145" s="18"/>
      <c r="W145" s="13"/>
    </row>
    <row r="146" spans="1:23" ht="12.75">
      <c r="A146" s="108" t="s">
        <v>15</v>
      </c>
      <c r="B146" s="121" t="s">
        <v>16</v>
      </c>
      <c r="C146" s="228">
        <f>Assumptions!C44</f>
        <v>5204.756756756757</v>
      </c>
      <c r="D146" s="121"/>
      <c r="E146" s="121"/>
      <c r="G146" s="113"/>
      <c r="H146" s="113"/>
      <c r="I146" s="113"/>
      <c r="J146" s="113"/>
      <c r="K146" s="113"/>
      <c r="M146" s="113"/>
      <c r="N146" s="113"/>
      <c r="O146" s="113"/>
      <c r="P146" s="113"/>
      <c r="Q146" s="113"/>
      <c r="R146" s="113"/>
      <c r="S146" s="113"/>
      <c r="T146" s="113"/>
      <c r="U146" s="113"/>
      <c r="V146" s="113"/>
      <c r="W146" s="13"/>
    </row>
    <row r="147" spans="1:23" ht="12.75">
      <c r="A147" s="108" t="s">
        <v>63</v>
      </c>
      <c r="B147" s="121" t="s">
        <v>24</v>
      </c>
      <c r="C147" s="229">
        <f>Assumptions!C45</f>
        <v>0</v>
      </c>
      <c r="D147" s="121"/>
      <c r="E147" s="121"/>
      <c r="G147" s="113"/>
      <c r="H147" s="113"/>
      <c r="I147" s="113"/>
      <c r="J147" s="113"/>
      <c r="K147" s="113"/>
      <c r="L147" s="315"/>
      <c r="M147" s="113"/>
      <c r="N147" s="113"/>
      <c r="O147" s="113"/>
      <c r="P147" s="113"/>
      <c r="Q147" s="113"/>
      <c r="R147" s="113"/>
      <c r="S147" s="113"/>
      <c r="T147" s="113"/>
      <c r="U147" s="113"/>
      <c r="V147" s="113"/>
      <c r="W147" s="13"/>
    </row>
    <row r="148" spans="1:23" ht="12.75">
      <c r="A148" s="108" t="s">
        <v>8</v>
      </c>
      <c r="B148" s="121" t="s">
        <v>22</v>
      </c>
      <c r="C148" s="228">
        <f>C146*C147</f>
        <v>0</v>
      </c>
      <c r="D148" s="121"/>
      <c r="E148" s="121"/>
      <c r="G148" s="113"/>
      <c r="H148" s="113"/>
      <c r="I148" s="113"/>
      <c r="J148" s="113"/>
      <c r="K148" s="113"/>
      <c r="L148" s="113"/>
      <c r="M148" s="113"/>
      <c r="N148" s="113"/>
      <c r="O148" s="113"/>
      <c r="P148" s="113"/>
      <c r="Q148" s="113"/>
      <c r="R148" s="113"/>
      <c r="S148" s="113"/>
      <c r="T148" s="113"/>
      <c r="U148" s="113"/>
      <c r="V148" s="113"/>
      <c r="W148" s="13"/>
    </row>
    <row r="149" spans="1:23" ht="12.75">
      <c r="A149" s="108" t="s">
        <v>29</v>
      </c>
      <c r="B149" s="121" t="s">
        <v>24</v>
      </c>
      <c r="C149" s="230">
        <f>Assumptions!C46</f>
        <v>1</v>
      </c>
      <c r="D149" s="121"/>
      <c r="E149" s="121"/>
      <c r="G149" s="113"/>
      <c r="H149" s="113"/>
      <c r="I149" s="113"/>
      <c r="J149" s="113"/>
      <c r="K149" s="113"/>
      <c r="L149" s="113"/>
      <c r="M149" s="113"/>
      <c r="N149" s="113"/>
      <c r="O149" s="113"/>
      <c r="P149" s="113"/>
      <c r="Q149" s="113"/>
      <c r="R149" s="113"/>
      <c r="S149" s="113"/>
      <c r="T149" s="113"/>
      <c r="U149" s="113"/>
      <c r="V149" s="113"/>
      <c r="W149" s="13"/>
    </row>
    <row r="150" spans="1:23" ht="12.75">
      <c r="A150" s="114"/>
      <c r="B150" s="113"/>
      <c r="C150" s="231"/>
      <c r="D150" s="113"/>
      <c r="E150" s="113"/>
      <c r="F150" s="113"/>
      <c r="G150" s="113"/>
      <c r="H150" s="113"/>
      <c r="I150" s="113"/>
      <c r="J150" s="113"/>
      <c r="K150" s="113"/>
      <c r="L150" s="113"/>
      <c r="M150" s="113"/>
      <c r="N150" s="113"/>
      <c r="O150" s="113"/>
      <c r="P150" s="113"/>
      <c r="Q150" s="113"/>
      <c r="R150" s="113"/>
      <c r="S150" s="113"/>
      <c r="T150" s="113"/>
      <c r="U150" s="113"/>
      <c r="V150" s="113"/>
      <c r="W150" s="13"/>
    </row>
    <row r="151" spans="1:23" ht="12.75">
      <c r="A151" s="80" t="s">
        <v>39</v>
      </c>
      <c r="B151" s="113"/>
      <c r="C151" s="231"/>
      <c r="D151" s="113"/>
      <c r="E151" s="113"/>
      <c r="F151" s="113"/>
      <c r="G151" s="113"/>
      <c r="H151" s="113"/>
      <c r="I151" s="113"/>
      <c r="J151" s="113"/>
      <c r="K151" s="113"/>
      <c r="L151" s="113"/>
      <c r="M151" s="113"/>
      <c r="N151" s="113"/>
      <c r="O151" s="113"/>
      <c r="P151" s="113"/>
      <c r="Q151" s="113"/>
      <c r="R151" s="113"/>
      <c r="S151" s="113"/>
      <c r="T151" s="113"/>
      <c r="U151" s="113"/>
      <c r="V151" s="113"/>
      <c r="W151" s="13"/>
    </row>
    <row r="152" spans="1:23" ht="12.75">
      <c r="A152" s="108" t="s">
        <v>46</v>
      </c>
      <c r="B152" s="122" t="s">
        <v>17</v>
      </c>
      <c r="C152" s="228">
        <f>Assumptions!C49</f>
        <v>10000</v>
      </c>
      <c r="D152" s="113"/>
      <c r="E152" s="113"/>
      <c r="F152" s="113"/>
      <c r="G152" s="113"/>
      <c r="H152" s="113"/>
      <c r="I152" s="113"/>
      <c r="J152" s="113"/>
      <c r="K152" s="113"/>
      <c r="L152" s="113"/>
      <c r="M152" s="113"/>
      <c r="N152" s="113"/>
      <c r="O152" s="113"/>
      <c r="P152" s="113"/>
      <c r="Q152" s="113"/>
      <c r="R152" s="113"/>
      <c r="S152" s="113"/>
      <c r="T152" s="113"/>
      <c r="U152" s="113"/>
      <c r="V152" s="113"/>
      <c r="W152" s="13"/>
    </row>
    <row r="153" spans="1:23" ht="12.75">
      <c r="A153" s="108" t="s">
        <v>47</v>
      </c>
      <c r="B153" s="113" t="s">
        <v>17</v>
      </c>
      <c r="C153" s="232">
        <f>Assumptions!H49</f>
        <v>25000</v>
      </c>
      <c r="D153" s="113"/>
      <c r="E153" s="113"/>
      <c r="F153" s="113"/>
      <c r="G153" s="113"/>
      <c r="H153" s="113"/>
      <c r="I153" s="113"/>
      <c r="J153" s="113"/>
      <c r="K153" s="113"/>
      <c r="L153" s="113"/>
      <c r="M153" s="113"/>
      <c r="N153" s="113"/>
      <c r="O153" s="113"/>
      <c r="P153" s="113"/>
      <c r="Q153" s="113"/>
      <c r="R153" s="113"/>
      <c r="S153" s="113"/>
      <c r="T153" s="113"/>
      <c r="U153" s="113"/>
      <c r="V153" s="113"/>
      <c r="W153" s="13"/>
    </row>
    <row r="154" spans="1:23" ht="12.75">
      <c r="A154" s="15" t="s">
        <v>333</v>
      </c>
      <c r="B154" s="113" t="s">
        <v>25</v>
      </c>
      <c r="C154" s="233">
        <f>Assumptions!C13</f>
        <v>0.0239</v>
      </c>
      <c r="D154" s="113"/>
      <c r="E154" s="113"/>
      <c r="F154" s="113"/>
      <c r="G154" s="113"/>
      <c r="H154" s="113"/>
      <c r="I154" s="113"/>
      <c r="J154" s="113"/>
      <c r="K154" s="113"/>
      <c r="L154" s="113"/>
      <c r="M154" s="113"/>
      <c r="N154" s="113"/>
      <c r="O154" s="113"/>
      <c r="P154" s="113"/>
      <c r="Q154" s="113"/>
      <c r="R154" s="113"/>
      <c r="S154" s="113"/>
      <c r="T154" s="113"/>
      <c r="U154" s="113"/>
      <c r="V154" s="113"/>
      <c r="W154" s="13"/>
    </row>
    <row r="155" spans="1:23" ht="12.75">
      <c r="A155" s="108" t="s">
        <v>59</v>
      </c>
      <c r="B155" s="113" t="s">
        <v>9</v>
      </c>
      <c r="C155" s="231">
        <f>Assumptions!C40</f>
        <v>5</v>
      </c>
      <c r="D155" s="113"/>
      <c r="E155" s="113"/>
      <c r="F155" s="113"/>
      <c r="G155" s="113"/>
      <c r="H155" s="113"/>
      <c r="I155" s="113"/>
      <c r="J155" s="113"/>
      <c r="K155" s="113"/>
      <c r="L155" s="113"/>
      <c r="M155" s="113"/>
      <c r="N155" s="113"/>
      <c r="O155" s="113"/>
      <c r="P155" s="113"/>
      <c r="Q155" s="113"/>
      <c r="R155" s="113"/>
      <c r="S155" s="113"/>
      <c r="T155" s="113"/>
      <c r="U155" s="113"/>
      <c r="V155" s="113"/>
      <c r="W155" s="13"/>
    </row>
    <row r="156" spans="1:23" ht="12.75">
      <c r="A156" s="108" t="s">
        <v>60</v>
      </c>
      <c r="B156" s="113" t="s">
        <v>9</v>
      </c>
      <c r="C156" s="231">
        <f>Assumptions!C41</f>
        <v>10</v>
      </c>
      <c r="D156" s="113"/>
      <c r="E156" s="113"/>
      <c r="F156" s="113"/>
      <c r="G156" s="113"/>
      <c r="H156" s="113"/>
      <c r="I156" s="113"/>
      <c r="J156" s="113"/>
      <c r="K156" s="113"/>
      <c r="L156" s="113"/>
      <c r="M156" s="113"/>
      <c r="N156" s="113"/>
      <c r="O156" s="113"/>
      <c r="P156" s="113"/>
      <c r="Q156" s="113"/>
      <c r="R156" s="113"/>
      <c r="S156" s="113"/>
      <c r="T156" s="113"/>
      <c r="U156" s="113"/>
      <c r="V156" s="113"/>
      <c r="W156" s="13"/>
    </row>
    <row r="157" spans="1:23" ht="12.75">
      <c r="A157" s="217" t="s">
        <v>68</v>
      </c>
      <c r="B157" s="226" t="s">
        <v>58</v>
      </c>
      <c r="C157" s="234">
        <f>C156-C155</f>
        <v>5</v>
      </c>
      <c r="D157" s="226"/>
      <c r="E157" s="226"/>
      <c r="F157" s="226"/>
      <c r="G157" s="226"/>
      <c r="H157" s="226"/>
      <c r="I157" s="226"/>
      <c r="J157" s="226"/>
      <c r="K157" s="226"/>
      <c r="L157" s="226"/>
      <c r="M157" s="226"/>
      <c r="N157" s="226"/>
      <c r="O157" s="226"/>
      <c r="P157" s="226"/>
      <c r="Q157" s="226"/>
      <c r="R157" s="226"/>
      <c r="S157" s="226"/>
      <c r="T157" s="226"/>
      <c r="U157" s="226"/>
      <c r="V157" s="226"/>
      <c r="W157" s="227"/>
    </row>
    <row r="158" spans="1:23" ht="12.75">
      <c r="A158" s="492" t="s">
        <v>332</v>
      </c>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3"/>
    </row>
    <row r="159" spans="1:23" ht="12.75">
      <c r="A159" s="108"/>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3"/>
    </row>
    <row r="160" spans="1:23" ht="12.75">
      <c r="A160" s="80" t="s">
        <v>65</v>
      </c>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3"/>
    </row>
    <row r="161" spans="1:23" ht="12.75">
      <c r="A161" s="518" t="s">
        <v>66</v>
      </c>
      <c r="B161" s="520" t="s">
        <v>38</v>
      </c>
      <c r="C161" s="521"/>
      <c r="D161" s="521"/>
      <c r="E161" s="521"/>
      <c r="F161" s="521"/>
      <c r="G161" s="522"/>
      <c r="H161" s="133" t="s">
        <v>45</v>
      </c>
      <c r="I161" s="135" t="s">
        <v>5</v>
      </c>
      <c r="J161" s="135" t="s">
        <v>5</v>
      </c>
      <c r="K161" s="134" t="s">
        <v>178</v>
      </c>
      <c r="L161" s="135" t="s">
        <v>179</v>
      </c>
      <c r="M161" s="113"/>
      <c r="N161" s="113"/>
      <c r="O161" s="113"/>
      <c r="P161" s="113"/>
      <c r="Q161" s="113"/>
      <c r="R161" s="113"/>
      <c r="S161" s="113"/>
      <c r="T161" s="113"/>
      <c r="U161" s="113"/>
      <c r="V161" s="113"/>
      <c r="W161" s="13"/>
    </row>
    <row r="162" spans="1:23" ht="12.75">
      <c r="A162" s="519"/>
      <c r="B162" s="136" t="s">
        <v>40</v>
      </c>
      <c r="C162" s="136" t="s">
        <v>41</v>
      </c>
      <c r="D162" s="136" t="s">
        <v>69</v>
      </c>
      <c r="E162" s="137" t="s">
        <v>42</v>
      </c>
      <c r="F162" s="138" t="s">
        <v>43</v>
      </c>
      <c r="G162" s="137" t="s">
        <v>69</v>
      </c>
      <c r="H162" s="139" t="s">
        <v>44</v>
      </c>
      <c r="I162" s="268" t="s">
        <v>21</v>
      </c>
      <c r="J162" s="269" t="s">
        <v>106</v>
      </c>
      <c r="K162" s="270" t="s">
        <v>48</v>
      </c>
      <c r="L162" s="309"/>
      <c r="M162" s="113"/>
      <c r="N162" s="113"/>
      <c r="O162" s="113"/>
      <c r="P162" s="113"/>
      <c r="Q162" s="113"/>
      <c r="R162" s="113"/>
      <c r="S162" s="113"/>
      <c r="T162" s="113"/>
      <c r="U162" s="113"/>
      <c r="V162" s="113"/>
      <c r="W162" s="13"/>
    </row>
    <row r="163" spans="1:23" ht="12.75">
      <c r="A163" s="259" t="s">
        <v>132</v>
      </c>
      <c r="B163" s="110">
        <f>Assumptions!$C$15*E163</f>
        <v>12.364912280701754</v>
      </c>
      <c r="C163" s="110">
        <f>Assumptions!$C$15*F163</f>
        <v>336.6746823675239</v>
      </c>
      <c r="D163" s="109">
        <f aca="true" t="shared" si="28" ref="D163:D168">C163-B163</f>
        <v>324.3097700868222</v>
      </c>
      <c r="E163" s="111">
        <f>Assumptions!C52</f>
        <v>0.008771929824561403</v>
      </c>
      <c r="F163" s="111">
        <f>Assumptions!H52</f>
        <v>0.23884412767276103</v>
      </c>
      <c r="G163" s="129">
        <f aca="true" t="shared" si="29" ref="G163:G168">F163-E163</f>
        <v>0.23007219784819963</v>
      </c>
      <c r="H163" s="265">
        <f>Assumptions!C61</f>
        <v>31.2</v>
      </c>
      <c r="I163" s="271">
        <f aca="true" t="shared" si="30" ref="I163:I168">J163/1000</f>
        <v>0.0010693392559188272</v>
      </c>
      <c r="J163" s="306">
        <f>Assumptions!C70</f>
        <v>1.0693392559188273</v>
      </c>
      <c r="K163" s="318">
        <f>Assumptions!$C$90</f>
        <v>11.322024999999998</v>
      </c>
      <c r="L163" s="317">
        <f>Assumptions!$C$89</f>
        <v>25.979525</v>
      </c>
      <c r="M163" s="113" t="s">
        <v>99</v>
      </c>
      <c r="N163" s="113"/>
      <c r="O163" s="113"/>
      <c r="P163" s="113"/>
      <c r="Q163" s="113"/>
      <c r="R163" s="113"/>
      <c r="S163" s="113"/>
      <c r="T163" s="113"/>
      <c r="U163" s="113"/>
      <c r="V163" s="113"/>
      <c r="W163" s="13"/>
    </row>
    <row r="164" spans="1:23" ht="12.75">
      <c r="A164" s="260" t="s">
        <v>126</v>
      </c>
      <c r="B164" s="110">
        <f>Assumptions!$C$15*E164</f>
        <v>284.3929824561403</v>
      </c>
      <c r="C164" s="110">
        <f>Assumptions!$C$15*F164</f>
        <v>1072.9253176324758</v>
      </c>
      <c r="D164" s="109">
        <f t="shared" si="28"/>
        <v>788.5323351763354</v>
      </c>
      <c r="E164" s="111">
        <f>Assumptions!C53</f>
        <v>0.20175438596491227</v>
      </c>
      <c r="F164" s="111">
        <f>Assumptions!H53</f>
        <v>0.7611558723272388</v>
      </c>
      <c r="G164" s="129">
        <f t="shared" si="29"/>
        <v>0.5594014863623266</v>
      </c>
      <c r="H164" s="266">
        <f>Assumptions!C62</f>
        <v>31.2</v>
      </c>
      <c r="I164" s="131">
        <f t="shared" si="30"/>
        <v>0.0010693392559188272</v>
      </c>
      <c r="J164" s="307">
        <f>Assumptions!C71</f>
        <v>1.0693392559188273</v>
      </c>
      <c r="K164" s="319">
        <f>Assumptions!$C$90</f>
        <v>11.322024999999998</v>
      </c>
      <c r="L164" s="321">
        <f>Assumptions!$C$89</f>
        <v>25.979525</v>
      </c>
      <c r="M164" s="113" t="s">
        <v>99</v>
      </c>
      <c r="N164" s="113"/>
      <c r="O164" s="113"/>
      <c r="P164" s="113"/>
      <c r="Q164" s="113"/>
      <c r="R164" s="113"/>
      <c r="S164" s="113"/>
      <c r="T164" s="113"/>
      <c r="U164" s="113"/>
      <c r="V164" s="113"/>
      <c r="W164" s="13"/>
    </row>
    <row r="165" spans="1:23" ht="12.75">
      <c r="A165" s="260" t="s">
        <v>127</v>
      </c>
      <c r="B165" s="110">
        <f>Assumptions!$C$15*E165</f>
        <v>37.094736842105256</v>
      </c>
      <c r="C165" s="110">
        <f>Assumptions!$C$15*F165</f>
        <v>0</v>
      </c>
      <c r="D165" s="109">
        <f t="shared" si="28"/>
        <v>-37.094736842105256</v>
      </c>
      <c r="E165" s="111">
        <f>Assumptions!C54</f>
        <v>0.02631578947368421</v>
      </c>
      <c r="F165" s="111">
        <f>Assumptions!H54</f>
        <v>0</v>
      </c>
      <c r="G165" s="129">
        <f t="shared" si="29"/>
        <v>-0.02631578947368421</v>
      </c>
      <c r="H165" s="266">
        <f>Assumptions!C63</f>
        <v>31.2</v>
      </c>
      <c r="I165" s="131">
        <f t="shared" si="30"/>
        <v>0</v>
      </c>
      <c r="J165" s="307">
        <f>Assumptions!C72</f>
        <v>0</v>
      </c>
      <c r="K165" s="319">
        <f>Assumptions!$C$90</f>
        <v>11.322024999999998</v>
      </c>
      <c r="L165" s="321">
        <f>Assumptions!$C$89</f>
        <v>25.979525</v>
      </c>
      <c r="M165" s="113"/>
      <c r="N165" s="113"/>
      <c r="O165" s="113"/>
      <c r="P165" s="113"/>
      <c r="Q165" s="113"/>
      <c r="R165" s="113"/>
      <c r="S165" s="113"/>
      <c r="T165" s="113"/>
      <c r="U165" s="113"/>
      <c r="V165" s="113"/>
      <c r="W165" s="13"/>
    </row>
    <row r="166" spans="1:23" ht="12.75">
      <c r="A166" s="260" t="s">
        <v>128</v>
      </c>
      <c r="B166" s="110">
        <f>Assumptions!$C$15*E166</f>
        <v>12.364912280701754</v>
      </c>
      <c r="C166" s="110">
        <f>Assumptions!$C$15*F166</f>
        <v>0</v>
      </c>
      <c r="D166" s="109">
        <f t="shared" si="28"/>
        <v>-12.364912280701754</v>
      </c>
      <c r="E166" s="111">
        <f>Assumptions!C55</f>
        <v>0.008771929824561403</v>
      </c>
      <c r="F166" s="111">
        <f>Assumptions!H55</f>
        <v>0</v>
      </c>
      <c r="G166" s="129">
        <f t="shared" si="29"/>
        <v>-0.008771929824561403</v>
      </c>
      <c r="H166" s="266">
        <f>Assumptions!C64</f>
        <v>31.2</v>
      </c>
      <c r="I166" s="131">
        <f t="shared" si="30"/>
        <v>0</v>
      </c>
      <c r="J166" s="307">
        <f>Assumptions!C73</f>
        <v>0</v>
      </c>
      <c r="K166" s="319">
        <f>Assumptions!$C$90</f>
        <v>11.322024999999998</v>
      </c>
      <c r="L166" s="321">
        <f>Assumptions!$C$89</f>
        <v>25.979525</v>
      </c>
      <c r="M166" s="113"/>
      <c r="N166" s="113"/>
      <c r="O166" s="113"/>
      <c r="P166" s="113"/>
      <c r="Q166" s="113"/>
      <c r="R166" s="113"/>
      <c r="S166" s="113"/>
      <c r="T166" s="113"/>
      <c r="U166" s="113"/>
      <c r="V166" s="113"/>
      <c r="W166" s="13"/>
    </row>
    <row r="167" spans="1:23" ht="12.75">
      <c r="A167" s="260" t="s">
        <v>129</v>
      </c>
      <c r="B167" s="110">
        <f>Assumptions!$C$15*E167</f>
        <v>49.459649122807015</v>
      </c>
      <c r="C167" s="110">
        <f>Assumptions!$C$15*F167</f>
        <v>0</v>
      </c>
      <c r="D167" s="109">
        <f t="shared" si="28"/>
        <v>-49.459649122807015</v>
      </c>
      <c r="E167" s="111">
        <f>Assumptions!C56</f>
        <v>0.03508771929824561</v>
      </c>
      <c r="F167" s="111">
        <f>Assumptions!H56</f>
        <v>0</v>
      </c>
      <c r="G167" s="129">
        <f t="shared" si="29"/>
        <v>-0.03508771929824561</v>
      </c>
      <c r="H167" s="266">
        <f>Assumptions!C65</f>
        <v>31.2</v>
      </c>
      <c r="I167" s="131">
        <f t="shared" si="30"/>
        <v>0</v>
      </c>
      <c r="J167" s="307">
        <f>Assumptions!C74</f>
        <v>0</v>
      </c>
      <c r="K167" s="319">
        <f>Assumptions!$C$90</f>
        <v>11.322024999999998</v>
      </c>
      <c r="L167" s="321">
        <f>Assumptions!$C$89</f>
        <v>25.979525</v>
      </c>
      <c r="M167" s="113"/>
      <c r="N167" s="113"/>
      <c r="O167" s="113"/>
      <c r="P167" s="113"/>
      <c r="Q167" s="113"/>
      <c r="R167" s="113"/>
      <c r="S167" s="113"/>
      <c r="T167" s="113"/>
      <c r="U167" s="113"/>
      <c r="V167" s="113"/>
      <c r="W167" s="13"/>
    </row>
    <row r="168" spans="1:23" ht="12.75">
      <c r="A168" s="260" t="s">
        <v>130</v>
      </c>
      <c r="B168" s="110">
        <f>Assumptions!$C$15*E168</f>
        <v>173.10877192982457</v>
      </c>
      <c r="C168" s="110">
        <f>Assumptions!$C$15*F168</f>
        <v>0</v>
      </c>
      <c r="D168" s="109">
        <f t="shared" si="28"/>
        <v>-173.10877192982457</v>
      </c>
      <c r="E168" s="111">
        <f>Assumptions!C57</f>
        <v>0.12280701754385966</v>
      </c>
      <c r="F168" s="111">
        <f>Assumptions!H57</f>
        <v>0</v>
      </c>
      <c r="G168" s="129">
        <f t="shared" si="29"/>
        <v>-0.12280701754385966</v>
      </c>
      <c r="H168" s="266">
        <f>Assumptions!C66</f>
        <v>31.2</v>
      </c>
      <c r="I168" s="131">
        <f t="shared" si="30"/>
        <v>0</v>
      </c>
      <c r="J168" s="307">
        <f>Assumptions!C75</f>
        <v>0</v>
      </c>
      <c r="K168" s="319">
        <f>Assumptions!$C$90</f>
        <v>11.322024999999998</v>
      </c>
      <c r="L168" s="321">
        <f>Assumptions!$C$89</f>
        <v>25.979525</v>
      </c>
      <c r="M168" s="113"/>
      <c r="N168" s="113"/>
      <c r="O168" s="113"/>
      <c r="P168" s="113"/>
      <c r="Q168" s="113"/>
      <c r="R168" s="113"/>
      <c r="S168" s="113"/>
      <c r="T168" s="113"/>
      <c r="U168" s="113"/>
      <c r="V168" s="113"/>
      <c r="W168" s="13"/>
    </row>
    <row r="169" spans="1:23" ht="12.75">
      <c r="A169" s="261" t="s">
        <v>131</v>
      </c>
      <c r="B169" s="126">
        <f>Assumptions!$C$15*E169</f>
        <v>840.8140350877192</v>
      </c>
      <c r="C169" s="126">
        <f>Assumptions!$C$15*F169</f>
        <v>0</v>
      </c>
      <c r="D169" s="127">
        <f>C169-B169</f>
        <v>-840.8140350877192</v>
      </c>
      <c r="E169" s="128">
        <f>Assumptions!C58</f>
        <v>0.5964912280701754</v>
      </c>
      <c r="F169" s="128">
        <f>Assumptions!H58</f>
        <v>0</v>
      </c>
      <c r="G169" s="130">
        <f>F169-E169</f>
        <v>-0.5964912280701754</v>
      </c>
      <c r="H169" s="267">
        <f>Assumptions!C67</f>
        <v>31.2</v>
      </c>
      <c r="I169" s="132">
        <f>J169/1000</f>
        <v>0.00034840000000000007</v>
      </c>
      <c r="J169" s="308">
        <f>Assumptions!C76</f>
        <v>0.34840000000000004</v>
      </c>
      <c r="K169" s="320">
        <f>Assumptions!$C$90</f>
        <v>11.322024999999998</v>
      </c>
      <c r="L169" s="322">
        <f>Assumptions!$C$89</f>
        <v>25.979525</v>
      </c>
      <c r="M169" s="113"/>
      <c r="N169" s="113"/>
      <c r="O169" s="113"/>
      <c r="P169" s="113"/>
      <c r="Q169" s="113"/>
      <c r="R169" s="113"/>
      <c r="S169" s="113"/>
      <c r="T169" s="113"/>
      <c r="U169" s="113"/>
      <c r="V169" s="113"/>
      <c r="W169" s="13"/>
    </row>
    <row r="170" spans="1:23" ht="12.75">
      <c r="A170" s="108"/>
      <c r="B170" s="110"/>
      <c r="C170" s="110"/>
      <c r="D170" s="110"/>
      <c r="E170" s="122"/>
      <c r="F170" s="111"/>
      <c r="G170" s="111"/>
      <c r="H170" s="111"/>
      <c r="I170" s="111"/>
      <c r="J170" s="112"/>
      <c r="K170" s="111"/>
      <c r="L170" s="113"/>
      <c r="M170" s="113"/>
      <c r="N170" s="113"/>
      <c r="O170" s="113"/>
      <c r="P170" s="113"/>
      <c r="Q170" s="113"/>
      <c r="R170" s="113"/>
      <c r="S170" s="113"/>
      <c r="T170" s="113"/>
      <c r="U170" s="113"/>
      <c r="V170" s="113"/>
      <c r="W170" s="13"/>
    </row>
    <row r="171" spans="1:23" ht="12.75">
      <c r="A171" s="22" t="s">
        <v>70</v>
      </c>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3"/>
    </row>
    <row r="172" spans="1:23" ht="12.75">
      <c r="A172" s="262" t="s">
        <v>67</v>
      </c>
      <c r="B172" s="46"/>
      <c r="C172" s="140" t="str">
        <f aca="true" t="shared" si="31" ref="C172:W172">IF(C3&gt;=$C$155,"Yes","No")</f>
        <v>No</v>
      </c>
      <c r="D172" s="143" t="str">
        <f t="shared" si="31"/>
        <v>No</v>
      </c>
      <c r="E172" s="143" t="str">
        <f t="shared" si="31"/>
        <v>No</v>
      </c>
      <c r="F172" s="143" t="str">
        <f t="shared" si="31"/>
        <v>No</v>
      </c>
      <c r="G172" s="143" t="str">
        <f t="shared" si="31"/>
        <v>No</v>
      </c>
      <c r="H172" s="143" t="str">
        <f t="shared" si="31"/>
        <v>Yes</v>
      </c>
      <c r="I172" s="147" t="str">
        <f t="shared" si="31"/>
        <v>Yes</v>
      </c>
      <c r="J172" s="143" t="str">
        <f t="shared" si="31"/>
        <v>Yes</v>
      </c>
      <c r="K172" s="143" t="str">
        <f t="shared" si="31"/>
        <v>Yes</v>
      </c>
      <c r="L172" s="143" t="str">
        <f t="shared" si="31"/>
        <v>Yes</v>
      </c>
      <c r="M172" s="144" t="str">
        <f t="shared" si="31"/>
        <v>Yes</v>
      </c>
      <c r="N172" s="143" t="str">
        <f t="shared" si="31"/>
        <v>Yes</v>
      </c>
      <c r="O172" s="143" t="str">
        <f t="shared" si="31"/>
        <v>Yes</v>
      </c>
      <c r="P172" s="143" t="str">
        <f t="shared" si="31"/>
        <v>Yes</v>
      </c>
      <c r="Q172" s="143" t="str">
        <f t="shared" si="31"/>
        <v>Yes</v>
      </c>
      <c r="R172" s="143" t="str">
        <f t="shared" si="31"/>
        <v>Yes</v>
      </c>
      <c r="S172" s="147" t="str">
        <f t="shared" si="31"/>
        <v>Yes</v>
      </c>
      <c r="T172" s="143" t="str">
        <f t="shared" si="31"/>
        <v>Yes</v>
      </c>
      <c r="U172" s="143" t="str">
        <f t="shared" si="31"/>
        <v>Yes</v>
      </c>
      <c r="V172" s="143" t="str">
        <f t="shared" si="31"/>
        <v>Yes</v>
      </c>
      <c r="W172" s="218" t="str">
        <f t="shared" si="31"/>
        <v>Yes</v>
      </c>
    </row>
    <row r="173" spans="1:23" ht="12.75">
      <c r="A173" s="263" t="s">
        <v>71</v>
      </c>
      <c r="C173" s="141" t="str">
        <f aca="true" t="shared" si="32" ref="C173:W173">IF(C172="Yes",IF(C3&lt;$C$156,"Partial","Full"),"N/A")</f>
        <v>N/A</v>
      </c>
      <c r="D173" s="116" t="str">
        <f t="shared" si="32"/>
        <v>N/A</v>
      </c>
      <c r="E173" s="116" t="str">
        <f t="shared" si="32"/>
        <v>N/A</v>
      </c>
      <c r="F173" s="116" t="str">
        <f t="shared" si="32"/>
        <v>N/A</v>
      </c>
      <c r="G173" s="116" t="str">
        <f t="shared" si="32"/>
        <v>N/A</v>
      </c>
      <c r="H173" s="116" t="str">
        <f t="shared" si="32"/>
        <v>Partial</v>
      </c>
      <c r="I173" s="115" t="str">
        <f t="shared" si="32"/>
        <v>Partial</v>
      </c>
      <c r="J173" s="116" t="str">
        <f t="shared" si="32"/>
        <v>Partial</v>
      </c>
      <c r="K173" s="116" t="str">
        <f t="shared" si="32"/>
        <v>Partial</v>
      </c>
      <c r="L173" s="116" t="str">
        <f t="shared" si="32"/>
        <v>Partial</v>
      </c>
      <c r="M173" s="145" t="str">
        <f t="shared" si="32"/>
        <v>Full</v>
      </c>
      <c r="N173" s="116" t="str">
        <f t="shared" si="32"/>
        <v>Full</v>
      </c>
      <c r="O173" s="116" t="str">
        <f t="shared" si="32"/>
        <v>Full</v>
      </c>
      <c r="P173" s="116" t="str">
        <f t="shared" si="32"/>
        <v>Full</v>
      </c>
      <c r="Q173" s="116" t="str">
        <f t="shared" si="32"/>
        <v>Full</v>
      </c>
      <c r="R173" s="116" t="str">
        <f t="shared" si="32"/>
        <v>Full</v>
      </c>
      <c r="S173" s="115" t="str">
        <f t="shared" si="32"/>
        <v>Full</v>
      </c>
      <c r="T173" s="116" t="str">
        <f t="shared" si="32"/>
        <v>Full</v>
      </c>
      <c r="U173" s="116" t="str">
        <f t="shared" si="32"/>
        <v>Full</v>
      </c>
      <c r="V173" s="116" t="str">
        <f t="shared" si="32"/>
        <v>Full</v>
      </c>
      <c r="W173" s="219" t="str">
        <f t="shared" si="32"/>
        <v>Full</v>
      </c>
    </row>
    <row r="174" spans="1:23" ht="12.75">
      <c r="A174" s="260" t="s">
        <v>132</v>
      </c>
      <c r="C174" s="142">
        <f>IF(C$172="Yes",IF(C$173="Partial",(($G163/$C$157)+#REF!),$F163),$E163)</f>
        <v>0.008771929824561403</v>
      </c>
      <c r="D174" s="118">
        <f aca="true" t="shared" si="33" ref="D174:D180">IF(D$172="Yes",IF(D$173="Partial",(($G163/$C$157)+A174),$F163),$E163)</f>
        <v>0.008771929824561403</v>
      </c>
      <c r="E174" s="118">
        <f aca="true" t="shared" si="34" ref="E174:W174">IF(E$172="Yes",IF(E$173="Partial",(($G163/$C$157)+D174),$F163),$E163)</f>
        <v>0.008771929824561403</v>
      </c>
      <c r="F174" s="118">
        <f t="shared" si="34"/>
        <v>0.008771929824561403</v>
      </c>
      <c r="G174" s="118">
        <f t="shared" si="34"/>
        <v>0.008771929824561403</v>
      </c>
      <c r="H174" s="118">
        <f t="shared" si="34"/>
        <v>0.054786369394201326</v>
      </c>
      <c r="I174" s="117">
        <f t="shared" si="34"/>
        <v>0.10080080896384125</v>
      </c>
      <c r="J174" s="118">
        <f t="shared" si="34"/>
        <v>0.14681524853348116</v>
      </c>
      <c r="K174" s="118">
        <f t="shared" si="34"/>
        <v>0.19282968810312107</v>
      </c>
      <c r="L174" s="118">
        <f t="shared" si="34"/>
        <v>0.23884412767276098</v>
      </c>
      <c r="M174" s="146">
        <f t="shared" si="34"/>
        <v>0.23884412767276103</v>
      </c>
      <c r="N174" s="118">
        <f t="shared" si="34"/>
        <v>0.23884412767276103</v>
      </c>
      <c r="O174" s="118">
        <f t="shared" si="34"/>
        <v>0.23884412767276103</v>
      </c>
      <c r="P174" s="118">
        <f t="shared" si="34"/>
        <v>0.23884412767276103</v>
      </c>
      <c r="Q174" s="118">
        <f t="shared" si="34"/>
        <v>0.23884412767276103</v>
      </c>
      <c r="R174" s="118">
        <f t="shared" si="34"/>
        <v>0.23884412767276103</v>
      </c>
      <c r="S174" s="117">
        <f t="shared" si="34"/>
        <v>0.23884412767276103</v>
      </c>
      <c r="T174" s="118">
        <f t="shared" si="34"/>
        <v>0.23884412767276103</v>
      </c>
      <c r="U174" s="118">
        <f t="shared" si="34"/>
        <v>0.23884412767276103</v>
      </c>
      <c r="V174" s="118">
        <f t="shared" si="34"/>
        <v>0.23884412767276103</v>
      </c>
      <c r="W174" s="220">
        <f t="shared" si="34"/>
        <v>0.23884412767276103</v>
      </c>
    </row>
    <row r="175" spans="1:23" ht="12.75">
      <c r="A175" s="260" t="s">
        <v>126</v>
      </c>
      <c r="C175" s="142">
        <f>IF(C$172="Yes",IF(C$173="Partial",(($G164/$C$157)+#REF!),$F164),$E164)</f>
        <v>0.20175438596491227</v>
      </c>
      <c r="D175" s="118">
        <f t="shared" si="33"/>
        <v>0.20175438596491227</v>
      </c>
      <c r="E175" s="118">
        <f aca="true" t="shared" si="35" ref="E175:W175">IF(E$172="Yes",IF(E$173="Partial",(($G164/$C$157)+D175),$F164),$E164)</f>
        <v>0.20175438596491227</v>
      </c>
      <c r="F175" s="118">
        <f t="shared" si="35"/>
        <v>0.20175438596491227</v>
      </c>
      <c r="G175" s="118">
        <f t="shared" si="35"/>
        <v>0.20175438596491227</v>
      </c>
      <c r="H175" s="118">
        <f t="shared" si="35"/>
        <v>0.3136346832373776</v>
      </c>
      <c r="I175" s="117">
        <f t="shared" si="35"/>
        <v>0.42551498050984293</v>
      </c>
      <c r="J175" s="118">
        <f t="shared" si="35"/>
        <v>0.5373952777823082</v>
      </c>
      <c r="K175" s="118">
        <f t="shared" si="35"/>
        <v>0.6492755750547735</v>
      </c>
      <c r="L175" s="118">
        <f t="shared" si="35"/>
        <v>0.7611558723272388</v>
      </c>
      <c r="M175" s="146">
        <f t="shared" si="35"/>
        <v>0.7611558723272388</v>
      </c>
      <c r="N175" s="118">
        <f t="shared" si="35"/>
        <v>0.7611558723272388</v>
      </c>
      <c r="O175" s="118">
        <f t="shared" si="35"/>
        <v>0.7611558723272388</v>
      </c>
      <c r="P175" s="118">
        <f t="shared" si="35"/>
        <v>0.7611558723272388</v>
      </c>
      <c r="Q175" s="118">
        <f t="shared" si="35"/>
        <v>0.7611558723272388</v>
      </c>
      <c r="R175" s="118">
        <f t="shared" si="35"/>
        <v>0.7611558723272388</v>
      </c>
      <c r="S175" s="117">
        <f t="shared" si="35"/>
        <v>0.7611558723272388</v>
      </c>
      <c r="T175" s="118">
        <f t="shared" si="35"/>
        <v>0.7611558723272388</v>
      </c>
      <c r="U175" s="118">
        <f t="shared" si="35"/>
        <v>0.7611558723272388</v>
      </c>
      <c r="V175" s="118">
        <f t="shared" si="35"/>
        <v>0.7611558723272388</v>
      </c>
      <c r="W175" s="220">
        <f t="shared" si="35"/>
        <v>0.7611558723272388</v>
      </c>
    </row>
    <row r="176" spans="1:23" ht="12.75">
      <c r="A176" s="260" t="s">
        <v>127</v>
      </c>
      <c r="C176" s="142">
        <f>IF(C$172="Yes",IF(C$173="Partial",(($G165/$C$157)+#REF!),$F165),$E165)</f>
        <v>0.02631578947368421</v>
      </c>
      <c r="D176" s="118">
        <f t="shared" si="33"/>
        <v>0.02631578947368421</v>
      </c>
      <c r="E176" s="118">
        <f aca="true" t="shared" si="36" ref="E176:W176">IF(E$172="Yes",IF(E$173="Partial",(($G165/$C$157)+D176),$F165),$E165)</f>
        <v>0.02631578947368421</v>
      </c>
      <c r="F176" s="118">
        <f t="shared" si="36"/>
        <v>0.02631578947368421</v>
      </c>
      <c r="G176" s="118">
        <f t="shared" si="36"/>
        <v>0.02631578947368421</v>
      </c>
      <c r="H176" s="118">
        <f t="shared" si="36"/>
        <v>0.021052631578947368</v>
      </c>
      <c r="I176" s="117">
        <f t="shared" si="36"/>
        <v>0.015789473684210527</v>
      </c>
      <c r="J176" s="118">
        <f t="shared" si="36"/>
        <v>0.010526315789473686</v>
      </c>
      <c r="K176" s="118">
        <f t="shared" si="36"/>
        <v>0.005263157894736844</v>
      </c>
      <c r="L176" s="118">
        <f t="shared" si="36"/>
        <v>1.734723475976807E-18</v>
      </c>
      <c r="M176" s="146">
        <f t="shared" si="36"/>
        <v>0</v>
      </c>
      <c r="N176" s="118">
        <f t="shared" si="36"/>
        <v>0</v>
      </c>
      <c r="O176" s="118">
        <f t="shared" si="36"/>
        <v>0</v>
      </c>
      <c r="P176" s="118">
        <f t="shared" si="36"/>
        <v>0</v>
      </c>
      <c r="Q176" s="118">
        <f t="shared" si="36"/>
        <v>0</v>
      </c>
      <c r="R176" s="118">
        <f t="shared" si="36"/>
        <v>0</v>
      </c>
      <c r="S176" s="117">
        <f t="shared" si="36"/>
        <v>0</v>
      </c>
      <c r="T176" s="118">
        <f t="shared" si="36"/>
        <v>0</v>
      </c>
      <c r="U176" s="118">
        <f t="shared" si="36"/>
        <v>0</v>
      </c>
      <c r="V176" s="118">
        <f t="shared" si="36"/>
        <v>0</v>
      </c>
      <c r="W176" s="220">
        <f t="shared" si="36"/>
        <v>0</v>
      </c>
    </row>
    <row r="177" spans="1:23" ht="12.75">
      <c r="A177" s="260" t="s">
        <v>128</v>
      </c>
      <c r="C177" s="142">
        <f>IF(C$172="Yes",IF(C$173="Partial",(($G166/$C$157)+#REF!),$F166),$E166)</f>
        <v>0.008771929824561403</v>
      </c>
      <c r="D177" s="118">
        <f t="shared" si="33"/>
        <v>0.008771929824561403</v>
      </c>
      <c r="E177" s="118">
        <f aca="true" t="shared" si="37" ref="E177:W177">IF(E$172="Yes",IF(E$173="Partial",(($G166/$C$157)+D177),$F166),$E166)</f>
        <v>0.008771929824561403</v>
      </c>
      <c r="F177" s="118">
        <f t="shared" si="37"/>
        <v>0.008771929824561403</v>
      </c>
      <c r="G177" s="118">
        <f t="shared" si="37"/>
        <v>0.008771929824561403</v>
      </c>
      <c r="H177" s="118">
        <f t="shared" si="37"/>
        <v>0.007017543859649122</v>
      </c>
      <c r="I177" s="117">
        <f t="shared" si="37"/>
        <v>0.005263157894736841</v>
      </c>
      <c r="J177" s="118">
        <f t="shared" si="37"/>
        <v>0.0035087719298245606</v>
      </c>
      <c r="K177" s="118">
        <f t="shared" si="37"/>
        <v>0.00175438596491228</v>
      </c>
      <c r="L177" s="118">
        <f t="shared" si="37"/>
        <v>-4.336808689942018E-19</v>
      </c>
      <c r="M177" s="146">
        <f t="shared" si="37"/>
        <v>0</v>
      </c>
      <c r="N177" s="118">
        <f t="shared" si="37"/>
        <v>0</v>
      </c>
      <c r="O177" s="118">
        <f t="shared" si="37"/>
        <v>0</v>
      </c>
      <c r="P177" s="118">
        <f t="shared" si="37"/>
        <v>0</v>
      </c>
      <c r="Q177" s="118">
        <f t="shared" si="37"/>
        <v>0</v>
      </c>
      <c r="R177" s="118">
        <f t="shared" si="37"/>
        <v>0</v>
      </c>
      <c r="S177" s="117">
        <f t="shared" si="37"/>
        <v>0</v>
      </c>
      <c r="T177" s="118">
        <f t="shared" si="37"/>
        <v>0</v>
      </c>
      <c r="U177" s="118">
        <f t="shared" si="37"/>
        <v>0</v>
      </c>
      <c r="V177" s="118">
        <f t="shared" si="37"/>
        <v>0</v>
      </c>
      <c r="W177" s="220">
        <f t="shared" si="37"/>
        <v>0</v>
      </c>
    </row>
    <row r="178" spans="1:23" ht="12.75">
      <c r="A178" s="260" t="s">
        <v>129</v>
      </c>
      <c r="C178" s="142">
        <f>IF(C$172="Yes",IF(C$173="Partial",(($G167/$C$157)+#REF!),$F167),$E167)</f>
        <v>0.03508771929824561</v>
      </c>
      <c r="D178" s="118">
        <f t="shared" si="33"/>
        <v>0.03508771929824561</v>
      </c>
      <c r="E178" s="118">
        <f aca="true" t="shared" si="38" ref="E178:W178">IF(E$172="Yes",IF(E$173="Partial",(($G167/$C$157)+D178),$F167),$E167)</f>
        <v>0.03508771929824561</v>
      </c>
      <c r="F178" s="118">
        <f t="shared" si="38"/>
        <v>0.03508771929824561</v>
      </c>
      <c r="G178" s="118">
        <f t="shared" si="38"/>
        <v>0.03508771929824561</v>
      </c>
      <c r="H178" s="118">
        <f t="shared" si="38"/>
        <v>0.02807017543859649</v>
      </c>
      <c r="I178" s="117">
        <f t="shared" si="38"/>
        <v>0.021052631578947364</v>
      </c>
      <c r="J178" s="118">
        <f t="shared" si="38"/>
        <v>0.014035087719298242</v>
      </c>
      <c r="K178" s="118">
        <f t="shared" si="38"/>
        <v>0.00701754385964912</v>
      </c>
      <c r="L178" s="118">
        <f t="shared" si="38"/>
        <v>-1.734723475976807E-18</v>
      </c>
      <c r="M178" s="146">
        <f t="shared" si="38"/>
        <v>0</v>
      </c>
      <c r="N178" s="118">
        <f t="shared" si="38"/>
        <v>0</v>
      </c>
      <c r="O178" s="118">
        <f t="shared" si="38"/>
        <v>0</v>
      </c>
      <c r="P178" s="118">
        <f t="shared" si="38"/>
        <v>0</v>
      </c>
      <c r="Q178" s="118">
        <f t="shared" si="38"/>
        <v>0</v>
      </c>
      <c r="R178" s="118">
        <f t="shared" si="38"/>
        <v>0</v>
      </c>
      <c r="S178" s="117">
        <f t="shared" si="38"/>
        <v>0</v>
      </c>
      <c r="T178" s="118">
        <f t="shared" si="38"/>
        <v>0</v>
      </c>
      <c r="U178" s="118">
        <f t="shared" si="38"/>
        <v>0</v>
      </c>
      <c r="V178" s="118">
        <f t="shared" si="38"/>
        <v>0</v>
      </c>
      <c r="W178" s="220">
        <f t="shared" si="38"/>
        <v>0</v>
      </c>
    </row>
    <row r="179" spans="1:23" ht="13.5" thickBot="1">
      <c r="A179" s="260" t="s">
        <v>130</v>
      </c>
      <c r="C179" s="221">
        <f>IF(C$172="Yes",IF(C$173="Partial",(($G168/$C$157)+#REF!),$F168),$E168)</f>
        <v>0.12280701754385966</v>
      </c>
      <c r="D179" s="222">
        <f t="shared" si="33"/>
        <v>0.12280701754385966</v>
      </c>
      <c r="E179" s="222">
        <f aca="true" t="shared" si="39" ref="E179:W179">IF(E$172="Yes",IF(E$173="Partial",(($G168/$C$157)+D179),$F168),$E168)</f>
        <v>0.12280701754385966</v>
      </c>
      <c r="F179" s="222">
        <f t="shared" si="39"/>
        <v>0.12280701754385966</v>
      </c>
      <c r="G179" s="222">
        <f t="shared" si="39"/>
        <v>0.12280701754385966</v>
      </c>
      <c r="H179" s="222">
        <f t="shared" si="39"/>
        <v>0.09824561403508772</v>
      </c>
      <c r="I179" s="223">
        <f t="shared" si="39"/>
        <v>0.0736842105263158</v>
      </c>
      <c r="J179" s="222">
        <f t="shared" si="39"/>
        <v>0.04912280701754387</v>
      </c>
      <c r="K179" s="222">
        <f t="shared" si="39"/>
        <v>0.024561403508771937</v>
      </c>
      <c r="L179" s="222">
        <f t="shared" si="39"/>
        <v>6.938893903907228E-18</v>
      </c>
      <c r="M179" s="224">
        <f t="shared" si="39"/>
        <v>0</v>
      </c>
      <c r="N179" s="222">
        <f t="shared" si="39"/>
        <v>0</v>
      </c>
      <c r="O179" s="222">
        <f t="shared" si="39"/>
        <v>0</v>
      </c>
      <c r="P179" s="222">
        <f t="shared" si="39"/>
        <v>0</v>
      </c>
      <c r="Q179" s="222">
        <f t="shared" si="39"/>
        <v>0</v>
      </c>
      <c r="R179" s="222">
        <f t="shared" si="39"/>
        <v>0</v>
      </c>
      <c r="S179" s="223">
        <f t="shared" si="39"/>
        <v>0</v>
      </c>
      <c r="T179" s="222">
        <f t="shared" si="39"/>
        <v>0</v>
      </c>
      <c r="U179" s="222">
        <f t="shared" si="39"/>
        <v>0</v>
      </c>
      <c r="V179" s="222">
        <f t="shared" si="39"/>
        <v>0</v>
      </c>
      <c r="W179" s="225">
        <f t="shared" si="39"/>
        <v>0</v>
      </c>
    </row>
    <row r="180" spans="1:23" ht="13.5" thickBot="1">
      <c r="A180" s="258" t="s">
        <v>131</v>
      </c>
      <c r="B180" s="264"/>
      <c r="C180" s="221">
        <f>IF(C$172="Yes",IF(C$173="Partial",(($G169/$C$157)+#REF!),$F169),$E169)</f>
        <v>0.5964912280701754</v>
      </c>
      <c r="D180" s="222">
        <f t="shared" si="33"/>
        <v>0.5964912280701754</v>
      </c>
      <c r="E180" s="222">
        <f aca="true" t="shared" si="40" ref="E180:W180">IF(E$172="Yes",IF(E$173="Partial",(($G169/$C$157)+D180),$F169),$E169)</f>
        <v>0.5964912280701754</v>
      </c>
      <c r="F180" s="222">
        <f t="shared" si="40"/>
        <v>0.5964912280701754</v>
      </c>
      <c r="G180" s="222">
        <f t="shared" si="40"/>
        <v>0.5964912280701754</v>
      </c>
      <c r="H180" s="222">
        <f t="shared" si="40"/>
        <v>0.47719298245614034</v>
      </c>
      <c r="I180" s="223">
        <f t="shared" si="40"/>
        <v>0.35789473684210527</v>
      </c>
      <c r="J180" s="222">
        <f t="shared" si="40"/>
        <v>0.2385964912280702</v>
      </c>
      <c r="K180" s="222">
        <f t="shared" si="40"/>
        <v>0.11929824561403511</v>
      </c>
      <c r="L180" s="222">
        <f t="shared" si="40"/>
        <v>2.7755575615628914E-17</v>
      </c>
      <c r="M180" s="224">
        <f t="shared" si="40"/>
        <v>0</v>
      </c>
      <c r="N180" s="222">
        <f t="shared" si="40"/>
        <v>0</v>
      </c>
      <c r="O180" s="222">
        <f t="shared" si="40"/>
        <v>0</v>
      </c>
      <c r="P180" s="222">
        <f t="shared" si="40"/>
        <v>0</v>
      </c>
      <c r="Q180" s="222">
        <f t="shared" si="40"/>
        <v>0</v>
      </c>
      <c r="R180" s="222">
        <f t="shared" si="40"/>
        <v>0</v>
      </c>
      <c r="S180" s="223">
        <f t="shared" si="40"/>
        <v>0</v>
      </c>
      <c r="T180" s="222">
        <f t="shared" si="40"/>
        <v>0</v>
      </c>
      <c r="U180" s="222">
        <f t="shared" si="40"/>
        <v>0</v>
      </c>
      <c r="V180" s="222">
        <f t="shared" si="40"/>
        <v>0</v>
      </c>
      <c r="W180" s="225">
        <f t="shared" si="40"/>
        <v>0</v>
      </c>
    </row>
  </sheetData>
  <sheetProtection/>
  <mergeCells count="3">
    <mergeCell ref="A161:A162"/>
    <mergeCell ref="B161:G161"/>
    <mergeCell ref="A140:B141"/>
  </mergeCells>
  <printOptions/>
  <pageMargins left="0.75" right="0.75" top="1" bottom="1" header="0.5" footer="0.5"/>
  <pageSetup fitToHeight="4" fitToWidth="2" horizontalDpi="600" verticalDpi="600" orientation="landscape" scale="6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X3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49.421875" style="0" bestFit="1" customWidth="1"/>
    <col min="2" max="2" width="14.421875" style="0" bestFit="1" customWidth="1"/>
    <col min="3" max="3" width="9.7109375" style="0" bestFit="1" customWidth="1"/>
    <col min="4" max="4" width="10.140625" style="0" bestFit="1" customWidth="1"/>
  </cols>
  <sheetData>
    <row r="2" ht="12.75">
      <c r="E2" s="356" t="s">
        <v>348</v>
      </c>
    </row>
    <row r="3" spans="2:23" ht="13.5" thickBot="1">
      <c r="B3" s="1" t="s">
        <v>9</v>
      </c>
      <c r="C3" s="64">
        <v>0</v>
      </c>
      <c r="D3" s="64">
        <v>1</v>
      </c>
      <c r="E3" s="64">
        <v>2</v>
      </c>
      <c r="F3" s="64">
        <v>3</v>
      </c>
      <c r="G3" s="64">
        <v>4</v>
      </c>
      <c r="H3" s="64">
        <v>5</v>
      </c>
      <c r="I3" s="64">
        <v>6</v>
      </c>
      <c r="J3" s="64">
        <v>7</v>
      </c>
      <c r="K3" s="64">
        <v>8</v>
      </c>
      <c r="L3" s="64">
        <v>9</v>
      </c>
      <c r="M3" s="64">
        <v>10</v>
      </c>
      <c r="N3" s="64">
        <v>11</v>
      </c>
      <c r="O3" s="64">
        <v>12</v>
      </c>
      <c r="P3" s="64">
        <v>13</v>
      </c>
      <c r="Q3" s="64">
        <v>14</v>
      </c>
      <c r="R3" s="64">
        <v>15</v>
      </c>
      <c r="S3" s="64">
        <v>16</v>
      </c>
      <c r="T3" s="64">
        <v>17</v>
      </c>
      <c r="U3" s="64">
        <v>18</v>
      </c>
      <c r="V3" s="64">
        <v>19</v>
      </c>
      <c r="W3" s="64">
        <v>20</v>
      </c>
    </row>
    <row r="4" spans="1:23" ht="18">
      <c r="A4" s="37" t="s">
        <v>51</v>
      </c>
      <c r="B4" s="39"/>
      <c r="C4" s="39"/>
      <c r="D4" s="39"/>
      <c r="E4" s="39"/>
      <c r="F4" s="39"/>
      <c r="G4" s="39"/>
      <c r="H4" s="39"/>
      <c r="I4" s="39"/>
      <c r="J4" s="39"/>
      <c r="K4" s="39"/>
      <c r="L4" s="39"/>
      <c r="M4" s="39"/>
      <c r="N4" s="39"/>
      <c r="O4" s="39"/>
      <c r="P4" s="39"/>
      <c r="Q4" s="39"/>
      <c r="R4" s="39"/>
      <c r="S4" s="39"/>
      <c r="T4" s="39"/>
      <c r="U4" s="39"/>
      <c r="V4" s="39"/>
      <c r="W4" s="40"/>
    </row>
    <row r="5" spans="1:23" ht="12.75">
      <c r="A5" s="88"/>
      <c r="B5" s="86"/>
      <c r="C5" s="86"/>
      <c r="D5" s="4"/>
      <c r="E5" s="4"/>
      <c r="F5" s="4"/>
      <c r="G5" s="4"/>
      <c r="H5" s="86"/>
      <c r="I5" s="4"/>
      <c r="J5" s="4"/>
      <c r="K5" s="4"/>
      <c r="L5" s="4"/>
      <c r="M5" s="86"/>
      <c r="N5" s="4"/>
      <c r="O5" s="4"/>
      <c r="P5" s="4"/>
      <c r="Q5" s="4"/>
      <c r="R5" s="86"/>
      <c r="S5" s="4"/>
      <c r="T5" s="4"/>
      <c r="U5" s="4"/>
      <c r="V5" s="4"/>
      <c r="W5" s="7"/>
    </row>
    <row r="6" spans="1:23" ht="12.75">
      <c r="A6" s="89" t="s">
        <v>74</v>
      </c>
      <c r="B6" s="83" t="s">
        <v>19</v>
      </c>
      <c r="C6" s="333">
        <f>Assumptions!C12</f>
        <v>19382</v>
      </c>
      <c r="D6" s="78">
        <f>C6+(C6*Assumptions!$C$13)</f>
        <v>19845.2298</v>
      </c>
      <c r="E6" s="5">
        <f>D6+(D6*Assumptions!$C$13)</f>
        <v>20319.53079222</v>
      </c>
      <c r="F6" s="5">
        <f>E6+(E6*Assumptions!$C$13)</f>
        <v>20805.167578154058</v>
      </c>
      <c r="G6" s="5">
        <f>F6+(F6*Assumptions!$C$13)</f>
        <v>21302.41108327194</v>
      </c>
      <c r="H6" s="5">
        <f>G6+(G6*Assumptions!$C$13)</f>
        <v>21811.53870816214</v>
      </c>
      <c r="I6" s="78">
        <f>H6+(H6*Assumptions!$C$13)</f>
        <v>22332.834483287217</v>
      </c>
      <c r="J6" s="5">
        <f>I6+(I6*Assumptions!$C$13)</f>
        <v>22866.58922743778</v>
      </c>
      <c r="K6" s="5">
        <f>J6+(J6*Assumptions!$C$13)</f>
        <v>23413.100709973543</v>
      </c>
      <c r="L6" s="5">
        <f>K6+(K6*Assumptions!$C$13)</f>
        <v>23972.67381694191</v>
      </c>
      <c r="M6" s="5">
        <f>L6+(L6*Assumptions!$C$13)</f>
        <v>24545.620721166822</v>
      </c>
      <c r="N6" s="78">
        <f>M6+(M6*Assumptions!$C$13)</f>
        <v>25132.26105640271</v>
      </c>
      <c r="O6" s="5">
        <f>N6+(N6*Assumptions!$C$13)</f>
        <v>25732.922095650734</v>
      </c>
      <c r="P6" s="5">
        <f>O6+(O6*Assumptions!$C$13)</f>
        <v>26347.938933736787</v>
      </c>
      <c r="Q6" s="5">
        <f>P6+(P6*Assumptions!$C$13)</f>
        <v>26977.654674253095</v>
      </c>
      <c r="R6" s="5">
        <f>Q6+(Q6*Assumptions!$C$13)</f>
        <v>27622.420620967743</v>
      </c>
      <c r="S6" s="78">
        <f>R6+(R6*Assumptions!$C$13)</f>
        <v>28282.596473808873</v>
      </c>
      <c r="T6" s="5">
        <f>S6+(S6*Assumptions!$C$13)</f>
        <v>28958.550529532906</v>
      </c>
      <c r="U6" s="5">
        <f>T6+(T6*Assumptions!$C$13)</f>
        <v>29650.659887188744</v>
      </c>
      <c r="V6" s="5">
        <f>U6+(U6*Assumptions!$C$13)</f>
        <v>30359.310658492555</v>
      </c>
      <c r="W6" s="79">
        <f>V6+(V6*Assumptions!$C$13)</f>
        <v>31084.89818323053</v>
      </c>
    </row>
    <row r="7" spans="1:23" ht="12.75">
      <c r="A7" s="89"/>
      <c r="B7" s="83"/>
      <c r="C7" s="4"/>
      <c r="D7" s="94"/>
      <c r="E7" s="4"/>
      <c r="F7" s="4"/>
      <c r="G7" s="4"/>
      <c r="H7" s="4"/>
      <c r="I7" s="94"/>
      <c r="J7" s="4"/>
      <c r="K7" s="4"/>
      <c r="L7" s="4"/>
      <c r="M7" s="4"/>
      <c r="N7" s="94"/>
      <c r="O7" s="4"/>
      <c r="P7" s="4"/>
      <c r="Q7" s="4"/>
      <c r="R7" s="4"/>
      <c r="S7" s="94"/>
      <c r="T7" s="4"/>
      <c r="U7" s="4"/>
      <c r="V7" s="4"/>
      <c r="W7" s="7"/>
    </row>
    <row r="8" spans="1:23" ht="12.75">
      <c r="A8" s="90" t="s">
        <v>72</v>
      </c>
      <c r="B8" s="83"/>
      <c r="C8" s="4"/>
      <c r="D8" s="94"/>
      <c r="E8" s="4"/>
      <c r="F8" s="4"/>
      <c r="G8" s="4"/>
      <c r="H8" s="4"/>
      <c r="I8" s="94"/>
      <c r="J8" s="4"/>
      <c r="K8" s="4"/>
      <c r="L8" s="4"/>
      <c r="M8" s="4"/>
      <c r="N8" s="94"/>
      <c r="O8" s="4"/>
      <c r="P8" s="4"/>
      <c r="Q8" s="4"/>
      <c r="R8" s="4"/>
      <c r="S8" s="94"/>
      <c r="T8" s="4"/>
      <c r="U8" s="4"/>
      <c r="V8" s="4"/>
      <c r="W8" s="7"/>
    </row>
    <row r="9" spans="1:23" ht="12.75">
      <c r="A9" s="314" t="s">
        <v>189</v>
      </c>
      <c r="B9" s="248" t="s">
        <v>228</v>
      </c>
      <c r="C9" s="333">
        <f>Assumptions!C27*26*Assumptions!C12</f>
        <v>68786.71800000001</v>
      </c>
      <c r="D9" s="78">
        <f>C9+(C9*Assumptions!$C$13)</f>
        <v>70430.7205602</v>
      </c>
      <c r="E9" s="5">
        <f>D9+(D9*Assumptions!$C$13)</f>
        <v>72114.01478158879</v>
      </c>
      <c r="F9" s="5">
        <f>E9+(E9*Assumptions!$C$13)</f>
        <v>73837.53973486877</v>
      </c>
      <c r="G9" s="5">
        <f>F9+(F9*Assumptions!$C$13)</f>
        <v>75602.25693453214</v>
      </c>
      <c r="H9" s="5">
        <f>G9+(G9*Assumptions!$C$13)</f>
        <v>77409.15087526746</v>
      </c>
      <c r="I9" s="78">
        <f>H9+(H9*Assumptions!$C$13)</f>
        <v>79259.22958118634</v>
      </c>
      <c r="J9" s="5">
        <f>I9+(I9*Assumptions!$C$13)</f>
        <v>81153.5251681767</v>
      </c>
      <c r="K9" s="5">
        <f>J9+(J9*Assumptions!$C$13)</f>
        <v>83093.09441969612</v>
      </c>
      <c r="L9" s="5">
        <f>K9+(K9*Assumptions!$C$13)</f>
        <v>85079.01937632686</v>
      </c>
      <c r="M9" s="5">
        <f>L9+(L9*Assumptions!$C$13)</f>
        <v>87112.40793942107</v>
      </c>
      <c r="N9" s="78">
        <f>M9+(M9*Assumptions!$C$13)</f>
        <v>89194.39448917324</v>
      </c>
      <c r="O9" s="5">
        <f>N9+(N9*Assumptions!$C$13)</f>
        <v>91326.14051746448</v>
      </c>
      <c r="P9" s="5">
        <f>O9+(O9*Assumptions!$C$13)</f>
        <v>93508.83527583188</v>
      </c>
      <c r="Q9" s="5">
        <f>P9+(P9*Assumptions!$C$13)</f>
        <v>95743.69643892426</v>
      </c>
      <c r="R9" s="5">
        <f>Q9+(Q9*Assumptions!$C$13)</f>
        <v>98031.97078381456</v>
      </c>
      <c r="S9" s="78">
        <f>R9+(R9*Assumptions!$C$13)</f>
        <v>100374.93488554773</v>
      </c>
      <c r="T9" s="5">
        <f>S9+(S9*Assumptions!$C$13)</f>
        <v>102773.89582931231</v>
      </c>
      <c r="U9" s="5">
        <f>T9+(T9*Assumptions!$C$13)</f>
        <v>105230.19193963287</v>
      </c>
      <c r="V9" s="5">
        <f>U9+(U9*Assumptions!$C$13)</f>
        <v>107745.1935269901</v>
      </c>
      <c r="W9" s="79">
        <f>V9+(V9*Assumptions!$C$13)</f>
        <v>110320.30365228516</v>
      </c>
    </row>
    <row r="10" spans="1:23" ht="12.75">
      <c r="A10" s="314" t="s">
        <v>190</v>
      </c>
      <c r="B10" s="248" t="s">
        <v>229</v>
      </c>
      <c r="C10" s="5">
        <f>C9*Assumptions!$C$28</f>
        <v>234562.70838000003</v>
      </c>
      <c r="D10" s="78">
        <f>D9*Assumptions!$C$28</f>
        <v>240168.75711028202</v>
      </c>
      <c r="E10" s="5">
        <f>E9*Assumptions!$C$28</f>
        <v>245908.7904052178</v>
      </c>
      <c r="F10" s="5">
        <f>F9*Assumptions!$C$28</f>
        <v>251786.0104959025</v>
      </c>
      <c r="G10" s="5">
        <f>G9*Assumptions!$C$28</f>
        <v>257803.6961467546</v>
      </c>
      <c r="H10" s="5">
        <f>H9*Assumptions!$C$28</f>
        <v>263965.20448466204</v>
      </c>
      <c r="I10" s="78">
        <f>I9*Assumptions!$C$28</f>
        <v>270273.9728718455</v>
      </c>
      <c r="J10" s="5">
        <f>J9*Assumptions!$C$28</f>
        <v>276733.52082348254</v>
      </c>
      <c r="K10" s="5">
        <f>K9*Assumptions!$C$28</f>
        <v>283347.4519711638</v>
      </c>
      <c r="L10" s="5">
        <f>L9*Assumptions!$C$28</f>
        <v>290119.4560732746</v>
      </c>
      <c r="M10" s="5">
        <f>M9*Assumptions!$C$28</f>
        <v>297053.31107342587</v>
      </c>
      <c r="N10" s="78">
        <f>N9*Assumptions!$C$28</f>
        <v>304152.88520808076</v>
      </c>
      <c r="O10" s="5">
        <f>O9*Assumptions!$C$28</f>
        <v>311422.1391645539</v>
      </c>
      <c r="P10" s="5">
        <f>P9*Assumptions!$C$28</f>
        <v>318865.1282905867</v>
      </c>
      <c r="Q10" s="5">
        <f>Q9*Assumptions!$C$28</f>
        <v>326486.00485673174</v>
      </c>
      <c r="R10" s="5">
        <f>R9*Assumptions!$C$28</f>
        <v>334289.02037280763</v>
      </c>
      <c r="S10" s="78">
        <f>S9*Assumptions!$C$28</f>
        <v>342278.5279597178</v>
      </c>
      <c r="T10" s="5">
        <f>T9*Assumptions!$C$28</f>
        <v>350458.984777955</v>
      </c>
      <c r="U10" s="5">
        <f>U9*Assumptions!$C$28</f>
        <v>358834.9545141481</v>
      </c>
      <c r="V10" s="5">
        <f>V9*Assumptions!$C$28</f>
        <v>367411.1099270363</v>
      </c>
      <c r="W10" s="79">
        <f>W9*Assumptions!$C$28</f>
        <v>376192.23545429244</v>
      </c>
    </row>
    <row r="11" spans="1:23" ht="12.75">
      <c r="A11" s="314" t="s">
        <v>206</v>
      </c>
      <c r="B11" s="83"/>
      <c r="C11" s="5"/>
      <c r="D11" s="78"/>
      <c r="E11" s="5"/>
      <c r="F11" s="5"/>
      <c r="G11" s="5"/>
      <c r="H11" s="5"/>
      <c r="I11" s="78"/>
      <c r="J11" s="5"/>
      <c r="K11" s="5"/>
      <c r="L11" s="5"/>
      <c r="M11" s="5"/>
      <c r="N11" s="78"/>
      <c r="O11" s="5"/>
      <c r="P11" s="5"/>
      <c r="Q11" s="5"/>
      <c r="R11" s="5"/>
      <c r="S11" s="78"/>
      <c r="T11" s="5"/>
      <c r="U11" s="5"/>
      <c r="V11" s="5"/>
      <c r="W11" s="79"/>
    </row>
    <row r="12" spans="1:23" ht="12.75">
      <c r="A12" s="89"/>
      <c r="B12" s="83"/>
      <c r="C12" s="5"/>
      <c r="D12" s="78"/>
      <c r="E12" s="5"/>
      <c r="F12" s="5"/>
      <c r="G12" s="5"/>
      <c r="H12" s="5"/>
      <c r="I12" s="78"/>
      <c r="J12" s="5"/>
      <c r="K12" s="5"/>
      <c r="L12" s="5"/>
      <c r="M12" s="5"/>
      <c r="N12" s="78"/>
      <c r="O12" s="5"/>
      <c r="P12" s="5"/>
      <c r="Q12" s="5"/>
      <c r="R12" s="5"/>
      <c r="S12" s="78"/>
      <c r="T12" s="5"/>
      <c r="U12" s="5"/>
      <c r="V12" s="5"/>
      <c r="W12" s="79"/>
    </row>
    <row r="13" spans="1:23" ht="12.75">
      <c r="A13" s="90" t="s">
        <v>191</v>
      </c>
      <c r="B13" s="83"/>
      <c r="C13" s="5"/>
      <c r="D13" s="78"/>
      <c r="E13" s="5"/>
      <c r="F13" s="5"/>
      <c r="G13" s="5"/>
      <c r="H13" s="5"/>
      <c r="I13" s="78"/>
      <c r="J13" s="5"/>
      <c r="K13" s="5"/>
      <c r="L13" s="5"/>
      <c r="M13" s="5"/>
      <c r="N13" s="78"/>
      <c r="O13" s="5"/>
      <c r="P13" s="5"/>
      <c r="Q13" s="5"/>
      <c r="R13" s="5"/>
      <c r="S13" s="78"/>
      <c r="T13" s="5"/>
      <c r="U13" s="5"/>
      <c r="V13" s="5"/>
      <c r="W13" s="79"/>
    </row>
    <row r="14" spans="1:23" ht="12.75">
      <c r="A14" s="89" t="s">
        <v>73</v>
      </c>
      <c r="B14" s="83" t="s">
        <v>16</v>
      </c>
      <c r="C14" s="478">
        <f>C10*2*Assumptions!$C$19/1000</f>
        <v>544.1854834416</v>
      </c>
      <c r="D14" s="334">
        <f>D10*2*Assumptions!$C$19/1000</f>
        <v>557.1915164958542</v>
      </c>
      <c r="E14" s="334">
        <f>E10*2*Assumptions!$C$19/1000</f>
        <v>570.5083937401052</v>
      </c>
      <c r="F14" s="334">
        <f>F10*2*Assumptions!$C$19/1000</f>
        <v>584.1435443504938</v>
      </c>
      <c r="G14" s="334">
        <f>G10*2*Assumptions!$C$19/1000</f>
        <v>598.1045750604707</v>
      </c>
      <c r="H14" s="334">
        <f>H10*2*Assumptions!$C$19/1000</f>
        <v>612.3992744044159</v>
      </c>
      <c r="I14" s="334">
        <f>I10*2*Assumptions!$C$19/1000</f>
        <v>627.0356170626815</v>
      </c>
      <c r="J14" s="334">
        <f>J10*2*Assumptions!$C$19/1000</f>
        <v>642.0217683104795</v>
      </c>
      <c r="K14" s="334">
        <f>K10*2*Assumptions!$C$19/1000</f>
        <v>657.3660885730999</v>
      </c>
      <c r="L14" s="334">
        <f>L10*2*Assumptions!$C$19/1000</f>
        <v>673.077138089997</v>
      </c>
      <c r="M14" s="334">
        <f>M10*2*Assumptions!$C$19/1000</f>
        <v>689.163681690348</v>
      </c>
      <c r="N14" s="334">
        <f>N10*2*Assumptions!$C$19/1000</f>
        <v>705.6346936827473</v>
      </c>
      <c r="O14" s="334">
        <f>O10*2*Assumptions!$C$19/1000</f>
        <v>722.499362861765</v>
      </c>
      <c r="P14" s="334">
        <f>P10*2*Assumptions!$C$19/1000</f>
        <v>739.7670976341611</v>
      </c>
      <c r="Q14" s="334">
        <f>Q10*2*Assumptions!$C$19/1000</f>
        <v>757.4475312676176</v>
      </c>
      <c r="R14" s="334">
        <f>R10*2*Assumptions!$C$19/1000</f>
        <v>775.5505272649136</v>
      </c>
      <c r="S14" s="334">
        <f>S10*2*Assumptions!$C$19/1000</f>
        <v>794.0861848665453</v>
      </c>
      <c r="T14" s="334">
        <f>T10*2*Assumptions!$C$19/1000</f>
        <v>813.0648446848555</v>
      </c>
      <c r="U14" s="334">
        <f>U10*2*Assumptions!$C$19/1000</f>
        <v>832.4970944728235</v>
      </c>
      <c r="V14" s="334">
        <f>V10*2*Assumptions!$C$19/1000</f>
        <v>852.3937750307241</v>
      </c>
      <c r="W14" s="335">
        <f>W10*2*Assumptions!$C$19/1000</f>
        <v>872.7659862539584</v>
      </c>
    </row>
    <row r="15" spans="1:23" ht="13.5" thickBot="1">
      <c r="A15" s="91" t="s">
        <v>76</v>
      </c>
      <c r="B15" s="87" t="s">
        <v>77</v>
      </c>
      <c r="C15" s="85">
        <f>C14/C6*1000</f>
        <v>28.0768488</v>
      </c>
      <c r="D15" s="81">
        <f aca="true" t="shared" si="0" ref="D15:W15">D14/D6*1000</f>
        <v>28.076848799999997</v>
      </c>
      <c r="E15" s="81">
        <f t="shared" si="0"/>
        <v>28.0768488</v>
      </c>
      <c r="F15" s="81">
        <f t="shared" si="0"/>
        <v>28.076848800000004</v>
      </c>
      <c r="G15" s="81">
        <f t="shared" si="0"/>
        <v>28.076848800000008</v>
      </c>
      <c r="H15" s="85">
        <f t="shared" si="0"/>
        <v>28.076848800000004</v>
      </c>
      <c r="I15" s="81">
        <f t="shared" si="0"/>
        <v>28.076848800000004</v>
      </c>
      <c r="J15" s="81">
        <f t="shared" si="0"/>
        <v>28.076848800000004</v>
      </c>
      <c r="K15" s="81">
        <f t="shared" si="0"/>
        <v>28.0768488</v>
      </c>
      <c r="L15" s="81">
        <f t="shared" si="0"/>
        <v>28.0768488</v>
      </c>
      <c r="M15" s="85">
        <f t="shared" si="0"/>
        <v>28.076848800000004</v>
      </c>
      <c r="N15" s="81">
        <f t="shared" si="0"/>
        <v>28.076848800000004</v>
      </c>
      <c r="O15" s="81">
        <f t="shared" si="0"/>
        <v>28.076848800000008</v>
      </c>
      <c r="P15" s="81">
        <f t="shared" si="0"/>
        <v>28.076848800000004</v>
      </c>
      <c r="Q15" s="81">
        <f t="shared" si="0"/>
        <v>28.076848800000004</v>
      </c>
      <c r="R15" s="85">
        <f t="shared" si="0"/>
        <v>28.076848800000004</v>
      </c>
      <c r="S15" s="81">
        <f t="shared" si="0"/>
        <v>28.076848800000015</v>
      </c>
      <c r="T15" s="81">
        <f t="shared" si="0"/>
        <v>28.076848800000004</v>
      </c>
      <c r="U15" s="81">
        <f t="shared" si="0"/>
        <v>28.0768488</v>
      </c>
      <c r="V15" s="81">
        <f t="shared" si="0"/>
        <v>28.076848800000004</v>
      </c>
      <c r="W15" s="82">
        <f t="shared" si="0"/>
        <v>28.076848800000004</v>
      </c>
    </row>
    <row r="17" ht="13.5" thickBot="1"/>
    <row r="18" spans="1:23" ht="18">
      <c r="A18" s="41" t="s">
        <v>37</v>
      </c>
      <c r="B18" s="42"/>
      <c r="C18" s="42"/>
      <c r="D18" s="42"/>
      <c r="E18" s="42"/>
      <c r="F18" s="42"/>
      <c r="G18" s="42"/>
      <c r="H18" s="42"/>
      <c r="I18" s="42"/>
      <c r="J18" s="42"/>
      <c r="K18" s="42"/>
      <c r="L18" s="42"/>
      <c r="M18" s="42"/>
      <c r="N18" s="42"/>
      <c r="O18" s="42"/>
      <c r="P18" s="42"/>
      <c r="Q18" s="42"/>
      <c r="R18" s="42"/>
      <c r="S18" s="42"/>
      <c r="T18" s="42"/>
      <c r="U18" s="42"/>
      <c r="V18" s="42"/>
      <c r="W18" s="43"/>
    </row>
    <row r="19" spans="1:23" ht="12.75">
      <c r="A19" s="6"/>
      <c r="B19" s="239"/>
      <c r="C19" s="97"/>
      <c r="D19" s="94"/>
      <c r="E19" s="4"/>
      <c r="F19" s="4"/>
      <c r="G19" s="4"/>
      <c r="H19" s="4"/>
      <c r="I19" s="158"/>
      <c r="J19" s="4"/>
      <c r="K19" s="4"/>
      <c r="L19" s="4"/>
      <c r="M19" s="4"/>
      <c r="N19" s="158"/>
      <c r="O19" s="4"/>
      <c r="P19" s="4"/>
      <c r="Q19" s="4"/>
      <c r="R19" s="4"/>
      <c r="S19" s="158"/>
      <c r="T19" s="4"/>
      <c r="U19" s="4"/>
      <c r="V19" s="4"/>
      <c r="W19" s="7"/>
    </row>
    <row r="20" spans="1:23" ht="12.75">
      <c r="A20" s="80" t="s">
        <v>72</v>
      </c>
      <c r="B20" s="97"/>
      <c r="C20" s="97"/>
      <c r="D20" s="94"/>
      <c r="E20" s="4"/>
      <c r="F20" s="4"/>
      <c r="G20" s="4"/>
      <c r="H20" s="4"/>
      <c r="I20" s="94"/>
      <c r="J20" s="4"/>
      <c r="K20" s="4"/>
      <c r="L20" s="4"/>
      <c r="M20" s="4"/>
      <c r="N20" s="94"/>
      <c r="O20" s="4"/>
      <c r="P20" s="4"/>
      <c r="Q20" s="4"/>
      <c r="R20" s="4"/>
      <c r="S20" s="94"/>
      <c r="T20" s="4"/>
      <c r="U20" s="4"/>
      <c r="V20" s="4"/>
      <c r="W20" s="7"/>
    </row>
    <row r="21" spans="1:23" ht="12.75">
      <c r="A21" s="327" t="s">
        <v>207</v>
      </c>
      <c r="B21" s="248" t="s">
        <v>230</v>
      </c>
      <c r="C21" s="78">
        <f>C9*(1-C36)</f>
        <v>68786.71800000001</v>
      </c>
      <c r="D21" s="78">
        <f aca="true" t="shared" si="1" ref="D21:W21">D9*(1-D36)</f>
        <v>70430.7205602</v>
      </c>
      <c r="E21" s="5">
        <f t="shared" si="1"/>
        <v>72114.01478158879</v>
      </c>
      <c r="F21" s="5">
        <f t="shared" si="1"/>
        <v>73837.53973486877</v>
      </c>
      <c r="G21" s="5">
        <f t="shared" si="1"/>
        <v>75602.25693453214</v>
      </c>
      <c r="H21" s="84">
        <f t="shared" si="1"/>
        <v>73693.51163325462</v>
      </c>
      <c r="I21" s="5">
        <f t="shared" si="1"/>
        <v>71650.34354139246</v>
      </c>
      <c r="J21" s="5">
        <f t="shared" si="1"/>
        <v>69467.41754395925</v>
      </c>
      <c r="K21" s="5">
        <f t="shared" si="1"/>
        <v>67139.22029111447</v>
      </c>
      <c r="L21" s="5">
        <f t="shared" si="1"/>
        <v>64660.05472600841</v>
      </c>
      <c r="M21" s="5">
        <f t="shared" si="1"/>
        <v>66205.43003396002</v>
      </c>
      <c r="N21" s="78">
        <f t="shared" si="1"/>
        <v>67787.73981177167</v>
      </c>
      <c r="O21" s="5">
        <f t="shared" si="1"/>
        <v>69407.866793273</v>
      </c>
      <c r="P21" s="5">
        <f t="shared" si="1"/>
        <v>71066.71480963223</v>
      </c>
      <c r="Q21" s="5">
        <f t="shared" si="1"/>
        <v>72765.20929358245</v>
      </c>
      <c r="R21" s="84">
        <f t="shared" si="1"/>
        <v>74504.29779569907</v>
      </c>
      <c r="S21" s="5">
        <f t="shared" si="1"/>
        <v>76284.95051301627</v>
      </c>
      <c r="T21" s="5">
        <f t="shared" si="1"/>
        <v>78108.16083027735</v>
      </c>
      <c r="U21" s="5">
        <f t="shared" si="1"/>
        <v>79974.94587412098</v>
      </c>
      <c r="V21" s="5">
        <f t="shared" si="1"/>
        <v>81886.34708051248</v>
      </c>
      <c r="W21" s="79">
        <f t="shared" si="1"/>
        <v>83843.43077573672</v>
      </c>
    </row>
    <row r="22" spans="1:23" ht="12.75">
      <c r="A22" s="327" t="s">
        <v>208</v>
      </c>
      <c r="B22" s="248" t="s">
        <v>229</v>
      </c>
      <c r="C22" s="78">
        <f>C21*Assumptions!$C$28</f>
        <v>234562.70838000003</v>
      </c>
      <c r="D22" s="78">
        <f>D21*Assumptions!$C$28</f>
        <v>240168.75711028202</v>
      </c>
      <c r="E22" s="5">
        <f>E21*Assumptions!$C$28</f>
        <v>245908.7904052178</v>
      </c>
      <c r="F22" s="5">
        <f>F21*Assumptions!$C$28</f>
        <v>251786.0104959025</v>
      </c>
      <c r="G22" s="5">
        <f>G21*Assumptions!$C$28</f>
        <v>257803.6961467546</v>
      </c>
      <c r="H22" s="84">
        <f>H21*Assumptions!$C$28</f>
        <v>251294.87466939824</v>
      </c>
      <c r="I22" s="5">
        <f>I21*Assumptions!$C$28</f>
        <v>244327.6714761483</v>
      </c>
      <c r="J22" s="5">
        <f>J21*Assumptions!$C$28</f>
        <v>236883.89382490105</v>
      </c>
      <c r="K22" s="5">
        <f>K21*Assumptions!$C$28</f>
        <v>228944.74119270034</v>
      </c>
      <c r="L22" s="5">
        <f>L21*Assumptions!$C$28</f>
        <v>220490.7866156887</v>
      </c>
      <c r="M22" s="5">
        <f>M21*Assumptions!$C$28</f>
        <v>225760.51641580366</v>
      </c>
      <c r="N22" s="78">
        <f>N21*Assumptions!$C$28</f>
        <v>231156.19275814138</v>
      </c>
      <c r="O22" s="5">
        <f>O21*Assumptions!$C$28</f>
        <v>236680.82576506096</v>
      </c>
      <c r="P22" s="5">
        <f>P21*Assumptions!$C$28</f>
        <v>242337.49750084593</v>
      </c>
      <c r="Q22" s="5">
        <f>Q21*Assumptions!$C$28</f>
        <v>248129.36369111616</v>
      </c>
      <c r="R22" s="84">
        <f>R21*Assumptions!$C$28</f>
        <v>254059.65548333383</v>
      </c>
      <c r="S22" s="5">
        <f>S21*Assumptions!$C$28</f>
        <v>260131.6812493855</v>
      </c>
      <c r="T22" s="5">
        <f>T21*Assumptions!$C$28</f>
        <v>266348.8284312458</v>
      </c>
      <c r="U22" s="5">
        <f>U21*Assumptions!$C$28</f>
        <v>272714.5654307526</v>
      </c>
      <c r="V22" s="5">
        <f>V21*Assumptions!$C$28</f>
        <v>279232.4435445476</v>
      </c>
      <c r="W22" s="79">
        <f>W21*Assumptions!$C$28</f>
        <v>285906.0989452622</v>
      </c>
    </row>
    <row r="23" spans="2:23" ht="12.75">
      <c r="B23" s="97"/>
      <c r="C23" s="78"/>
      <c r="D23" s="78"/>
      <c r="E23" s="5"/>
      <c r="F23" s="5"/>
      <c r="G23" s="5"/>
      <c r="H23" s="84"/>
      <c r="I23" s="5"/>
      <c r="J23" s="5"/>
      <c r="K23" s="5"/>
      <c r="L23" s="5"/>
      <c r="M23" s="5"/>
      <c r="N23" s="78"/>
      <c r="O23" s="5"/>
      <c r="P23" s="5"/>
      <c r="Q23" s="5"/>
      <c r="R23" s="84"/>
      <c r="S23" s="5"/>
      <c r="T23" s="5"/>
      <c r="U23" s="5"/>
      <c r="V23" s="5"/>
      <c r="W23" s="79"/>
    </row>
    <row r="24" spans="1:23" ht="12.75">
      <c r="A24" s="6"/>
      <c r="B24" s="97"/>
      <c r="C24" s="94"/>
      <c r="D24" s="94"/>
      <c r="E24" s="4"/>
      <c r="F24" s="4"/>
      <c r="G24" s="4"/>
      <c r="H24" s="83"/>
      <c r="I24" s="4"/>
      <c r="J24" s="4"/>
      <c r="K24" s="4"/>
      <c r="L24" s="4"/>
      <c r="M24" s="4"/>
      <c r="N24" s="94"/>
      <c r="O24" s="4"/>
      <c r="P24" s="4"/>
      <c r="Q24" s="4"/>
      <c r="R24" s="83"/>
      <c r="S24" s="4"/>
      <c r="T24" s="4"/>
      <c r="U24" s="4"/>
      <c r="V24" s="4"/>
      <c r="W24" s="7"/>
    </row>
    <row r="25" spans="1:23" ht="12.75">
      <c r="A25" s="80" t="s">
        <v>78</v>
      </c>
      <c r="B25" s="97"/>
      <c r="C25" s="94"/>
      <c r="D25" s="94"/>
      <c r="E25" s="4"/>
      <c r="F25" s="4"/>
      <c r="G25" s="4"/>
      <c r="H25" s="83"/>
      <c r="I25" s="4"/>
      <c r="J25" s="4"/>
      <c r="K25" s="4"/>
      <c r="L25" s="4"/>
      <c r="M25" s="4"/>
      <c r="N25" s="94"/>
      <c r="O25" s="4"/>
      <c r="P25" s="4"/>
      <c r="Q25" s="4"/>
      <c r="R25" s="83"/>
      <c r="S25" s="4"/>
      <c r="T25" s="4"/>
      <c r="U25" s="4"/>
      <c r="V25" s="4"/>
      <c r="W25" s="7"/>
    </row>
    <row r="26" spans="1:23" ht="12.75">
      <c r="A26" s="6" t="s">
        <v>73</v>
      </c>
      <c r="B26" s="97" t="s">
        <v>16</v>
      </c>
      <c r="C26" s="95">
        <f>C22*Assumptions!$C$19*2/1000</f>
        <v>544.1854834416</v>
      </c>
      <c r="D26" s="95">
        <f>D22*Assumptions!$C$19*2/1000</f>
        <v>557.1915164958542</v>
      </c>
      <c r="E26" s="95">
        <f>E22*Assumptions!$C$19*2/1000</f>
        <v>570.5083937401052</v>
      </c>
      <c r="F26" s="95">
        <f>F22*Assumptions!$C$19*2/1000</f>
        <v>584.1435443504938</v>
      </c>
      <c r="G26" s="95">
        <f>G22*Assumptions!$C$19*2/1000</f>
        <v>598.1045750604707</v>
      </c>
      <c r="H26" s="95">
        <f>H22*Assumptions!$C$19*2/1000</f>
        <v>583.0041092330039</v>
      </c>
      <c r="I26" s="95">
        <f>I22*Assumptions!$C$19*2/1000</f>
        <v>566.8401978246641</v>
      </c>
      <c r="J26" s="95">
        <f>J22*Assumptions!$C$19*2/1000</f>
        <v>549.5706336737703</v>
      </c>
      <c r="K26" s="95">
        <f>K22*Assumptions!$C$19*2/1000</f>
        <v>531.1517995670647</v>
      </c>
      <c r="L26" s="95">
        <f>L22*Assumptions!$C$19*2/1000</f>
        <v>511.53862494839774</v>
      </c>
      <c r="M26" s="95">
        <f>M22*Assumptions!$C$19*2/1000</f>
        <v>523.7643980846644</v>
      </c>
      <c r="N26" s="95">
        <f>N22*Assumptions!$C$19*2/1000</f>
        <v>536.282367198888</v>
      </c>
      <c r="O26" s="95">
        <f>O22*Assumptions!$C$19*2/1000</f>
        <v>549.0995157749414</v>
      </c>
      <c r="P26" s="95">
        <f>P22*Assumptions!$C$19*2/1000</f>
        <v>562.2229942019625</v>
      </c>
      <c r="Q26" s="95">
        <f>Q22*Assumptions!$C$19*2/1000</f>
        <v>575.6601237633894</v>
      </c>
      <c r="R26" s="95">
        <f>R22*Assumptions!$C$19*2/1000</f>
        <v>589.4184007213345</v>
      </c>
      <c r="S26" s="95">
        <f>S22*Assumptions!$C$19*2/1000</f>
        <v>603.5055004985743</v>
      </c>
      <c r="T26" s="95">
        <f>T22*Assumptions!$C$19*2/1000</f>
        <v>617.9292819604902</v>
      </c>
      <c r="U26" s="95">
        <f>U22*Assumptions!$C$19*2/1000</f>
        <v>632.697791799346</v>
      </c>
      <c r="V26" s="95">
        <f>V22*Assumptions!$C$19*2/1000</f>
        <v>647.8192690233503</v>
      </c>
      <c r="W26" s="340">
        <f>W22*Assumptions!$C$19*2/1000</f>
        <v>663.3021495530082</v>
      </c>
    </row>
    <row r="27" spans="1:23" ht="12.75">
      <c r="A27" s="6" t="s">
        <v>76</v>
      </c>
      <c r="B27" s="97" t="s">
        <v>77</v>
      </c>
      <c r="C27" s="96">
        <f aca="true" t="shared" si="2" ref="C27:W27">C26/C6*1000</f>
        <v>28.0768488</v>
      </c>
      <c r="D27" s="96">
        <f t="shared" si="2"/>
        <v>28.076848799999997</v>
      </c>
      <c r="E27" s="92">
        <f t="shared" si="2"/>
        <v>28.0768488</v>
      </c>
      <c r="F27" s="92">
        <f t="shared" si="2"/>
        <v>28.076848800000004</v>
      </c>
      <c r="G27" s="92">
        <f t="shared" si="2"/>
        <v>28.076848800000008</v>
      </c>
      <c r="H27" s="332">
        <f t="shared" si="2"/>
        <v>26.7291600576</v>
      </c>
      <c r="I27" s="92">
        <f t="shared" si="2"/>
        <v>25.381471315200006</v>
      </c>
      <c r="J27" s="92">
        <f t="shared" si="2"/>
        <v>24.0337825728</v>
      </c>
      <c r="K27" s="92">
        <f t="shared" si="2"/>
        <v>22.686093830400004</v>
      </c>
      <c r="L27" s="92">
        <f t="shared" si="2"/>
        <v>21.338405088000005</v>
      </c>
      <c r="M27" s="92">
        <f t="shared" si="2"/>
        <v>21.338405088000005</v>
      </c>
      <c r="N27" s="96">
        <f t="shared" si="2"/>
        <v>21.33840508800001</v>
      </c>
      <c r="O27" s="92">
        <f t="shared" si="2"/>
        <v>21.33840508800001</v>
      </c>
      <c r="P27" s="92">
        <f t="shared" si="2"/>
        <v>21.338405088000005</v>
      </c>
      <c r="Q27" s="92">
        <f t="shared" si="2"/>
        <v>21.338405088000005</v>
      </c>
      <c r="R27" s="332">
        <f t="shared" si="2"/>
        <v>21.338405088000012</v>
      </c>
      <c r="S27" s="92">
        <f t="shared" si="2"/>
        <v>21.338405088000005</v>
      </c>
      <c r="T27" s="92">
        <f t="shared" si="2"/>
        <v>21.33840508800001</v>
      </c>
      <c r="U27" s="92">
        <f t="shared" si="2"/>
        <v>21.338405088000005</v>
      </c>
      <c r="V27" s="92">
        <f t="shared" si="2"/>
        <v>21.338405088000005</v>
      </c>
      <c r="W27" s="93">
        <f t="shared" si="2"/>
        <v>21.338405088</v>
      </c>
    </row>
    <row r="28" spans="1:24" s="64" customFormat="1" ht="12.75">
      <c r="A28" s="150" t="s">
        <v>75</v>
      </c>
      <c r="B28" s="151" t="s">
        <v>16</v>
      </c>
      <c r="C28" s="328">
        <f aca="true" t="shared" si="3" ref="C28:H28">C14-C26</f>
        <v>0</v>
      </c>
      <c r="D28" s="328">
        <f t="shared" si="3"/>
        <v>0</v>
      </c>
      <c r="E28" s="329">
        <f t="shared" si="3"/>
        <v>0</v>
      </c>
      <c r="F28" s="329">
        <f t="shared" si="3"/>
        <v>0</v>
      </c>
      <c r="G28" s="329">
        <f t="shared" si="3"/>
        <v>0</v>
      </c>
      <c r="H28" s="331">
        <f t="shared" si="3"/>
        <v>29.39516517141203</v>
      </c>
      <c r="I28" s="329">
        <f>I14-I26</f>
        <v>60.195419238017394</v>
      </c>
      <c r="J28" s="329">
        <f aca="true" t="shared" si="4" ref="J28:W28">J14-J26</f>
        <v>92.45113463670918</v>
      </c>
      <c r="K28" s="329">
        <f t="shared" si="4"/>
        <v>126.21428900603519</v>
      </c>
      <c r="L28" s="329">
        <f t="shared" si="4"/>
        <v>161.53851314159925</v>
      </c>
      <c r="M28" s="329">
        <f t="shared" si="4"/>
        <v>165.39928360568354</v>
      </c>
      <c r="N28" s="328">
        <f t="shared" si="4"/>
        <v>169.35232648385931</v>
      </c>
      <c r="O28" s="329">
        <f t="shared" si="4"/>
        <v>173.39984708682357</v>
      </c>
      <c r="P28" s="329">
        <f t="shared" si="4"/>
        <v>177.54410343219865</v>
      </c>
      <c r="Q28" s="329">
        <f t="shared" si="4"/>
        <v>181.7874075042282</v>
      </c>
      <c r="R28" s="331">
        <f t="shared" si="4"/>
        <v>186.13212654357915</v>
      </c>
      <c r="S28" s="329">
        <f t="shared" si="4"/>
        <v>190.580684367971</v>
      </c>
      <c r="T28" s="329">
        <f t="shared" si="4"/>
        <v>195.1355627243653</v>
      </c>
      <c r="U28" s="329">
        <f t="shared" si="4"/>
        <v>199.79930267347754</v>
      </c>
      <c r="V28" s="329">
        <f t="shared" si="4"/>
        <v>204.57450600737377</v>
      </c>
      <c r="W28" s="330">
        <f t="shared" si="4"/>
        <v>209.4638367009502</v>
      </c>
      <c r="X28"/>
    </row>
    <row r="29" spans="1:23" ht="12.75">
      <c r="A29" s="6"/>
      <c r="B29" s="97"/>
      <c r="C29" s="97"/>
      <c r="D29" s="4"/>
      <c r="E29" s="4"/>
      <c r="F29" s="4"/>
      <c r="G29" s="4"/>
      <c r="H29" s="4"/>
      <c r="I29" s="94"/>
      <c r="J29" s="4"/>
      <c r="K29" s="4"/>
      <c r="L29" s="4"/>
      <c r="M29" s="4"/>
      <c r="N29" s="94"/>
      <c r="O29" s="4"/>
      <c r="P29" s="4"/>
      <c r="Q29" s="4"/>
      <c r="R29" s="4"/>
      <c r="S29" s="94"/>
      <c r="T29" s="4"/>
      <c r="U29" s="4"/>
      <c r="V29" s="4"/>
      <c r="W29" s="7"/>
    </row>
    <row r="30" spans="1:23" ht="12.75">
      <c r="A30" s="80" t="s">
        <v>70</v>
      </c>
      <c r="B30" s="240"/>
      <c r="C30" s="97"/>
      <c r="D30" s="4"/>
      <c r="E30" s="4"/>
      <c r="F30" s="4"/>
      <c r="G30" s="4"/>
      <c r="H30" s="4"/>
      <c r="I30" s="94"/>
      <c r="J30" s="4"/>
      <c r="K30" s="4"/>
      <c r="L30" s="4"/>
      <c r="M30" s="4"/>
      <c r="N30" s="94"/>
      <c r="O30" s="4"/>
      <c r="P30" s="4"/>
      <c r="Q30" s="4"/>
      <c r="R30" s="4"/>
      <c r="S30" s="94"/>
      <c r="T30" s="4"/>
      <c r="U30" s="4"/>
      <c r="V30" s="4"/>
      <c r="W30" s="7"/>
    </row>
    <row r="31" spans="1:23" ht="12.75">
      <c r="A31" s="12" t="s">
        <v>59</v>
      </c>
      <c r="B31" s="240">
        <f>Assumptions!C40</f>
        <v>5</v>
      </c>
      <c r="C31" s="97" t="s">
        <v>9</v>
      </c>
      <c r="D31" s="4"/>
      <c r="E31" s="4"/>
      <c r="F31" s="4"/>
      <c r="G31" s="4"/>
      <c r="H31" s="4"/>
      <c r="I31" s="94"/>
      <c r="J31" s="4"/>
      <c r="K31" s="4"/>
      <c r="L31" s="4"/>
      <c r="M31" s="4"/>
      <c r="N31" s="94"/>
      <c r="O31" s="4"/>
      <c r="P31" s="4"/>
      <c r="Q31" s="4"/>
      <c r="R31" s="4"/>
      <c r="S31" s="94"/>
      <c r="T31" s="4"/>
      <c r="U31" s="4"/>
      <c r="V31" s="4"/>
      <c r="W31" s="7"/>
    </row>
    <row r="32" spans="1:23" ht="12.75">
      <c r="A32" s="12" t="s">
        <v>60</v>
      </c>
      <c r="B32" s="240">
        <f>Assumptions!C41</f>
        <v>10</v>
      </c>
      <c r="C32" s="97" t="s">
        <v>9</v>
      </c>
      <c r="D32" s="4"/>
      <c r="E32" s="4"/>
      <c r="F32" s="4"/>
      <c r="G32" s="4"/>
      <c r="H32" s="4"/>
      <c r="I32" s="94"/>
      <c r="J32" s="4"/>
      <c r="K32" s="4"/>
      <c r="L32" s="4"/>
      <c r="M32" s="4"/>
      <c r="N32" s="94"/>
      <c r="O32" s="4"/>
      <c r="P32" s="4"/>
      <c r="Q32" s="4"/>
      <c r="R32" s="4"/>
      <c r="S32" s="94"/>
      <c r="T32" s="4"/>
      <c r="U32" s="4"/>
      <c r="V32" s="4"/>
      <c r="W32" s="7"/>
    </row>
    <row r="33" spans="1:23" ht="12.75">
      <c r="A33" s="12" t="s">
        <v>68</v>
      </c>
      <c r="B33" s="240">
        <f>B32-B31</f>
        <v>5</v>
      </c>
      <c r="C33" s="339" t="s">
        <v>231</v>
      </c>
      <c r="D33" s="4"/>
      <c r="E33" s="4"/>
      <c r="F33" s="4"/>
      <c r="G33" s="4"/>
      <c r="H33" s="4"/>
      <c r="I33" s="94"/>
      <c r="J33" s="4"/>
      <c r="K33" s="4"/>
      <c r="L33" s="4"/>
      <c r="M33" s="4"/>
      <c r="N33" s="94"/>
      <c r="O33" s="4"/>
      <c r="P33" s="4"/>
      <c r="Q33" s="4"/>
      <c r="R33" s="4"/>
      <c r="S33" s="94"/>
      <c r="T33" s="4"/>
      <c r="U33" s="4"/>
      <c r="V33" s="4"/>
      <c r="W33" s="7"/>
    </row>
    <row r="34" spans="1:23" ht="12.75">
      <c r="A34" s="6"/>
      <c r="B34" s="241"/>
      <c r="C34" s="151"/>
      <c r="D34" s="3"/>
      <c r="E34" s="3"/>
      <c r="F34" s="3"/>
      <c r="G34" s="3"/>
      <c r="H34" s="3"/>
      <c r="I34" s="155"/>
      <c r="J34" s="3"/>
      <c r="K34" s="3"/>
      <c r="L34" s="3"/>
      <c r="M34" s="3"/>
      <c r="N34" s="155"/>
      <c r="O34" s="3"/>
      <c r="P34" s="3"/>
      <c r="Q34" s="3"/>
      <c r="R34" s="3"/>
      <c r="S34" s="155"/>
      <c r="T34" s="3"/>
      <c r="U34" s="3"/>
      <c r="V34" s="3"/>
      <c r="W34" s="152"/>
    </row>
    <row r="35" spans="1:23" ht="12.75">
      <c r="A35" s="153"/>
      <c r="B35" s="72" t="s">
        <v>97</v>
      </c>
      <c r="C35" s="74">
        <v>0</v>
      </c>
      <c r="D35" s="73">
        <v>1</v>
      </c>
      <c r="E35" s="73">
        <v>2</v>
      </c>
      <c r="F35" s="73">
        <v>3</v>
      </c>
      <c r="G35" s="73">
        <v>4</v>
      </c>
      <c r="H35" s="73">
        <v>5</v>
      </c>
      <c r="I35" s="72">
        <v>6</v>
      </c>
      <c r="J35" s="73">
        <v>7</v>
      </c>
      <c r="K35" s="73">
        <v>8</v>
      </c>
      <c r="L35" s="73">
        <v>9</v>
      </c>
      <c r="M35" s="73">
        <v>10</v>
      </c>
      <c r="N35" s="72">
        <v>11</v>
      </c>
      <c r="O35" s="73">
        <v>12</v>
      </c>
      <c r="P35" s="73">
        <v>13</v>
      </c>
      <c r="Q35" s="73">
        <v>14</v>
      </c>
      <c r="R35" s="73">
        <v>15</v>
      </c>
      <c r="S35" s="72">
        <v>16</v>
      </c>
      <c r="T35" s="73">
        <v>17</v>
      </c>
      <c r="U35" s="73">
        <v>18</v>
      </c>
      <c r="V35" s="73">
        <v>19</v>
      </c>
      <c r="W35" s="154">
        <v>20</v>
      </c>
    </row>
    <row r="36" spans="1:23" ht="13.5" thickBot="1">
      <c r="A36" s="8" t="s">
        <v>96</v>
      </c>
      <c r="B36" s="156">
        <f>Assumptions!H26</f>
        <v>0.24</v>
      </c>
      <c r="C36" s="157">
        <f>IF('User costs'!A172="Yes",IF('User costs'!A173="Partial",(B36+(1/$B$33*Assumptions!$H$26)),Assumptions!$H$26),0)</f>
        <v>0</v>
      </c>
      <c r="D36" s="65">
        <f>IF('User costs'!D172="Yes",IF('User costs'!D173="Partial",(C36+(1/$B$33*Assumptions!$H$26)),Assumptions!$H$26),0)</f>
        <v>0</v>
      </c>
      <c r="E36" s="65">
        <f>IF('User costs'!E172="Yes",IF('User costs'!E173="Partial",(D36+(1/$B$33*Assumptions!$H$26)),Assumptions!$H$26),0)</f>
        <v>0</v>
      </c>
      <c r="F36" s="65">
        <f>IF('User costs'!F172="Yes",IF('User costs'!F173="Partial",(E36+(1/$B$33*Assumptions!$H$26)),Assumptions!$H$26),0)</f>
        <v>0</v>
      </c>
      <c r="G36" s="65">
        <f>IF('User costs'!G172="Yes",IF('User costs'!G173="Partial",(F36+(1/$B$33*Assumptions!$H$26)),Assumptions!$H$26),0)</f>
        <v>0</v>
      </c>
      <c r="H36" s="65">
        <f>IF('User costs'!H172="Yes",IF('User costs'!H173="Partial",(G36+(1/$B$33*Assumptions!$H$26)),Assumptions!$H$26),0)</f>
        <v>0.048</v>
      </c>
      <c r="I36" s="67">
        <f>IF('User costs'!I172="Yes",IF('User costs'!I173="Partial",(H36+(1/$B$33*Assumptions!$H$26)),Assumptions!$H$26),0)</f>
        <v>0.096</v>
      </c>
      <c r="J36" s="65">
        <f>IF('User costs'!J172="Yes",IF('User costs'!J173="Partial",(I36+(1/$B$33*Assumptions!$H$26)),Assumptions!$H$26),0)</f>
        <v>0.14400000000000002</v>
      </c>
      <c r="K36" s="65">
        <f>IF('User costs'!K172="Yes",IF('User costs'!K173="Partial",(J36+(1/$B$33*Assumptions!$H$26)),Assumptions!$H$26),0)</f>
        <v>0.192</v>
      </c>
      <c r="L36" s="65">
        <f>IF('User costs'!L172="Yes",IF('User costs'!L173="Partial",(K36+(1/$B$33*Assumptions!$H$26)),Assumptions!$H$26),0)</f>
        <v>0.24</v>
      </c>
      <c r="M36" s="65">
        <f>IF('User costs'!M172="Yes",IF('User costs'!M173="Partial",(L36+(1/$B$33*Assumptions!$H$26)),Assumptions!$H$26),0)</f>
        <v>0.24</v>
      </c>
      <c r="N36" s="67">
        <f>IF('User costs'!N172="Yes",IF('User costs'!N173="Partial",(M36+(1/$B$33*Assumptions!$H$26)),Assumptions!$H$26),0)</f>
        <v>0.24</v>
      </c>
      <c r="O36" s="65">
        <f>IF('User costs'!O172="Yes",IF('User costs'!O173="Partial",(N36+(1/$B$33*Assumptions!$H$26)),Assumptions!$H$26),0)</f>
        <v>0.24</v>
      </c>
      <c r="P36" s="65">
        <f>IF('User costs'!P172="Yes",IF('User costs'!P173="Partial",(O36+(1/$B$33*Assumptions!$H$26)),Assumptions!$H$26),0)</f>
        <v>0.24</v>
      </c>
      <c r="Q36" s="65">
        <f>IF('User costs'!Q172="Yes",IF('User costs'!Q173="Partial",(P36+(1/$B$33*Assumptions!$H$26)),Assumptions!$H$26),0)</f>
        <v>0.24</v>
      </c>
      <c r="R36" s="65">
        <f>IF('User costs'!R172="Yes",IF('User costs'!R173="Partial",(Q36+(1/$B$33*Assumptions!$H$26)),Assumptions!$H$26),0)</f>
        <v>0.24</v>
      </c>
      <c r="S36" s="67">
        <f>IF('User costs'!S172="Yes",IF('User costs'!S173="Partial",(R36+(1/$B$33*Assumptions!$H$26)),Assumptions!$H$26),0)</f>
        <v>0.24</v>
      </c>
      <c r="T36" s="65">
        <f>IF('User costs'!T172="Yes",IF('User costs'!T173="Partial",(S36+(1/$B$33*Assumptions!$H$26)),Assumptions!$H$26),0)</f>
        <v>0.24</v>
      </c>
      <c r="U36" s="65">
        <f>IF('User costs'!U172="Yes",IF('User costs'!U173="Partial",(T36+(1/$B$33*Assumptions!$H$26)),Assumptions!$H$26),0)</f>
        <v>0.24</v>
      </c>
      <c r="V36" s="65">
        <f>IF('User costs'!V172="Yes",IF('User costs'!V173="Partial",(U36+(1/$B$33*Assumptions!$H$26)),Assumptions!$H$26),0)</f>
        <v>0.24</v>
      </c>
      <c r="W36" s="66">
        <f>IF('User costs'!W172="Yes",IF('User costs'!W173="Partial",(V36+(1/$B$33*Assumptions!$H$26)),Assumptions!$H$26),0)</f>
        <v>0.24</v>
      </c>
    </row>
  </sheetData>
  <sheetProtection/>
  <printOptions/>
  <pageMargins left="0.75" right="0.75" top="1" bottom="1" header="0.5" footer="0.5"/>
  <pageSetup fitToWidth="2" fitToHeight="1" horizontalDpi="600" verticalDpi="600" orientation="landscape" scale="95" r:id="rId4"/>
  <drawing r:id="rId3"/>
  <legacyDrawing r:id="rId2"/>
</worksheet>
</file>

<file path=xl/worksheets/sheet9.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9.140625" defaultRowHeight="12.75"/>
  <cols>
    <col min="1" max="1" width="14.28125" style="0" customWidth="1"/>
    <col min="2" max="2" width="17.00390625" style="0" customWidth="1"/>
    <col min="3" max="3" width="15.8515625" style="0" customWidth="1"/>
    <col min="4" max="4" width="15.7109375" style="0" customWidth="1"/>
    <col min="5" max="5" width="18.421875" style="0" customWidth="1"/>
    <col min="6" max="6" width="16.57421875" style="0" customWidth="1"/>
  </cols>
  <sheetData>
    <row r="1" spans="1:6" ht="12.75">
      <c r="A1" s="158"/>
      <c r="B1" s="290"/>
      <c r="C1" s="290"/>
      <c r="D1" s="290"/>
      <c r="E1" s="529" t="s">
        <v>135</v>
      </c>
      <c r="F1" s="530"/>
    </row>
    <row r="2" spans="1:6" ht="12.75">
      <c r="A2" s="94"/>
      <c r="B2" s="291" t="s">
        <v>169</v>
      </c>
      <c r="C2" s="291" t="s">
        <v>168</v>
      </c>
      <c r="D2" s="291" t="s">
        <v>171</v>
      </c>
      <c r="E2" s="291" t="s">
        <v>173</v>
      </c>
      <c r="F2" s="248" t="s">
        <v>174</v>
      </c>
    </row>
    <row r="3" spans="1:9" ht="12.75">
      <c r="A3" s="526" t="s">
        <v>163</v>
      </c>
      <c r="B3" s="247" t="s">
        <v>144</v>
      </c>
      <c r="C3" s="254" t="s">
        <v>166</v>
      </c>
      <c r="D3" s="86">
        <v>3369</v>
      </c>
      <c r="E3" s="293">
        <f>Assumptions!$H$62</f>
        <v>0.2</v>
      </c>
      <c r="F3" s="294">
        <f>Assumptions!$H$63</f>
        <v>0.8</v>
      </c>
      <c r="I3" s="356" t="s">
        <v>348</v>
      </c>
    </row>
    <row r="4" spans="1:6" ht="12.75">
      <c r="A4" s="527"/>
      <c r="B4" s="248" t="s">
        <v>145</v>
      </c>
      <c r="C4" s="255" t="s">
        <v>167</v>
      </c>
      <c r="D4" s="83">
        <v>270</v>
      </c>
      <c r="E4" s="295">
        <f>Assumptions!$I$62</f>
        <v>0.1</v>
      </c>
      <c r="F4" s="292">
        <f>Assumptions!$I$63</f>
        <v>0.9</v>
      </c>
    </row>
    <row r="5" spans="1:6" ht="12.75">
      <c r="A5" s="527"/>
      <c r="B5" s="248" t="s">
        <v>146</v>
      </c>
      <c r="C5" s="255" t="s">
        <v>167</v>
      </c>
      <c r="D5" s="83">
        <v>496</v>
      </c>
      <c r="E5" s="295">
        <f>Assumptions!$I$62</f>
        <v>0.1</v>
      </c>
      <c r="F5" s="292">
        <f>Assumptions!$I$63</f>
        <v>0.9</v>
      </c>
    </row>
    <row r="6" spans="1:6" ht="12.75">
      <c r="A6" s="528"/>
      <c r="B6" s="249" t="s">
        <v>147</v>
      </c>
      <c r="C6" s="252" t="s">
        <v>167</v>
      </c>
      <c r="D6" s="253">
        <v>972</v>
      </c>
      <c r="E6" s="296">
        <f>Assumptions!$I$62</f>
        <v>0.1</v>
      </c>
      <c r="F6" s="297">
        <f>Assumptions!$I$63</f>
        <v>0.9</v>
      </c>
    </row>
    <row r="7" spans="1:6" ht="12.75">
      <c r="A7" s="526" t="s">
        <v>164</v>
      </c>
      <c r="B7" s="247" t="s">
        <v>148</v>
      </c>
      <c r="C7" s="250" t="s">
        <v>167</v>
      </c>
      <c r="D7" s="86">
        <v>1110</v>
      </c>
      <c r="E7" s="295">
        <f>Assumptions!$I$62</f>
        <v>0.1</v>
      </c>
      <c r="F7" s="292">
        <f>Assumptions!$I$63</f>
        <v>0.9</v>
      </c>
    </row>
    <row r="8" spans="1:6" ht="12.75">
      <c r="A8" s="527"/>
      <c r="B8" s="248" t="s">
        <v>149</v>
      </c>
      <c r="C8" s="251" t="s">
        <v>167</v>
      </c>
      <c r="D8" s="83">
        <v>633</v>
      </c>
      <c r="E8" s="295">
        <f>Assumptions!$I$62</f>
        <v>0.1</v>
      </c>
      <c r="F8" s="292">
        <f>Assumptions!$I$63</f>
        <v>0.9</v>
      </c>
    </row>
    <row r="9" spans="1:6" ht="12.75">
      <c r="A9" s="527"/>
      <c r="B9" s="248" t="s">
        <v>150</v>
      </c>
      <c r="C9" s="251" t="s">
        <v>167</v>
      </c>
      <c r="D9" s="83">
        <v>133</v>
      </c>
      <c r="E9" s="295">
        <f>Assumptions!$I$62</f>
        <v>0.1</v>
      </c>
      <c r="F9" s="292">
        <f>Assumptions!$I$63</f>
        <v>0.9</v>
      </c>
    </row>
    <row r="10" spans="1:6" ht="12.75">
      <c r="A10" s="527"/>
      <c r="B10" s="248" t="s">
        <v>151</v>
      </c>
      <c r="C10" s="251" t="s">
        <v>167</v>
      </c>
      <c r="D10" s="83">
        <v>781</v>
      </c>
      <c r="E10" s="295">
        <f>Assumptions!$I$62</f>
        <v>0.1</v>
      </c>
      <c r="F10" s="292">
        <f>Assumptions!$I$63</f>
        <v>0.9</v>
      </c>
    </row>
    <row r="11" spans="1:6" ht="12.75">
      <c r="A11" s="527"/>
      <c r="B11" s="248" t="s">
        <v>152</v>
      </c>
      <c r="C11" s="251" t="s">
        <v>167</v>
      </c>
      <c r="D11" s="83">
        <v>386</v>
      </c>
      <c r="E11" s="295">
        <f>Assumptions!$I$62</f>
        <v>0.1</v>
      </c>
      <c r="F11" s="292">
        <f>Assumptions!$I$63</f>
        <v>0.9</v>
      </c>
    </row>
    <row r="12" spans="1:6" ht="12.75">
      <c r="A12" s="527"/>
      <c r="B12" s="248" t="s">
        <v>153</v>
      </c>
      <c r="C12" s="251" t="s">
        <v>170</v>
      </c>
      <c r="D12" s="83">
        <v>2000</v>
      </c>
      <c r="E12" s="295">
        <f>Assumptions!J62</f>
        <v>1</v>
      </c>
      <c r="F12" s="292">
        <f>Assumptions!J63</f>
        <v>0</v>
      </c>
    </row>
    <row r="13" spans="1:6" ht="12.75">
      <c r="A13" s="527"/>
      <c r="B13" s="248" t="s">
        <v>154</v>
      </c>
      <c r="C13" s="251" t="s">
        <v>166</v>
      </c>
      <c r="D13" s="83">
        <v>5514</v>
      </c>
      <c r="E13" s="295">
        <f>Assumptions!$H$62</f>
        <v>0.2</v>
      </c>
      <c r="F13" s="292">
        <f>Assumptions!$H$63</f>
        <v>0.8</v>
      </c>
    </row>
    <row r="14" spans="1:6" ht="12.75">
      <c r="A14" s="528"/>
      <c r="B14" s="249" t="s">
        <v>155</v>
      </c>
      <c r="C14" s="252" t="s">
        <v>167</v>
      </c>
      <c r="D14" s="253">
        <v>1100</v>
      </c>
      <c r="E14" s="295">
        <f>Assumptions!$I$62</f>
        <v>0.1</v>
      </c>
      <c r="F14" s="292">
        <f>Assumptions!$I$63</f>
        <v>0.9</v>
      </c>
    </row>
    <row r="15" spans="1:6" ht="12.75">
      <c r="A15" s="526" t="s">
        <v>165</v>
      </c>
      <c r="B15" s="247" t="s">
        <v>156</v>
      </c>
      <c r="C15" s="250" t="s">
        <v>167</v>
      </c>
      <c r="D15" s="86">
        <v>892</v>
      </c>
      <c r="E15" s="293">
        <f>Assumptions!$I$62</f>
        <v>0.1</v>
      </c>
      <c r="F15" s="294">
        <f>Assumptions!$I$63</f>
        <v>0.9</v>
      </c>
    </row>
    <row r="16" spans="1:6" ht="12.75">
      <c r="A16" s="527"/>
      <c r="B16" s="248" t="s">
        <v>157</v>
      </c>
      <c r="C16" s="251" t="s">
        <v>167</v>
      </c>
      <c r="D16" s="83">
        <v>229</v>
      </c>
      <c r="E16" s="295">
        <f>Assumptions!$I$62</f>
        <v>0.1</v>
      </c>
      <c r="F16" s="292">
        <f>Assumptions!$I$63</f>
        <v>0.9</v>
      </c>
    </row>
    <row r="17" spans="1:6" ht="12.75">
      <c r="A17" s="528"/>
      <c r="B17" s="249" t="s">
        <v>158</v>
      </c>
      <c r="C17" s="252" t="s">
        <v>167</v>
      </c>
      <c r="D17" s="253">
        <v>1477</v>
      </c>
      <c r="E17" s="296">
        <f>Assumptions!$I$62</f>
        <v>0.1</v>
      </c>
      <c r="F17" s="297">
        <f>Assumptions!$I$63</f>
        <v>0.9</v>
      </c>
    </row>
    <row r="18" spans="1:6" ht="12.75">
      <c r="A18" s="526" t="s">
        <v>162</v>
      </c>
      <c r="B18" s="247" t="s">
        <v>159</v>
      </c>
      <c r="C18" s="158"/>
      <c r="D18" s="86"/>
      <c r="E18" s="158"/>
      <c r="F18" s="86"/>
    </row>
    <row r="19" spans="1:6" ht="12.75">
      <c r="A19" s="527"/>
      <c r="B19" s="248" t="s">
        <v>160</v>
      </c>
      <c r="C19" s="94"/>
      <c r="D19" s="83"/>
      <c r="E19" s="94"/>
      <c r="F19" s="83"/>
    </row>
    <row r="20" spans="1:6" ht="12.75">
      <c r="A20" s="528"/>
      <c r="B20" s="249" t="s">
        <v>161</v>
      </c>
      <c r="C20" s="256"/>
      <c r="D20" s="253"/>
      <c r="E20" s="256"/>
      <c r="F20" s="253"/>
    </row>
    <row r="21" spans="1:6" ht="12.75">
      <c r="A21" s="298" t="s">
        <v>55</v>
      </c>
      <c r="B21" s="299"/>
      <c r="C21" s="299"/>
      <c r="D21" s="299"/>
      <c r="E21" s="300">
        <f>SUMPRODUCT(D3:D17,E3:E17)/SUM(D3:D17)</f>
        <v>0.23884412767276103</v>
      </c>
      <c r="F21" s="301">
        <f>SUMPRODUCT(F3:F17,D3:D17)/SUM(D3:D17)</f>
        <v>0.7611558723272388</v>
      </c>
    </row>
  </sheetData>
  <sheetProtection/>
  <mergeCells count="5">
    <mergeCell ref="A18:A20"/>
    <mergeCell ref="A3:A6"/>
    <mergeCell ref="A7:A14"/>
    <mergeCell ref="A15:A17"/>
    <mergeCell ref="E1:F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Breitbarth</dc:creator>
  <cp:keywords/>
  <dc:description/>
  <cp:lastModifiedBy>mcc</cp:lastModifiedBy>
  <cp:lastPrinted>2008-05-29T15:06:54Z</cp:lastPrinted>
  <dcterms:created xsi:type="dcterms:W3CDTF">2008-05-14T14:38:25Z</dcterms:created>
  <dcterms:modified xsi:type="dcterms:W3CDTF">2014-02-06T15:47:27Z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